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3" activeTab="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0.a.sz.m.intfejl (2)" sheetId="12" r:id="rId12"/>
    <sheet name="11. sz.m. előir felh terv" sheetId="13" r:id="rId13"/>
    <sheet name="12.sz.m. . saját bevételek" sheetId="14" r:id="rId14"/>
    <sheet name="13.sz.m. állami támogatás " sheetId="15" r:id="rId15"/>
    <sheet name="14. sz.m. közvetett tám." sheetId="16" r:id="rId16"/>
    <sheet name="15.sz.m. tartozás" sheetId="17" r:id="rId17"/>
  </sheets>
  <externalReferences>
    <externalReference r:id="rId20"/>
  </externalReferences>
  <definedNames>
    <definedName name="_xlnm.Print_Area" localSheetId="1">'1 .sz.m.önk.össz.kiad.'!$A$2:$AJ$69</definedName>
    <definedName name="_xlnm.Print_Area" localSheetId="0">'1.sz.m-önk.össze.bev'!$A$1:$AD$65</definedName>
    <definedName name="_xlnm.Print_Area" localSheetId="11">'10.a.sz.m.intfejl (2)'!$A$1:$J$20</definedName>
    <definedName name="_xlnm.Print_Area" localSheetId="10">'10.sz.m.fejlesztés (2)'!$A$3:$S$33</definedName>
    <definedName name="_xlnm.Print_Area" localSheetId="12">'11. sz.m. előir felh terv'!$A$1:$O$22</definedName>
    <definedName name="_xlnm.Print_Area" localSheetId="2">'2.sz.m.összehasonlító'!$A$1:$Q$34</definedName>
    <definedName name="_xlnm.Print_Area" localSheetId="3">'3.sz.m Önk  bev.'!$A$1:$AB$63</definedName>
    <definedName name="_xlnm.Print_Area" localSheetId="4">'4.sz.m.ÖNK kiadás'!$A$1:$AC$38</definedName>
    <definedName name="_xlnm.Print_Area" localSheetId="5">'5. sz. m óvoda'!$A$1:$V$51</definedName>
    <definedName name="_xlnm.Print_Area" localSheetId="6">'6 .sz.m. Létszám (2)'!$A$1:$K$22</definedName>
    <definedName name="_xlnm.Print_Area" localSheetId="7">'7.sz.m.Dologi kiadás (2)'!$A$1:$Z$24</definedName>
    <definedName name="_xlnm.Print_Area" localSheetId="8">'8.sz.m.szociális kiadások'!$A$1:$V$43</definedName>
    <definedName name="_xlnm.Print_Area" localSheetId="9">'9.sz.m.átadott pe (2)'!$A$1:$AB$60</definedName>
  </definedNames>
  <calcPr fullCalcOnLoad="1"/>
</workbook>
</file>

<file path=xl/sharedStrings.xml><?xml version="1.0" encoding="utf-8"?>
<sst xmlns="http://schemas.openxmlformats.org/spreadsheetml/2006/main" count="1420" uniqueCount="639">
  <si>
    <t>1. számú melléklet</t>
  </si>
  <si>
    <t>e Ft-ban</t>
  </si>
  <si>
    <t>Sorszám</t>
  </si>
  <si>
    <t>Bevételi jogcím</t>
  </si>
  <si>
    <t>Rovat</t>
  </si>
  <si>
    <t>Előirányzat</t>
  </si>
  <si>
    <t>Kötelező feladat</t>
  </si>
  <si>
    <t>Önként vállalt feladat</t>
  </si>
  <si>
    <t>Államig. Feladat</t>
  </si>
  <si>
    <t>Eredeti</t>
  </si>
  <si>
    <t>mód. I.</t>
  </si>
  <si>
    <t>mód. II.</t>
  </si>
  <si>
    <t>mód. III.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</si>
  <si>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</si>
  <si>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</si>
  <si>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</si>
  <si>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</si>
  <si>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</si>
  <si>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</si>
  <si>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</si>
  <si>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</si>
  <si>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</si>
  <si>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</si>
  <si>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</si>
  <si>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</si>
  <si>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</si>
  <si>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</si>
  <si>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</si>
  <si>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</si>
  <si>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</si>
  <si>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</si>
  <si>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</si>
  <si>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</si>
  <si>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</si>
  <si>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</si>
  <si>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</si>
  <si>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</si>
  <si>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</si>
  <si>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</si>
  <si>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</si>
  <si>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</si>
  <si>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</si>
  <si>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</si>
  <si>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</si>
  <si>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</si>
  <si>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</si>
  <si>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</si>
  <si>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</si>
  <si>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</si>
  <si>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</si>
  <si>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</si>
  <si>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</si>
  <si>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</si>
  <si>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</si>
  <si>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</si>
  <si>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</si>
  <si>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</si>
  <si>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</si>
  <si>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</si>
  <si>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</si>
  <si>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</si>
  <si>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</si>
  <si>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</si>
  <si>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</si>
  <si>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</si>
  <si>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</si>
  <si>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</si>
  <si>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</si>
  <si>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</si>
  <si>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</si>
  <si>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</si>
  <si>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</si>
  <si>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</si>
  <si>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</si>
  <si>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</si>
  <si>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</si>
  <si>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</si>
  <si>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</si>
  <si>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</si>
  <si>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</si>
  <si>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</si>
  <si>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</si>
  <si>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</si>
  <si>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</si>
  <si>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</si>
  <si>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</si>
  <si>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</si>
  <si>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</si>
  <si>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</si>
  <si>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</si>
  <si>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</si>
  <si>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</si>
  <si>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</si>
  <si>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</si>
  <si>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</si>
  <si>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</si>
  <si>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</si>
  <si>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</si>
  <si>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</si>
  <si>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</si>
  <si>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</si>
  <si>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</si>
  <si>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</si>
  <si>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</si>
  <si>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</si>
  <si>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</si>
  <si>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</si>
  <si>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</si>
  <si>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</si>
  <si>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</si>
  <si>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</si>
  <si>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</si>
  <si>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</si>
  <si>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</si>
  <si>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</si>
  <si>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</si>
  <si>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</si>
  <si>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</si>
  <si>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</si>
  <si>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</si>
  <si>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</si>
  <si>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</si>
  <si>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</si>
  <si>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</si>
  <si>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</si>
  <si>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</si>
  <si>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</si>
  <si>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</si>
  <si>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</si>
  <si>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</si>
  <si>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</si>
  <si>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</si>
  <si>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Likviditási célú hitelek, kölcsönök felvétele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</si>
  <si>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</si>
  <si>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</si>
  <si>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</si>
  <si>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</si>
  <si>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</si>
  <si>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</si>
  <si>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</si>
  <si>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</si>
  <si>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</si>
  <si>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</si>
  <si>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</si>
  <si>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</si>
  <si>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</si>
  <si>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</si>
  <si>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</si>
  <si>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</si>
  <si>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</si>
  <si>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</si>
  <si>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</si>
  <si>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</si>
  <si>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</si>
  <si>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</si>
  <si>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</si>
  <si>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</si>
  <si>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</si>
  <si>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</si>
  <si>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</si>
  <si>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</si>
  <si>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</si>
  <si>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</si>
  <si>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</si>
  <si>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</si>
  <si>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</si>
  <si>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</si>
  <si>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</si>
  <si>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</si>
  <si>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</si>
  <si>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</si>
  <si>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</si>
  <si>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</si>
  <si>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</si>
  <si>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</si>
  <si>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</si>
  <si>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</si>
  <si>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</si>
  <si>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</si>
  <si>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</si>
  <si>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</si>
  <si>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</si>
  <si>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</si>
  <si>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</si>
  <si>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</si>
  <si>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</si>
  <si>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</si>
  <si>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</si>
  <si>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</si>
  <si>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</si>
  <si>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</si>
  <si>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</si>
  <si>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</si>
  <si>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</si>
  <si>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</si>
  <si>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</si>
  <si>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</si>
  <si>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</si>
  <si>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</si>
  <si>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</si>
  <si>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</si>
  <si>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</si>
  <si>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</si>
  <si>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Eredeti ei.</t>
  </si>
  <si>
    <t>Mód. II-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</si>
  <si>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</si>
  <si>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</si>
  <si>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</si>
  <si>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</si>
  <si>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</si>
  <si>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</si>
  <si>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</si>
  <si>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</si>
  <si>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</si>
  <si>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</si>
  <si>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</si>
  <si>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</si>
  <si>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</si>
  <si>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</si>
  <si>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</si>
  <si>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</si>
  <si>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</si>
  <si>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</si>
  <si>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</si>
  <si>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</si>
  <si>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</si>
  <si>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</si>
  <si>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</si>
  <si>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</si>
  <si>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</si>
  <si>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</si>
  <si>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</si>
  <si>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</si>
  <si>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</si>
  <si>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</si>
  <si>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</si>
  <si>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</si>
  <si>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</si>
  <si>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</si>
  <si>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</si>
  <si>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</si>
  <si>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</si>
  <si>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</si>
  <si>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Függő, átfutó, kiegyenlítő bevételek</t>
  </si>
  <si>
    <t>3. számú melléklet</t>
  </si>
  <si>
    <t>Közvetített szolgáltatások ellenértéke</t>
  </si>
  <si>
    <t>Működési támogatás államháztartáson kívülről</t>
  </si>
  <si>
    <t>Felhalmozási támogatás államháztartáson kívűlről</t>
  </si>
  <si>
    <t>4. számú melléklet</t>
  </si>
  <si>
    <t>Mód.III.</t>
  </si>
  <si>
    <t>K501-503</t>
  </si>
  <si>
    <t>K511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</si>
  <si>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</si>
  <si>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</si>
  <si>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</si>
  <si>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</si>
  <si>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</si>
  <si>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</si>
  <si>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5. számú melléklet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</si>
  <si>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</si>
  <si>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</si>
  <si>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</si>
  <si>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</si>
  <si>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</si>
  <si>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</si>
  <si>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</si>
  <si>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</si>
  <si>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</si>
  <si>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</si>
  <si>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</si>
  <si>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</si>
  <si>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</si>
  <si>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</si>
  <si>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</si>
  <si>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</si>
  <si>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</si>
  <si>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</si>
  <si>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</si>
  <si>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</si>
  <si>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</si>
  <si>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</si>
  <si>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</si>
  <si>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</si>
  <si>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</si>
  <si>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</si>
  <si>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</si>
  <si>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</si>
  <si>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</si>
  <si>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</si>
  <si>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</si>
  <si>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</si>
  <si>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</si>
  <si>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</si>
  <si>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</si>
  <si>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</si>
  <si>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</si>
  <si>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</si>
  <si>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</si>
  <si>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</si>
  <si>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</si>
  <si>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</si>
  <si>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</si>
  <si>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</si>
  <si>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</si>
  <si>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</si>
  <si>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</si>
  <si>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</si>
  <si>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</si>
  <si>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</si>
  <si>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</si>
  <si>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</si>
  <si>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</si>
  <si>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Napköziotthonos Óvoda</t>
  </si>
  <si>
    <t>Mindösszesen:</t>
  </si>
  <si>
    <t>* Rehabilitációs hozzájárulás terhére</t>
  </si>
  <si>
    <t>7. számú melléklet</t>
  </si>
  <si>
    <t>4. számú melléklet 1.3 sorának részletezése</t>
  </si>
  <si>
    <t xml:space="preserve">Kötelező </t>
  </si>
  <si>
    <t>Önként vállalt</t>
  </si>
  <si>
    <t>Mód. III., IV., V.</t>
  </si>
  <si>
    <t>Telj.%</t>
  </si>
  <si>
    <t>Mód. I., II.</t>
  </si>
  <si>
    <t>Köztemető fenntartása</t>
  </si>
  <si>
    <t>Tűz- és katasztrófavédelmi tevékenységek</t>
  </si>
  <si>
    <t>Területfejl. és területrendezési helyi feladatok</t>
  </si>
  <si>
    <t>Egyéb szárazföldi személyszállítás</t>
  </si>
  <si>
    <t>Közutak, hídak, alagutak  üzemeltetése, fenntartása</t>
  </si>
  <si>
    <t>Nem veszélyes hulladék kezelése, ártalmatlanítása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</si>
  <si>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</si>
  <si>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</si>
  <si>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</si>
  <si>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</si>
  <si>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</si>
  <si>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</si>
  <si>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</si>
  <si>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8. számú melléklet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</si>
  <si>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</si>
  <si>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</si>
  <si>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</si>
  <si>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</si>
  <si>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Saját erő</t>
  </si>
  <si>
    <t>Települési támogatás Szt. 45 §.(1)</t>
  </si>
  <si>
    <t>Ö</t>
  </si>
  <si>
    <t xml:space="preserve">Átmeneti segély Szt. 45. §                      </t>
  </si>
  <si>
    <t>Temetési segély 46. §</t>
  </si>
  <si>
    <t>Rendkivüli települési támogatás Szt. 45.§.(4)</t>
  </si>
  <si>
    <t>Köztemetés Szt. 48. §.</t>
  </si>
  <si>
    <t xml:space="preserve">Más pénzbeli támogatás Szt. 26.§ 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</si>
  <si>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</si>
  <si>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</si>
  <si>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</si>
  <si>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</si>
  <si>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</si>
  <si>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</si>
  <si>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</si>
  <si>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</si>
  <si>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</si>
  <si>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</si>
  <si>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</si>
  <si>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</si>
  <si>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9. számú melléklet</t>
  </si>
  <si>
    <t>4. számú melléklet 1.5.2 és 2.3.1 sorainak részletezése</t>
  </si>
  <si>
    <t>Államháztartáson kívülre</t>
  </si>
  <si>
    <t>Működési célú</t>
  </si>
  <si>
    <t xml:space="preserve">Felhalmozási célú </t>
  </si>
  <si>
    <t>kötelező</t>
  </si>
  <si>
    <t>önként vállalt</t>
  </si>
  <si>
    <t>eredeti</t>
  </si>
  <si>
    <t>mód. II, III.</t>
  </si>
  <si>
    <t>mód. II, III., IV.</t>
  </si>
  <si>
    <t>mód.I V.</t>
  </si>
  <si>
    <t>Móvár Nagytérségi Hulladékgazd. Témamenedzselés</t>
  </si>
  <si>
    <t>Pannon-Víz</t>
  </si>
  <si>
    <t>Arany János Program</t>
  </si>
  <si>
    <t>Szociális ösztöndíj - BURSA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</si>
  <si>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</si>
  <si>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</si>
  <si>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</si>
  <si>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</si>
  <si>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mód. II:</t>
  </si>
  <si>
    <t>Dénesfa Község Önkormányzata</t>
  </si>
  <si>
    <t>Rábakecöl Község Önkormányzata</t>
  </si>
  <si>
    <t>Orvosi ügyelet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</si>
  <si>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</si>
  <si>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</si>
  <si>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</si>
  <si>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</si>
  <si>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</si>
  <si>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</si>
  <si>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</si>
  <si>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</si>
  <si>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</si>
  <si>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</si>
  <si>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</si>
  <si>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</si>
  <si>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</si>
  <si>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</si>
  <si>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Mód. I., II.,III, IV., V.</t>
  </si>
  <si>
    <t>61-67</t>
  </si>
  <si>
    <t>Közvilágítás bővítés</t>
  </si>
  <si>
    <t>4. számú melléklet 2.2 sorának részletezése</t>
  </si>
  <si>
    <t>F e l ú j í t á s o k</t>
  </si>
  <si>
    <t>71-74</t>
  </si>
  <si>
    <t>IKSZT energetikai felújítás</t>
  </si>
  <si>
    <t>11 számú melléklet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</si>
  <si>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</si>
  <si>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</si>
  <si>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</si>
  <si>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</si>
  <si>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</si>
  <si>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</si>
  <si>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</si>
  <si>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</si>
  <si>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</si>
  <si>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</si>
  <si>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</si>
  <si>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</si>
  <si>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</si>
  <si>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</si>
  <si>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 xml:space="preserve">Működési tám. ÁH belülről </t>
  </si>
  <si>
    <t>Felhalm. tám. ÁH.belülről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</si>
  <si>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</si>
  <si>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</si>
  <si>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</si>
  <si>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</si>
  <si>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</si>
  <si>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</si>
  <si>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Folyó működési kiadások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</si>
  <si>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</si>
  <si>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</si>
  <si>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</si>
  <si>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</si>
  <si>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</si>
  <si>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</si>
  <si>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</si>
  <si>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</si>
  <si>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</si>
  <si>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</si>
  <si>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</si>
  <si>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</si>
  <si>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</si>
  <si>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</si>
  <si>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</si>
  <si>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</si>
  <si>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</si>
  <si>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</si>
  <si>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</si>
  <si>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</si>
  <si>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</si>
  <si>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</si>
  <si>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</si>
  <si>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</si>
  <si>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</si>
  <si>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mód. II., III., IV.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</si>
  <si>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</si>
  <si>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</si>
  <si>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</si>
  <si>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</si>
  <si>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</si>
  <si>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</si>
  <si>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</si>
  <si>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</si>
  <si>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</si>
  <si>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</si>
  <si>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</si>
  <si>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</si>
  <si>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</si>
  <si>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</si>
  <si>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</si>
  <si>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</si>
  <si>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</si>
  <si>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</si>
  <si>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</si>
  <si>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</si>
  <si>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</si>
  <si>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</si>
  <si>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</si>
  <si>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</si>
  <si>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Könyvtári érdekeltségnövelő támogatá</t>
  </si>
  <si>
    <t>Nyári gyermekétkeztetés</t>
  </si>
  <si>
    <t>Szerkezetátalakítási tartalékból foly.támogatás d)</t>
  </si>
  <si>
    <t>Ft-ban</t>
  </si>
  <si>
    <t>Állami megelőlegzés</t>
  </si>
  <si>
    <t>2016. ÉV</t>
  </si>
  <si>
    <t xml:space="preserve"> Ft-ban</t>
  </si>
  <si>
    <t>K914</t>
  </si>
  <si>
    <t>2016. év</t>
  </si>
  <si>
    <t xml:space="preserve"> forintban </t>
  </si>
  <si>
    <t>2016. január 1.</t>
  </si>
  <si>
    <t>Önkorm. és önkorm. hiv. jogalkotó és élt. ig. tev.</t>
  </si>
  <si>
    <t>Rendőrség</t>
  </si>
  <si>
    <t>1 db fűnyíró</t>
  </si>
  <si>
    <t>infrastruktúra fejlesztés - könyvtár</t>
  </si>
  <si>
    <t>1 db forgószék, hirdetőtábla - orvos</t>
  </si>
  <si>
    <t xml:space="preserve">forintban </t>
  </si>
  <si>
    <t>Egyéb pénzbeli támogatás  /bursa/</t>
  </si>
  <si>
    <t>A 2016 évi általános működés és ágazati feladatok támogatásának alakulása jogcímenként</t>
  </si>
  <si>
    <t>I.6.   2015. évről áthúzódó bérkompenzáció</t>
  </si>
  <si>
    <t>III.  Rászoruló gyermekek szünidei étkeztetése</t>
  </si>
  <si>
    <t>Előirányzat-felhasználási terv
2016. évre</t>
  </si>
  <si>
    <t xml:space="preserve"> forintban</t>
  </si>
  <si>
    <t>Intézményi működési bev.</t>
  </si>
  <si>
    <t xml:space="preserve">Közfoglalkoztatottak </t>
  </si>
  <si>
    <t>Mindösszesen</t>
  </si>
  <si>
    <t>Mód.I.</t>
  </si>
  <si>
    <t xml:space="preserve">mód. I. </t>
  </si>
  <si>
    <t>mód. I</t>
  </si>
  <si>
    <t>mód.I.</t>
  </si>
  <si>
    <t xml:space="preserve">eredeti </t>
  </si>
  <si>
    <t>3.7</t>
  </si>
  <si>
    <t>Ktgvetési  vsszatérülések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</si>
  <si>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</si>
  <si>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</si>
  <si>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</si>
  <si>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</si>
  <si>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</si>
  <si>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Ktgvetési   visszatérülések</t>
  </si>
  <si>
    <t xml:space="preserve">Mód. I. </t>
  </si>
  <si>
    <t>Könyvtári állománygyarapítás</t>
  </si>
  <si>
    <t>Magyar Máltai Szeretetszolgálat</t>
  </si>
  <si>
    <t>Tornaterem felújítás</t>
  </si>
  <si>
    <t>I. világháborús emlékmű felújítás</t>
  </si>
  <si>
    <t>Játszótéri játékok vásárlása</t>
  </si>
  <si>
    <t>2016. évi bérkompenzáció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</si>
  <si>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</si>
  <si>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</si>
  <si>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</si>
  <si>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</si>
  <si>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</si>
  <si>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</si>
  <si>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</si>
  <si>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</si>
  <si>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</si>
  <si>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</si>
  <si>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KÖLTSÉGVETÉSI SZERVEK FELHALMOZÁSI KIADÁSAI </t>
  </si>
  <si>
    <t xml:space="preserve">FEJLESZTÉSEK (ÁFA-val) </t>
  </si>
  <si>
    <t xml:space="preserve">2016. év </t>
  </si>
  <si>
    <t>Cím</t>
  </si>
  <si>
    <t>Intézmény</t>
  </si>
  <si>
    <t>Felújítás/beruházás</t>
  </si>
  <si>
    <t>B/F</t>
  </si>
  <si>
    <t>Előirányzat Kötelező</t>
  </si>
  <si>
    <t>B</t>
  </si>
  <si>
    <t>Beledi Általános Művelődési Központ</t>
  </si>
  <si>
    <t>75 db szék ebédlőbe</t>
  </si>
  <si>
    <t>Hűtőszekrény, kávéfőző óvodába</t>
  </si>
  <si>
    <t>laptop beszerzése élelmezésvezetőnek</t>
  </si>
  <si>
    <t>2 db monjitor vásárlása könyvtárba</t>
  </si>
  <si>
    <t>hűtőszekrény, mikorhullámú sütő óvodába</t>
  </si>
  <si>
    <t>laptop beszerzése óvodába</t>
  </si>
  <si>
    <t>F</t>
  </si>
  <si>
    <t>kézimixer beszerzése (kisértékű tárgyi eszköz)</t>
  </si>
  <si>
    <t>2016. évi belső forrásból fedezhető működési hiány</t>
  </si>
  <si>
    <t xml:space="preserve">2016.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</si>
  <si>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</si>
  <si>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</si>
  <si>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2016. évi külső forrásból fedezhető felhalmozási hiány </t>
  </si>
  <si>
    <t>2016. évi külső forrásból fedezhető összes hiány (1.+2.)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</si>
  <si>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</si>
  <si>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</si>
  <si>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</si>
  <si>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</si>
  <si>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</si>
  <si>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</si>
  <si>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</si>
  <si>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</si>
  <si>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</si>
  <si>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</si>
  <si>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</si>
  <si>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</si>
  <si>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</si>
  <si>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10/a. számú melléklet</t>
  </si>
  <si>
    <t>10. számú melléklet</t>
  </si>
  <si>
    <t>Rábakecöl Községi Önkormányzat bevételek és kiadások mérlege</t>
  </si>
  <si>
    <t>K508</t>
  </si>
  <si>
    <t>Egyéb működési célú visszatérítendő támogatás nyújtása államháztartáson kívülre</t>
  </si>
  <si>
    <t>mód.II.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</si>
  <si>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</si>
  <si>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</si>
  <si>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</si>
  <si>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</si>
  <si>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</si>
  <si>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</si>
  <si>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</si>
  <si>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>Civil szervezetek támogatása, ebből:</t>
  </si>
  <si>
    <t>Magyar Vöröskereszt Rábakecöli Alapszervezete (2015. évi áthúzódó támogatás)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</si>
  <si>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</si>
  <si>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</si>
  <si>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</si>
  <si>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</si>
  <si>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</si>
  <si>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</si>
  <si>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>WinMenza program beszerzése</t>
  </si>
  <si>
    <t>2016. évi előirányzat</t>
  </si>
  <si>
    <t xml:space="preserve">mód. II. </t>
  </si>
  <si>
    <t>Iparűzési adó - állandó jellegggel végzett</t>
  </si>
  <si>
    <t>Rábakecöl  Községi Önkormányzat 2016. évi kiadási előirányzatai</t>
  </si>
  <si>
    <t>Eredeti, mód.</t>
  </si>
  <si>
    <t>adatok: fő</t>
  </si>
  <si>
    <t>Rábakecöl Községi Önkormányzat 2016. évi bevételi előirányzatai</t>
  </si>
  <si>
    <t>Rábakecöl Községi Önkormányzat 2016. évi kiadási előirányzatai</t>
  </si>
  <si>
    <t>Rábakecöl Községi Önkormányzat költségvetési szerveinek 2016. évi létszámkerete</t>
  </si>
  <si>
    <t>Rábakecöl Községi Önkormányzat dologi kiadásai</t>
  </si>
  <si>
    <t>Rábakecöli Vadgesztenye Egységes Óvoda-Bölcsőde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</si>
  <si>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</si>
  <si>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</si>
  <si>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</si>
  <si>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</si>
  <si>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</si>
  <si>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</si>
  <si>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</si>
  <si>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</si>
  <si>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</si>
  <si>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</si>
  <si>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</si>
  <si>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</si>
  <si>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</si>
  <si>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</si>
  <si>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</si>
  <si>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</si>
  <si>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</si>
  <si>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</si>
  <si>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</si>
  <si>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</si>
  <si>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</si>
  <si>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</si>
  <si>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</si>
  <si>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</si>
  <si>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</si>
  <si>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</si>
  <si>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</si>
  <si>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</si>
  <si>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</si>
  <si>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</si>
  <si>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</si>
  <si>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</si>
  <si>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2016. .......................... hó ..... nap</t>
  </si>
  <si>
    <t>költségvetési szerv vezetője</t>
  </si>
  <si>
    <t>mód. II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</si>
</sst>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13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i/>
      <sz val="11"/>
      <name val="MS Sans Serif"/>
      <family val="2"/>
    </font>
    <font>
      <b/>
      <sz val="13"/>
      <name val="comic"/>
      <family val="5"/>
    </font>
    <font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10"/>
      <name val="MS Sans Serif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medium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hair">
        <color indexed="8"/>
      </top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16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17" fillId="0" borderId="0" applyNumberFormat="0" applyFill="0" applyBorder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0" fillId="0" borderId="0" applyNumberFormat="0" applyFill="0" applyBorder="0" applyAlignment="0" applyProtection="0"/>
    <xf numFmtId="0" fontId="121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3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15" fillId="43" borderId="0" applyNumberFormat="0" applyBorder="0" applyAlignment="0" applyProtection="0"/>
    <xf numFmtId="0" fontId="115" fillId="44" borderId="0" applyNumberFormat="0" applyBorder="0" applyAlignment="0" applyProtection="0"/>
    <xf numFmtId="0" fontId="124" fillId="45" borderId="0" applyNumberFormat="0" applyBorder="0" applyAlignment="0" applyProtection="0"/>
    <xf numFmtId="0" fontId="125" fillId="46" borderId="13" applyNumberFormat="0" applyAlignment="0" applyProtection="0"/>
    <xf numFmtId="0" fontId="12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2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47" borderId="0" applyNumberFormat="0" applyBorder="0" applyAlignment="0" applyProtection="0"/>
    <xf numFmtId="0" fontId="129" fillId="48" borderId="0" applyNumberFormat="0" applyBorder="0" applyAlignment="0" applyProtection="0"/>
    <xf numFmtId="0" fontId="130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629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3" fontId="27" fillId="35" borderId="22" xfId="0" applyNumberFormat="1" applyFont="1" applyFill="1" applyBorder="1" applyAlignment="1">
      <alignment horizontal="right" vertical="center" wrapText="1"/>
    </xf>
    <xf numFmtId="3" fontId="27" fillId="35" borderId="23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21" xfId="0" applyFont="1" applyFill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/>
    </xf>
    <xf numFmtId="49" fontId="26" fillId="0" borderId="26" xfId="0" applyNumberFormat="1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3" fontId="26" fillId="35" borderId="28" xfId="0" applyNumberFormat="1" applyFont="1" applyFill="1" applyBorder="1" applyAlignment="1">
      <alignment horizontal="right" vertical="center" wrapText="1"/>
    </xf>
    <xf numFmtId="3" fontId="26" fillId="35" borderId="29" xfId="0" applyNumberFormat="1" applyFont="1" applyFill="1" applyBorder="1" applyAlignment="1">
      <alignment horizontal="right" vertical="center" wrapText="1"/>
    </xf>
    <xf numFmtId="3" fontId="26" fillId="35" borderId="30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Border="1" applyAlignment="1">
      <alignment horizontal="left"/>
    </xf>
    <xf numFmtId="49" fontId="26" fillId="0" borderId="32" xfId="0" applyNumberFormat="1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3" fontId="26" fillId="35" borderId="34" xfId="0" applyNumberFormat="1" applyFont="1" applyFill="1" applyBorder="1" applyAlignment="1">
      <alignment horizontal="right" vertical="center" wrapText="1"/>
    </xf>
    <xf numFmtId="3" fontId="26" fillId="35" borderId="35" xfId="0" applyNumberFormat="1" applyFont="1" applyFill="1" applyBorder="1" applyAlignment="1">
      <alignment horizontal="right" vertical="center" wrapText="1"/>
    </xf>
    <xf numFmtId="0" fontId="26" fillId="0" borderId="32" xfId="0" applyFont="1" applyBorder="1" applyAlignment="1">
      <alignment horizontal="left" wrapText="1"/>
    </xf>
    <xf numFmtId="0" fontId="26" fillId="0" borderId="33" xfId="0" applyFont="1" applyBorder="1" applyAlignment="1">
      <alignment horizontal="left" wrapText="1"/>
    </xf>
    <xf numFmtId="3" fontId="26" fillId="35" borderId="36" xfId="0" applyNumberFormat="1" applyFont="1" applyFill="1" applyBorder="1" applyAlignment="1">
      <alignment horizontal="right" vertical="center" wrapText="1"/>
    </xf>
    <xf numFmtId="3" fontId="26" fillId="0" borderId="35" xfId="0" applyNumberFormat="1" applyFont="1" applyFill="1" applyBorder="1" applyAlignment="1">
      <alignment horizontal="right" vertical="center" wrapText="1"/>
    </xf>
    <xf numFmtId="3" fontId="26" fillId="0" borderId="36" xfId="0" applyNumberFormat="1" applyFont="1" applyFill="1" applyBorder="1" applyAlignment="1">
      <alignment horizontal="right" vertical="center" wrapText="1"/>
    </xf>
    <xf numFmtId="0" fontId="26" fillId="0" borderId="33" xfId="0" applyFont="1" applyBorder="1" applyAlignment="1">
      <alignment wrapText="1"/>
    </xf>
    <xf numFmtId="3" fontId="26" fillId="35" borderId="37" xfId="0" applyNumberFormat="1" applyFont="1" applyFill="1" applyBorder="1" applyAlignment="1">
      <alignment horizontal="right"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49" fontId="0" fillId="0" borderId="38" xfId="0" applyNumberFormat="1" applyFont="1" applyBorder="1" applyAlignment="1">
      <alignment horizontal="left"/>
    </xf>
    <xf numFmtId="49" fontId="26" fillId="0" borderId="39" xfId="0" applyNumberFormat="1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left" wrapText="1"/>
    </xf>
    <xf numFmtId="3" fontId="26" fillId="35" borderId="41" xfId="0" applyNumberFormat="1" applyFont="1" applyFill="1" applyBorder="1" applyAlignment="1">
      <alignment horizontal="right" vertical="center" wrapText="1"/>
    </xf>
    <xf numFmtId="3" fontId="26" fillId="0" borderId="41" xfId="0" applyNumberFormat="1" applyFont="1" applyFill="1" applyBorder="1" applyAlignment="1">
      <alignment horizontal="right" vertical="center" wrapText="1"/>
    </xf>
    <xf numFmtId="3" fontId="26" fillId="35" borderId="42" xfId="0" applyNumberFormat="1" applyFont="1" applyFill="1" applyBorder="1" applyAlignment="1">
      <alignment horizontal="right" vertical="center" wrapText="1"/>
    </xf>
    <xf numFmtId="49" fontId="0" fillId="0" borderId="43" xfId="0" applyNumberFormat="1" applyFont="1" applyBorder="1" applyAlignment="1">
      <alignment horizontal="left"/>
    </xf>
    <xf numFmtId="49" fontId="26" fillId="0" borderId="44" xfId="0" applyNumberFormat="1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3" fontId="26" fillId="35" borderId="46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26" fillId="0" borderId="34" xfId="0" applyNumberFormat="1" applyFont="1" applyFill="1" applyBorder="1" applyAlignment="1">
      <alignment horizontal="right" vertical="center"/>
    </xf>
    <xf numFmtId="3" fontId="26" fillId="0" borderId="35" xfId="0" applyNumberFormat="1" applyFont="1" applyFill="1" applyBorder="1" applyAlignment="1">
      <alignment horizontal="right" vertical="center"/>
    </xf>
    <xf numFmtId="49" fontId="0" fillId="0" borderId="47" xfId="0" applyNumberFormat="1" applyFont="1" applyBorder="1" applyAlignment="1">
      <alignment horizontal="left"/>
    </xf>
    <xf numFmtId="49" fontId="26" fillId="0" borderId="48" xfId="0" applyNumberFormat="1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/>
    </xf>
    <xf numFmtId="3" fontId="27" fillId="0" borderId="22" xfId="0" applyNumberFormat="1" applyFont="1" applyFill="1" applyBorder="1" applyAlignment="1">
      <alignment horizontal="right" vertical="center"/>
    </xf>
    <xf numFmtId="0" fontId="26" fillId="0" borderId="45" xfId="0" applyFont="1" applyBorder="1" applyAlignment="1">
      <alignment horizontal="left" wrapText="1"/>
    </xf>
    <xf numFmtId="3" fontId="27" fillId="0" borderId="29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34" xfId="0" applyNumberFormat="1" applyFont="1" applyFill="1" applyBorder="1" applyAlignment="1">
      <alignment horizontal="right" vertical="center"/>
    </xf>
    <xf numFmtId="3" fontId="27" fillId="0" borderId="41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0" fontId="27" fillId="0" borderId="21" xfId="0" applyFont="1" applyBorder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center"/>
    </xf>
    <xf numFmtId="3" fontId="26" fillId="0" borderId="30" xfId="0" applyNumberFormat="1" applyFont="1" applyFill="1" applyBorder="1" applyAlignment="1">
      <alignment horizontal="right" vertical="center"/>
    </xf>
    <xf numFmtId="3" fontId="26" fillId="0" borderId="46" xfId="0" applyNumberFormat="1" applyFont="1" applyFill="1" applyBorder="1" applyAlignment="1">
      <alignment horizontal="right" vertical="center"/>
    </xf>
    <xf numFmtId="49" fontId="26" fillId="0" borderId="32" xfId="0" applyNumberFormat="1" applyFont="1" applyBorder="1" applyAlignment="1">
      <alignment horizontal="left" vertical="center"/>
    </xf>
    <xf numFmtId="3" fontId="26" fillId="0" borderId="49" xfId="0" applyNumberFormat="1" applyFont="1" applyFill="1" applyBorder="1" applyAlignment="1">
      <alignment horizontal="right" vertical="center"/>
    </xf>
    <xf numFmtId="3" fontId="26" fillId="0" borderId="50" xfId="0" applyNumberFormat="1" applyFont="1" applyFill="1" applyBorder="1" applyAlignment="1">
      <alignment horizontal="right" vertical="center"/>
    </xf>
    <xf numFmtId="3" fontId="26" fillId="0" borderId="36" xfId="0" applyNumberFormat="1" applyFont="1" applyFill="1" applyBorder="1" applyAlignment="1">
      <alignment horizontal="right" vertical="center"/>
    </xf>
    <xf numFmtId="49" fontId="0" fillId="0" borderId="51" xfId="0" applyNumberFormat="1" applyFont="1" applyBorder="1" applyAlignment="1">
      <alignment horizontal="left"/>
    </xf>
    <xf numFmtId="3" fontId="26" fillId="0" borderId="52" xfId="0" applyNumberFormat="1" applyFont="1" applyFill="1" applyBorder="1" applyAlignment="1">
      <alignment horizontal="right" vertical="center"/>
    </xf>
    <xf numFmtId="3" fontId="26" fillId="0" borderId="37" xfId="0" applyNumberFormat="1" applyFont="1" applyFill="1" applyBorder="1" applyAlignment="1">
      <alignment horizontal="right" vertical="center"/>
    </xf>
    <xf numFmtId="0" fontId="26" fillId="0" borderId="53" xfId="0" applyFont="1" applyFill="1" applyBorder="1" applyAlignment="1">
      <alignment horizontal="left" vertical="center" wrapText="1"/>
    </xf>
    <xf numFmtId="3" fontId="26" fillId="0" borderId="42" xfId="0" applyNumberFormat="1" applyFont="1" applyFill="1" applyBorder="1" applyAlignment="1">
      <alignment horizontal="right" vertical="center"/>
    </xf>
    <xf numFmtId="3" fontId="26" fillId="0" borderId="41" xfId="0" applyNumberFormat="1" applyFont="1" applyFill="1" applyBorder="1" applyAlignment="1">
      <alignment horizontal="right" vertical="center"/>
    </xf>
    <xf numFmtId="3" fontId="26" fillId="0" borderId="54" xfId="0" applyNumberFormat="1" applyFont="1" applyFill="1" applyBorder="1" applyAlignment="1">
      <alignment horizontal="right" vertical="center"/>
    </xf>
    <xf numFmtId="0" fontId="28" fillId="0" borderId="43" xfId="0" applyFont="1" applyBorder="1" applyAlignment="1">
      <alignment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46" xfId="0" applyNumberFormat="1" applyFont="1" applyFill="1" applyBorder="1" applyAlignment="1">
      <alignment horizontal="right" vertical="center"/>
    </xf>
    <xf numFmtId="3" fontId="27" fillId="0" borderId="35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3" fontId="27" fillId="0" borderId="46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vertical="center"/>
    </xf>
    <xf numFmtId="3" fontId="26" fillId="0" borderId="50" xfId="0" applyNumberFormat="1" applyFont="1" applyFill="1" applyBorder="1" applyAlignment="1">
      <alignment vertical="center"/>
    </xf>
    <xf numFmtId="3" fontId="26" fillId="0" borderId="36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vertical="center"/>
    </xf>
    <xf numFmtId="3" fontId="26" fillId="0" borderId="34" xfId="0" applyNumberFormat="1" applyFont="1" applyFill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21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vertical="center"/>
    </xf>
    <xf numFmtId="49" fontId="26" fillId="0" borderId="20" xfId="0" applyNumberFormat="1" applyFont="1" applyBorder="1" applyAlignment="1">
      <alignment horizontal="left" vertical="center"/>
    </xf>
    <xf numFmtId="3" fontId="21" fillId="0" borderId="22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10" fontId="21" fillId="0" borderId="23" xfId="0" applyNumberFormat="1" applyFont="1" applyBorder="1" applyAlignment="1">
      <alignment vertical="center"/>
    </xf>
    <xf numFmtId="49" fontId="27" fillId="0" borderId="20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10" fontId="25" fillId="0" borderId="23" xfId="0" applyNumberFormat="1" applyFont="1" applyBorder="1" applyAlignment="1">
      <alignment vertical="center"/>
    </xf>
    <xf numFmtId="10" fontId="25" fillId="0" borderId="24" xfId="0" applyNumberFormat="1" applyFont="1" applyBorder="1" applyAlignment="1">
      <alignment vertical="center"/>
    </xf>
    <xf numFmtId="49" fontId="27" fillId="0" borderId="55" xfId="0" applyNumberFormat="1" applyFont="1" applyBorder="1" applyAlignment="1">
      <alignment horizontal="left" vertical="center"/>
    </xf>
    <xf numFmtId="0" fontId="27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/>
    </xf>
    <xf numFmtId="164" fontId="29" fillId="0" borderId="0" xfId="98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43" xfId="0" applyNumberFormat="1" applyFont="1" applyBorder="1" applyAlignment="1">
      <alignment horizontal="left" vertical="center"/>
    </xf>
    <xf numFmtId="49" fontId="26" fillId="0" borderId="44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3" fontId="26" fillId="0" borderId="3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6" fillId="0" borderId="31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vertical="center" wrapText="1"/>
    </xf>
    <xf numFmtId="0" fontId="26" fillId="0" borderId="32" xfId="76" applyNumberFormat="1" applyFont="1" applyFill="1" applyBorder="1" applyAlignment="1" applyProtection="1">
      <alignment vertical="center" wrapText="1"/>
      <protection/>
    </xf>
    <xf numFmtId="0" fontId="26" fillId="0" borderId="45" xfId="76" applyNumberFormat="1" applyFont="1" applyFill="1" applyBorder="1" applyAlignment="1" applyProtection="1">
      <alignment vertical="center" wrapText="1"/>
      <protection/>
    </xf>
    <xf numFmtId="0" fontId="26" fillId="0" borderId="32" xfId="0" applyFont="1" applyBorder="1" applyAlignment="1">
      <alignment vertical="center"/>
    </xf>
    <xf numFmtId="0" fontId="26" fillId="0" borderId="32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49" fontId="26" fillId="0" borderId="47" xfId="0" applyNumberFormat="1" applyFont="1" applyBorder="1" applyAlignment="1">
      <alignment horizontal="left" vertical="center"/>
    </xf>
    <xf numFmtId="49" fontId="26" fillId="0" borderId="48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3" fontId="27" fillId="0" borderId="23" xfId="0" applyNumberFormat="1" applyFont="1" applyBorder="1" applyAlignment="1">
      <alignment vertical="center"/>
    </xf>
    <xf numFmtId="49" fontId="26" fillId="0" borderId="45" xfId="0" applyNumberFormat="1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49" fontId="26" fillId="0" borderId="31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3" fontId="34" fillId="0" borderId="23" xfId="0" applyNumberFormat="1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6" fillId="0" borderId="43" xfId="0" applyFont="1" applyBorder="1" applyAlignment="1">
      <alignment vertical="center"/>
    </xf>
    <xf numFmtId="49" fontId="26" fillId="0" borderId="40" xfId="0" applyNumberFormat="1" applyFont="1" applyBorder="1" applyAlignment="1">
      <alignment horizontal="left" vertical="center" wrapText="1"/>
    </xf>
    <xf numFmtId="3" fontId="26" fillId="0" borderId="36" xfId="0" applyNumberFormat="1" applyFont="1" applyBorder="1" applyAlignment="1">
      <alignment vertical="center"/>
    </xf>
    <xf numFmtId="49" fontId="27" fillId="0" borderId="57" xfId="0" applyNumberFormat="1" applyFont="1" applyBorder="1" applyAlignment="1">
      <alignment horizontal="left" vertical="center"/>
    </xf>
    <xf numFmtId="49" fontId="27" fillId="0" borderId="55" xfId="0" applyNumberFormat="1" applyFont="1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3" fontId="27" fillId="0" borderId="59" xfId="0" applyNumberFormat="1" applyFont="1" applyBorder="1" applyAlignment="1">
      <alignment vertical="center"/>
    </xf>
    <xf numFmtId="49" fontId="26" fillId="0" borderId="40" xfId="0" applyNumberFormat="1" applyFont="1" applyBorder="1" applyAlignment="1">
      <alignment horizontal="left" vertical="center"/>
    </xf>
    <xf numFmtId="3" fontId="27" fillId="0" borderId="36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31" fillId="0" borderId="0" xfId="98" applyFont="1" applyFill="1" applyAlignment="1">
      <alignment horizontal="center"/>
      <protection/>
    </xf>
    <xf numFmtId="3" fontId="27" fillId="0" borderId="0" xfId="0" applyNumberFormat="1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164" fontId="29" fillId="0" borderId="60" xfId="98" applyNumberFormat="1" applyFont="1" applyFill="1" applyBorder="1" applyAlignment="1" applyProtection="1">
      <alignment horizontal="left" vertical="center"/>
      <protection/>
    </xf>
    <xf numFmtId="0" fontId="16" fillId="0" borderId="0" xfId="98" applyFill="1">
      <alignment/>
      <protection/>
    </xf>
    <xf numFmtId="3" fontId="35" fillId="0" borderId="0" xfId="98" applyNumberFormat="1" applyFont="1" applyFill="1" applyBorder="1">
      <alignment/>
      <protection/>
    </xf>
    <xf numFmtId="164" fontId="35" fillId="0" borderId="0" xfId="98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36" fillId="0" borderId="22" xfId="98" applyFont="1" applyFill="1" applyBorder="1" applyAlignment="1" applyProtection="1">
      <alignment horizontal="left" vertical="center" wrapText="1" indent="1"/>
      <protection/>
    </xf>
    <xf numFmtId="164" fontId="37" fillId="0" borderId="23" xfId="98" applyNumberFormat="1" applyFont="1" applyFill="1" applyBorder="1" applyAlignment="1" applyProtection="1">
      <alignment horizontal="right" vertical="center" wrapText="1"/>
      <protection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38" fillId="0" borderId="0" xfId="98" applyFont="1" applyFill="1">
      <alignment/>
      <protection/>
    </xf>
    <xf numFmtId="0" fontId="31" fillId="0" borderId="0" xfId="98" applyFont="1" applyFill="1" applyBorder="1" applyAlignment="1">
      <alignment horizontal="center" wrapText="1"/>
      <protection/>
    </xf>
    <xf numFmtId="164" fontId="37" fillId="0" borderId="29" xfId="98" applyNumberFormat="1" applyFont="1" applyFill="1" applyBorder="1" applyAlignment="1" applyProtection="1">
      <alignment horizontal="right" vertical="center" wrapText="1"/>
      <protection/>
    </xf>
    <xf numFmtId="164" fontId="37" fillId="0" borderId="35" xfId="98" applyNumberFormat="1" applyFont="1" applyFill="1" applyBorder="1" applyAlignment="1" applyProtection="1">
      <alignment horizontal="right" vertical="center" wrapText="1"/>
      <protection/>
    </xf>
    <xf numFmtId="164" fontId="37" fillId="0" borderId="61" xfId="98" applyNumberFormat="1" applyFont="1" applyFill="1" applyBorder="1" applyAlignment="1" applyProtection="1">
      <alignment horizontal="right" vertical="center" wrapText="1"/>
      <protection/>
    </xf>
    <xf numFmtId="3" fontId="37" fillId="0" borderId="35" xfId="98" applyNumberFormat="1" applyFont="1" applyFill="1" applyBorder="1" applyAlignment="1" applyProtection="1">
      <alignment horizontal="right" vertical="center" wrapText="1"/>
      <protection/>
    </xf>
    <xf numFmtId="3" fontId="37" fillId="0" borderId="41" xfId="98" applyNumberFormat="1" applyFont="1" applyFill="1" applyBorder="1" applyAlignment="1" applyProtection="1">
      <alignment horizontal="right" vertical="center" wrapText="1"/>
      <protection/>
    </xf>
    <xf numFmtId="3" fontId="26" fillId="0" borderId="0" xfId="0" applyNumberFormat="1" applyFont="1" applyBorder="1" applyAlignment="1">
      <alignment/>
    </xf>
    <xf numFmtId="0" fontId="31" fillId="0" borderId="0" xfId="98" applyFont="1" applyFill="1" applyAlignment="1">
      <alignment horizontal="center" wrapText="1"/>
      <protection/>
    </xf>
    <xf numFmtId="0" fontId="37" fillId="0" borderId="28" xfId="98" applyFont="1" applyFill="1" applyBorder="1" applyAlignment="1">
      <alignment horizontal="center"/>
      <protection/>
    </xf>
    <xf numFmtId="3" fontId="37" fillId="0" borderId="29" xfId="98" applyNumberFormat="1" applyFont="1" applyFill="1" applyBorder="1">
      <alignment/>
      <protection/>
    </xf>
    <xf numFmtId="3" fontId="40" fillId="0" borderId="62" xfId="98" applyNumberFormat="1" applyFont="1" applyFill="1" applyBorder="1">
      <alignment/>
      <protection/>
    </xf>
    <xf numFmtId="3" fontId="40" fillId="0" borderId="35" xfId="98" applyNumberFormat="1" applyFont="1" applyFill="1" applyBorder="1">
      <alignment/>
      <protection/>
    </xf>
    <xf numFmtId="164" fontId="40" fillId="0" borderId="62" xfId="98" applyNumberFormat="1" applyFont="1" applyFill="1" applyBorder="1">
      <alignment/>
      <protection/>
    </xf>
    <xf numFmtId="164" fontId="40" fillId="0" borderId="35" xfId="98" applyNumberFormat="1" applyFont="1" applyFill="1" applyBorder="1">
      <alignment/>
      <protection/>
    </xf>
    <xf numFmtId="3" fontId="40" fillId="0" borderId="63" xfId="98" applyNumberFormat="1" applyFont="1" applyFill="1" applyBorder="1">
      <alignment/>
      <protection/>
    </xf>
    <xf numFmtId="3" fontId="40" fillId="0" borderId="41" xfId="98" applyNumberFormat="1" applyFont="1" applyFill="1" applyBorder="1">
      <alignment/>
      <protection/>
    </xf>
    <xf numFmtId="0" fontId="14" fillId="0" borderId="0" xfId="94" applyAlignment="1">
      <alignment vertical="center"/>
      <protection/>
    </xf>
    <xf numFmtId="0" fontId="44" fillId="0" borderId="0" xfId="94" applyFont="1" applyAlignment="1">
      <alignment horizontal="center" vertical="center"/>
      <protection/>
    </xf>
    <xf numFmtId="0" fontId="45" fillId="0" borderId="19" xfId="94" applyFont="1" applyBorder="1" applyAlignment="1">
      <alignment horizontal="center" vertical="center"/>
      <protection/>
    </xf>
    <xf numFmtId="0" fontId="45" fillId="0" borderId="22" xfId="94" applyFont="1" applyBorder="1" applyAlignment="1">
      <alignment horizontal="center" vertical="center"/>
      <protection/>
    </xf>
    <xf numFmtId="0" fontId="45" fillId="0" borderId="23" xfId="94" applyFont="1" applyBorder="1" applyAlignment="1">
      <alignment horizontal="center" vertical="center"/>
      <protection/>
    </xf>
    <xf numFmtId="0" fontId="45" fillId="0" borderId="24" xfId="94" applyFont="1" applyBorder="1" applyAlignment="1">
      <alignment horizontal="center" vertical="center"/>
      <protection/>
    </xf>
    <xf numFmtId="3" fontId="14" fillId="0" borderId="46" xfId="94" applyNumberFormat="1" applyBorder="1" applyAlignment="1">
      <alignment vertical="center"/>
      <protection/>
    </xf>
    <xf numFmtId="3" fontId="14" fillId="0" borderId="30" xfId="94" applyNumberFormat="1" applyBorder="1" applyAlignment="1">
      <alignment vertical="center"/>
      <protection/>
    </xf>
    <xf numFmtId="3" fontId="14" fillId="0" borderId="28" xfId="94" applyNumberFormat="1" applyBorder="1" applyAlignment="1">
      <alignment vertical="center"/>
      <protection/>
    </xf>
    <xf numFmtId="3" fontId="14" fillId="0" borderId="29" xfId="94" applyNumberFormat="1" applyBorder="1" applyAlignment="1">
      <alignment vertical="center"/>
      <protection/>
    </xf>
    <xf numFmtId="3" fontId="14" fillId="0" borderId="34" xfId="94" applyNumberFormat="1" applyBorder="1" applyAlignment="1">
      <alignment vertical="center"/>
      <protection/>
    </xf>
    <xf numFmtId="3" fontId="14" fillId="0" borderId="35" xfId="94" applyNumberFormat="1" applyBorder="1" applyAlignment="1">
      <alignment vertical="center"/>
      <protection/>
    </xf>
    <xf numFmtId="3" fontId="14" fillId="0" borderId="34" xfId="94" applyNumberFormat="1" applyFill="1" applyBorder="1" applyAlignment="1">
      <alignment vertical="center"/>
      <protection/>
    </xf>
    <xf numFmtId="3" fontId="14" fillId="0" borderId="35" xfId="94" applyNumberFormat="1" applyFill="1" applyBorder="1" applyAlignment="1">
      <alignment vertical="center"/>
      <protection/>
    </xf>
    <xf numFmtId="3" fontId="14" fillId="0" borderId="50" xfId="94" applyNumberFormat="1" applyBorder="1" applyAlignment="1">
      <alignment vertical="center"/>
      <protection/>
    </xf>
    <xf numFmtId="3" fontId="14" fillId="0" borderId="36" xfId="94" applyNumberFormat="1" applyBorder="1" applyAlignment="1">
      <alignment vertical="center"/>
      <protection/>
    </xf>
    <xf numFmtId="3" fontId="14" fillId="0" borderId="42" xfId="94" applyNumberFormat="1" applyBorder="1" applyAlignment="1">
      <alignment vertical="center"/>
      <protection/>
    </xf>
    <xf numFmtId="3" fontId="14" fillId="0" borderId="41" xfId="94" applyNumberFormat="1" applyBorder="1" applyAlignment="1">
      <alignment vertical="center"/>
      <protection/>
    </xf>
    <xf numFmtId="3" fontId="14" fillId="0" borderId="64" xfId="94" applyNumberFormat="1" applyBorder="1" applyAlignment="1">
      <alignment vertical="center"/>
      <protection/>
    </xf>
    <xf numFmtId="3" fontId="14" fillId="0" borderId="61" xfId="94" applyNumberFormat="1" applyBorder="1" applyAlignment="1">
      <alignment vertical="center"/>
      <protection/>
    </xf>
    <xf numFmtId="3" fontId="45" fillId="0" borderId="30" xfId="94" applyNumberFormat="1" applyFont="1" applyFill="1" applyBorder="1" applyAlignment="1">
      <alignment vertical="center"/>
      <protection/>
    </xf>
    <xf numFmtId="3" fontId="45" fillId="0" borderId="50" xfId="94" applyNumberFormat="1" applyFont="1" applyBorder="1" applyAlignment="1">
      <alignment vertical="center"/>
      <protection/>
    </xf>
    <xf numFmtId="3" fontId="45" fillId="0" borderId="36" xfId="94" applyNumberFormat="1" applyFont="1" applyBorder="1" applyAlignment="1">
      <alignment vertical="center"/>
      <protection/>
    </xf>
    <xf numFmtId="3" fontId="45" fillId="0" borderId="22" xfId="94" applyNumberFormat="1" applyFont="1" applyBorder="1" applyAlignment="1">
      <alignment vertical="center"/>
      <protection/>
    </xf>
    <xf numFmtId="3" fontId="45" fillId="0" borderId="23" xfId="94" applyNumberFormat="1" applyFont="1" applyBorder="1" applyAlignment="1">
      <alignment vertical="center"/>
      <protection/>
    </xf>
    <xf numFmtId="3" fontId="46" fillId="0" borderId="22" xfId="94" applyNumberFormat="1" applyFont="1" applyBorder="1" applyAlignment="1">
      <alignment vertical="center"/>
      <protection/>
    </xf>
    <xf numFmtId="3" fontId="46" fillId="0" borderId="23" xfId="94" applyNumberFormat="1" applyFont="1" applyBorder="1" applyAlignment="1">
      <alignment vertical="center"/>
      <protection/>
    </xf>
    <xf numFmtId="3" fontId="46" fillId="0" borderId="21" xfId="94" applyNumberFormat="1" applyFont="1" applyBorder="1" applyAlignment="1">
      <alignment vertical="center"/>
      <protection/>
    </xf>
    <xf numFmtId="3" fontId="46" fillId="0" borderId="0" xfId="94" applyNumberFormat="1" applyFont="1" applyBorder="1" applyAlignment="1">
      <alignment vertical="center"/>
      <protection/>
    </xf>
    <xf numFmtId="3" fontId="14" fillId="0" borderId="0" xfId="94" applyNumberFormat="1" applyAlignment="1">
      <alignment vertical="center"/>
      <protection/>
    </xf>
    <xf numFmtId="3" fontId="14" fillId="0" borderId="28" xfId="94" applyNumberFormat="1" applyFill="1" applyBorder="1" applyAlignment="1">
      <alignment vertical="center"/>
      <protection/>
    </xf>
    <xf numFmtId="3" fontId="14" fillId="0" borderId="29" xfId="94" applyNumberFormat="1" applyFill="1" applyBorder="1" applyAlignment="1">
      <alignment vertical="center"/>
      <protection/>
    </xf>
    <xf numFmtId="3" fontId="14" fillId="0" borderId="23" xfId="94" applyNumberFormat="1" applyBorder="1" applyAlignment="1">
      <alignment vertical="center"/>
      <protection/>
    </xf>
    <xf numFmtId="3" fontId="14" fillId="0" borderId="46" xfId="94" applyNumberFormat="1" applyFont="1" applyBorder="1" applyAlignment="1">
      <alignment vertical="center"/>
      <protection/>
    </xf>
    <xf numFmtId="3" fontId="14" fillId="0" borderId="30" xfId="94" applyNumberFormat="1" applyFont="1" applyBorder="1" applyAlignment="1">
      <alignment vertical="center"/>
      <protection/>
    </xf>
    <xf numFmtId="3" fontId="46" fillId="0" borderId="50" xfId="94" applyNumberFormat="1" applyFont="1" applyBorder="1" applyAlignment="1">
      <alignment vertical="center"/>
      <protection/>
    </xf>
    <xf numFmtId="3" fontId="46" fillId="0" borderId="36" xfId="94" applyNumberFormat="1" applyFont="1" applyBorder="1" applyAlignment="1">
      <alignment vertical="center"/>
      <protection/>
    </xf>
    <xf numFmtId="3" fontId="46" fillId="0" borderId="64" xfId="94" applyNumberFormat="1" applyFont="1" applyBorder="1" applyAlignment="1">
      <alignment vertical="center"/>
      <protection/>
    </xf>
    <xf numFmtId="3" fontId="46" fillId="0" borderId="61" xfId="94" applyNumberFormat="1" applyFont="1" applyBorder="1" applyAlignment="1">
      <alignment vertical="center"/>
      <protection/>
    </xf>
    <xf numFmtId="3" fontId="47" fillId="0" borderId="64" xfId="94" applyNumberFormat="1" applyFont="1" applyBorder="1" applyAlignment="1">
      <alignment vertical="center"/>
      <protection/>
    </xf>
    <xf numFmtId="3" fontId="48" fillId="0" borderId="61" xfId="94" applyNumberFormat="1" applyFont="1" applyBorder="1" applyAlignment="1">
      <alignment vertical="center"/>
      <protection/>
    </xf>
    <xf numFmtId="3" fontId="48" fillId="0" borderId="22" xfId="94" applyNumberFormat="1" applyFont="1" applyBorder="1" applyAlignment="1">
      <alignment vertical="center"/>
      <protection/>
    </xf>
    <xf numFmtId="3" fontId="48" fillId="0" borderId="23" xfId="94" applyNumberFormat="1" applyFont="1" applyBorder="1" applyAlignment="1">
      <alignment vertical="center"/>
      <protection/>
    </xf>
    <xf numFmtId="3" fontId="27" fillId="0" borderId="2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3" fontId="27" fillId="0" borderId="64" xfId="0" applyNumberFormat="1" applyFont="1" applyFill="1" applyBorder="1" applyAlignment="1">
      <alignment vertical="center"/>
    </xf>
    <xf numFmtId="49" fontId="26" fillId="0" borderId="55" xfId="0" applyNumberFormat="1" applyFont="1" applyBorder="1" applyAlignment="1">
      <alignment horizontal="left" vertical="center"/>
    </xf>
    <xf numFmtId="3" fontId="21" fillId="0" borderId="55" xfId="0" applyNumberFormat="1" applyFont="1" applyBorder="1" applyAlignment="1">
      <alignment vertical="center"/>
    </xf>
    <xf numFmtId="3" fontId="26" fillId="0" borderId="55" xfId="0" applyNumberFormat="1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right" vertical="top"/>
      <protection locked="0"/>
    </xf>
    <xf numFmtId="0" fontId="31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 applyProtection="1">
      <alignment horizontal="right"/>
      <protection/>
    </xf>
    <xf numFmtId="0" fontId="50" fillId="0" borderId="65" xfId="0" applyFont="1" applyFill="1" applyBorder="1" applyAlignment="1" applyProtection="1">
      <alignment horizontal="center" vertical="center" wrapText="1"/>
      <protection/>
    </xf>
    <xf numFmtId="0" fontId="50" fillId="0" borderId="66" xfId="0" applyFont="1" applyFill="1" applyBorder="1" applyAlignment="1" applyProtection="1">
      <alignment horizontal="center" vertical="center" wrapText="1"/>
      <protection/>
    </xf>
    <xf numFmtId="0" fontId="50" fillId="0" borderId="59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3" xfId="0" applyFont="1" applyFill="1" applyBorder="1" applyAlignment="1" applyProtection="1">
      <alignment horizontal="center" vertical="center" wrapText="1"/>
      <protection/>
    </xf>
    <xf numFmtId="0" fontId="36" fillId="0" borderId="67" xfId="0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164" fontId="50" fillId="0" borderId="50" xfId="0" applyNumberFormat="1" applyFont="1" applyFill="1" applyBorder="1" applyAlignment="1" applyProtection="1">
      <alignment horizontal="center" vertical="center" wrapText="1"/>
      <protection/>
    </xf>
    <xf numFmtId="164" fontId="50" fillId="0" borderId="37" xfId="0" applyNumberFormat="1" applyFont="1" applyFill="1" applyBorder="1" applyAlignment="1" applyProtection="1">
      <alignment horizontal="center" vertical="center" wrapText="1"/>
      <protection/>
    </xf>
    <xf numFmtId="164" fontId="50" fillId="0" borderId="66" xfId="0" applyNumberFormat="1" applyFont="1" applyFill="1" applyBorder="1" applyAlignment="1" applyProtection="1">
      <alignment horizontal="center" vertical="center" wrapText="1"/>
      <protection/>
    </xf>
    <xf numFmtId="164" fontId="50" fillId="0" borderId="59" xfId="0" applyNumberFormat="1" applyFont="1" applyFill="1" applyBorder="1" applyAlignment="1" applyProtection="1">
      <alignment horizontal="center" vertical="center" wrapText="1"/>
      <protection/>
    </xf>
    <xf numFmtId="164" fontId="50" fillId="0" borderId="68" xfId="0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0" fontId="36" fillId="0" borderId="67" xfId="0" applyFont="1" applyFill="1" applyBorder="1" applyAlignment="1" applyProtection="1">
      <alignment horizontal="left" vertical="center" wrapText="1" indent="1"/>
      <protection/>
    </xf>
    <xf numFmtId="164" fontId="3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0" xfId="0" applyFont="1" applyFill="1" applyAlignment="1">
      <alignment vertical="center" wrapText="1"/>
    </xf>
    <xf numFmtId="0" fontId="36" fillId="0" borderId="34" xfId="0" applyFont="1" applyFill="1" applyBorder="1" applyAlignment="1" applyProtection="1">
      <alignment horizontal="center" vertical="center" wrapText="1"/>
      <protection/>
    </xf>
    <xf numFmtId="49" fontId="35" fillId="0" borderId="35" xfId="0" applyNumberFormat="1" applyFont="1" applyFill="1" applyBorder="1" applyAlignment="1" applyProtection="1">
      <alignment horizontal="center" vertical="center" wrapText="1"/>
      <protection/>
    </xf>
    <xf numFmtId="0" fontId="35" fillId="0" borderId="70" xfId="98" applyFont="1" applyFill="1" applyBorder="1" applyAlignment="1" applyProtection="1">
      <alignment horizontal="left" vertical="center" wrapText="1" indent="1"/>
      <protection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0" fontId="35" fillId="0" borderId="71" xfId="98" applyFont="1" applyFill="1" applyBorder="1" applyAlignment="1" applyProtection="1">
      <alignment horizontal="left" vertical="center" wrapText="1" indent="1"/>
      <protection/>
    </xf>
    <xf numFmtId="0" fontId="36" fillId="0" borderId="23" xfId="98" applyFont="1" applyFill="1" applyBorder="1" applyAlignment="1" applyProtection="1">
      <alignment horizontal="left" vertical="center" wrapText="1" indent="1"/>
      <protection/>
    </xf>
    <xf numFmtId="0" fontId="36" fillId="0" borderId="67" xfId="98" applyFont="1" applyFill="1" applyBorder="1" applyAlignment="1" applyProtection="1">
      <alignment horizontal="left" vertical="center" wrapText="1" indent="1"/>
      <protection/>
    </xf>
    <xf numFmtId="0" fontId="36" fillId="0" borderId="28" xfId="0" applyFont="1" applyFill="1" applyBorder="1" applyAlignment="1" applyProtection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35" fillId="0" borderId="72" xfId="98" applyFont="1" applyFill="1" applyBorder="1" applyAlignment="1" applyProtection="1">
      <alignment horizontal="left" vertical="center" wrapText="1" indent="1"/>
      <protection/>
    </xf>
    <xf numFmtId="164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64" xfId="0" applyFont="1" applyFill="1" applyBorder="1" applyAlignment="1" applyProtection="1">
      <alignment horizontal="center" vertical="center" wrapText="1"/>
      <protection/>
    </xf>
    <xf numFmtId="49" fontId="35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74" xfId="98" applyFont="1" applyFill="1" applyBorder="1" applyAlignment="1" applyProtection="1">
      <alignment horizontal="left" vertical="center" wrapText="1" indent="1"/>
      <protection/>
    </xf>
    <xf numFmtId="164" fontId="3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23" xfId="98" applyNumberFormat="1" applyFont="1" applyFill="1" applyBorder="1" applyAlignment="1" applyProtection="1">
      <alignment horizontal="left" vertical="center" wrapText="1" indent="1"/>
      <protection/>
    </xf>
    <xf numFmtId="0" fontId="58" fillId="0" borderId="66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0" fontId="36" fillId="0" borderId="65" xfId="98" applyFont="1" applyFill="1" applyBorder="1" applyAlignment="1" applyProtection="1">
      <alignment horizontal="left" vertical="center" wrapText="1" indent="1"/>
      <protection/>
    </xf>
    <xf numFmtId="164" fontId="36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59" xfId="0" applyNumberFormat="1" applyFont="1" applyFill="1" applyBorder="1" applyAlignment="1" applyProtection="1">
      <alignment horizontal="right" vertical="center" wrapText="1" indent="1"/>
      <protection/>
    </xf>
    <xf numFmtId="49" fontId="35" fillId="0" borderId="29" xfId="98" applyNumberFormat="1" applyFont="1" applyFill="1" applyBorder="1" applyAlignment="1" applyProtection="1">
      <alignment horizontal="left" vertical="center" wrapText="1" indent="1"/>
      <protection/>
    </xf>
    <xf numFmtId="164" fontId="3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52" xfId="0" applyFont="1" applyFill="1" applyBorder="1" applyAlignment="1" applyProtection="1">
      <alignment horizontal="center" vertical="center" wrapText="1"/>
      <protection/>
    </xf>
    <xf numFmtId="49" fontId="35" fillId="0" borderId="37" xfId="98" applyNumberFormat="1" applyFont="1" applyFill="1" applyBorder="1" applyAlignment="1" applyProtection="1">
      <alignment horizontal="left" vertical="center" wrapText="1" indent="1"/>
      <protection/>
    </xf>
    <xf numFmtId="164" fontId="3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42" xfId="0" applyFont="1" applyFill="1" applyBorder="1" applyAlignment="1" applyProtection="1">
      <alignment vertical="center" wrapText="1"/>
      <protection/>
    </xf>
    <xf numFmtId="49" fontId="35" fillId="0" borderId="41" xfId="98" applyNumberFormat="1" applyFont="1" applyFill="1" applyBorder="1" applyAlignment="1" applyProtection="1">
      <alignment horizontal="left" vertical="center" wrapText="1" indent="1"/>
      <protection/>
    </xf>
    <xf numFmtId="0" fontId="35" fillId="0" borderId="80" xfId="98" applyFont="1" applyFill="1" applyBorder="1" applyAlignment="1" applyProtection="1">
      <alignment horizontal="left" vertical="center" wrapText="1" indent="1"/>
      <protection/>
    </xf>
    <xf numFmtId="164" fontId="3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9" fillId="0" borderId="82" xfId="0" applyFont="1" applyBorder="1" applyAlignment="1" applyProtection="1">
      <alignment horizontal="center" wrapText="1"/>
      <protection/>
    </xf>
    <xf numFmtId="0" fontId="36" fillId="0" borderId="20" xfId="98" applyFont="1" applyFill="1" applyBorder="1" applyAlignment="1" applyProtection="1">
      <alignment horizontal="left" vertical="center" wrapText="1" indent="1"/>
      <protection/>
    </xf>
    <xf numFmtId="0" fontId="53" fillId="0" borderId="82" xfId="0" applyFont="1" applyBorder="1" applyAlignment="1" applyProtection="1">
      <alignment horizontal="center" wrapText="1"/>
      <protection/>
    </xf>
    <xf numFmtId="0" fontId="51" fillId="0" borderId="20" xfId="0" applyFont="1" applyBorder="1" applyAlignment="1" applyProtection="1">
      <alignment horizontal="left" wrapText="1" inden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4" fontId="3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35" fillId="0" borderId="0" xfId="0" applyFont="1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Fill="1" applyBorder="1" applyAlignment="1" applyProtection="1">
      <alignment horizontal="center" vertical="center" wrapText="1"/>
      <protection/>
    </xf>
    <xf numFmtId="49" fontId="35" fillId="0" borderId="30" xfId="98" applyNumberFormat="1" applyFont="1" applyFill="1" applyBorder="1" applyAlignment="1" applyProtection="1">
      <alignment horizontal="left" vertical="center" wrapText="1" indent="1"/>
      <protection/>
    </xf>
    <xf numFmtId="49" fontId="35" fillId="0" borderId="35" xfId="98" applyNumberFormat="1" applyFont="1" applyFill="1" applyBorder="1" applyAlignment="1" applyProtection="1">
      <alignment horizontal="left" vertical="center" wrapText="1" indent="1"/>
      <protection/>
    </xf>
    <xf numFmtId="0" fontId="35" fillId="0" borderId="23" xfId="0" applyFont="1" applyFill="1" applyBorder="1" applyAlignment="1" applyProtection="1">
      <alignment horizontal="center" vertical="center" wrapText="1"/>
      <protection/>
    </xf>
    <xf numFmtId="0" fontId="50" fillId="0" borderId="67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0" fontId="55" fillId="0" borderId="22" xfId="0" applyFont="1" applyFill="1" applyBorder="1" applyAlignment="1" applyProtection="1">
      <alignment horizontal="left" vertical="center"/>
      <protection/>
    </xf>
    <xf numFmtId="0" fontId="61" fillId="0" borderId="20" xfId="0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/>
    </xf>
    <xf numFmtId="3" fontId="5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15" fillId="0" borderId="0" xfId="96" applyFont="1" applyAlignment="1">
      <alignment horizontal="left" vertical="center" wrapText="1"/>
      <protection/>
    </xf>
    <xf numFmtId="0" fontId="63" fillId="0" borderId="0" xfId="96" applyFont="1" applyAlignment="1">
      <alignment horizontal="center" vertical="center"/>
      <protection/>
    </xf>
    <xf numFmtId="0" fontId="64" fillId="0" borderId="0" xfId="96" applyFont="1" applyAlignment="1">
      <alignment horizontal="right" vertical="center"/>
      <protection/>
    </xf>
    <xf numFmtId="0" fontId="65" fillId="0" borderId="0" xfId="96" applyFont="1" applyAlignment="1">
      <alignment horizontal="center" vertical="center"/>
      <protection/>
    </xf>
    <xf numFmtId="0" fontId="66" fillId="0" borderId="41" xfId="96" applyFont="1" applyBorder="1" applyAlignment="1">
      <alignment horizontal="center" vertical="center" wrapText="1"/>
      <protection/>
    </xf>
    <xf numFmtId="0" fontId="66" fillId="0" borderId="54" xfId="96" applyFont="1" applyBorder="1" applyAlignment="1">
      <alignment horizontal="center" vertical="center" wrapText="1"/>
      <protection/>
    </xf>
    <xf numFmtId="0" fontId="66" fillId="0" borderId="42" xfId="96" applyFont="1" applyBorder="1" applyAlignment="1">
      <alignment horizontal="center" vertical="center" wrapText="1"/>
      <protection/>
    </xf>
    <xf numFmtId="0" fontId="63" fillId="0" borderId="42" xfId="96" applyFont="1" applyBorder="1" applyAlignment="1">
      <alignment horizontal="center" vertical="center"/>
      <protection/>
    </xf>
    <xf numFmtId="0" fontId="63" fillId="0" borderId="54" xfId="96" applyFont="1" applyBorder="1" applyAlignment="1">
      <alignment horizontal="center" vertical="center"/>
      <protection/>
    </xf>
    <xf numFmtId="0" fontId="68" fillId="0" borderId="34" xfId="96" applyFont="1" applyBorder="1" applyAlignment="1">
      <alignment horizontal="left" vertical="center" wrapText="1"/>
      <protection/>
    </xf>
    <xf numFmtId="2" fontId="69" fillId="0" borderId="35" xfId="96" applyNumberFormat="1" applyFont="1" applyFill="1" applyBorder="1" applyAlignment="1">
      <alignment horizontal="center" vertical="center" wrapText="1"/>
      <protection/>
    </xf>
    <xf numFmtId="2" fontId="69" fillId="0" borderId="30" xfId="96" applyNumberFormat="1" applyFont="1" applyFill="1" applyBorder="1" applyAlignment="1">
      <alignment horizontal="center" vertical="center" wrapText="1"/>
      <protection/>
    </xf>
    <xf numFmtId="1" fontId="69" fillId="0" borderId="49" xfId="96" applyNumberFormat="1" applyFont="1" applyFill="1" applyBorder="1" applyAlignment="1">
      <alignment horizontal="center" vertical="center" wrapText="1"/>
      <protection/>
    </xf>
    <xf numFmtId="2" fontId="69" fillId="0" borderId="34" xfId="96" applyNumberFormat="1" applyFont="1" applyFill="1" applyBorder="1" applyAlignment="1">
      <alignment horizontal="center" vertical="center" wrapText="1"/>
      <protection/>
    </xf>
    <xf numFmtId="1" fontId="69" fillId="0" borderId="73" xfId="96" applyNumberFormat="1" applyFont="1" applyFill="1" applyBorder="1" applyAlignment="1">
      <alignment horizontal="center" vertical="center" wrapText="1"/>
      <protection/>
    </xf>
    <xf numFmtId="0" fontId="63" fillId="0" borderId="46" xfId="96" applyFont="1" applyBorder="1" applyAlignment="1">
      <alignment horizontal="center" vertical="center"/>
      <protection/>
    </xf>
    <xf numFmtId="10" fontId="63" fillId="0" borderId="76" xfId="96" applyNumberFormat="1" applyFont="1" applyBorder="1" applyAlignment="1">
      <alignment horizontal="center" vertical="center"/>
      <protection/>
    </xf>
    <xf numFmtId="0" fontId="63" fillId="0" borderId="34" xfId="96" applyFont="1" applyBorder="1" applyAlignment="1">
      <alignment horizontal="center" vertical="center"/>
      <protection/>
    </xf>
    <xf numFmtId="10" fontId="63" fillId="0" borderId="49" xfId="96" applyNumberFormat="1" applyFont="1" applyBorder="1" applyAlignment="1">
      <alignment horizontal="center" vertical="center"/>
      <protection/>
    </xf>
    <xf numFmtId="0" fontId="68" fillId="0" borderId="38" xfId="0" applyFont="1" applyBorder="1" applyAlignment="1">
      <alignment vertical="center" wrapText="1"/>
    </xf>
    <xf numFmtId="2" fontId="69" fillId="0" borderId="41" xfId="96" applyNumberFormat="1" applyFont="1" applyFill="1" applyBorder="1" applyAlignment="1">
      <alignment horizontal="center" vertical="center" wrapText="1"/>
      <protection/>
    </xf>
    <xf numFmtId="2" fontId="69" fillId="0" borderId="42" xfId="96" applyNumberFormat="1" applyFont="1" applyFill="1" applyBorder="1" applyAlignment="1">
      <alignment horizontal="center" vertical="center" wrapText="1"/>
      <protection/>
    </xf>
    <xf numFmtId="1" fontId="69" fillId="0" borderId="54" xfId="96" applyNumberFormat="1" applyFont="1" applyFill="1" applyBorder="1" applyAlignment="1">
      <alignment horizontal="center" vertical="center" wrapText="1"/>
      <protection/>
    </xf>
    <xf numFmtId="0" fontId="63" fillId="0" borderId="50" xfId="96" applyFont="1" applyBorder="1" applyAlignment="1">
      <alignment horizontal="center" vertical="center"/>
      <protection/>
    </xf>
    <xf numFmtId="10" fontId="63" fillId="0" borderId="83" xfId="96" applyNumberFormat="1" applyFont="1" applyBorder="1" applyAlignment="1">
      <alignment horizontal="center" vertical="center"/>
      <protection/>
    </xf>
    <xf numFmtId="0" fontId="48" fillId="0" borderId="64" xfId="96" applyFont="1" applyBorder="1" applyAlignment="1">
      <alignment horizontal="left" vertical="center" wrapText="1"/>
      <protection/>
    </xf>
    <xf numFmtId="2" fontId="70" fillId="0" borderId="61" xfId="96" applyNumberFormat="1" applyFont="1" applyBorder="1" applyAlignment="1">
      <alignment horizontal="center" vertical="center"/>
      <protection/>
    </xf>
    <xf numFmtId="1" fontId="70" fillId="0" borderId="75" xfId="96" applyNumberFormat="1" applyFont="1" applyBorder="1" applyAlignment="1">
      <alignment horizontal="center" vertical="center"/>
      <protection/>
    </xf>
    <xf numFmtId="2" fontId="70" fillId="0" borderId="64" xfId="96" applyNumberFormat="1" applyFont="1" applyBorder="1" applyAlignment="1">
      <alignment horizontal="center" vertical="center"/>
      <protection/>
    </xf>
    <xf numFmtId="1" fontId="70" fillId="0" borderId="22" xfId="96" applyNumberFormat="1" applyFont="1" applyBorder="1" applyAlignment="1">
      <alignment horizontal="center" vertical="center"/>
      <protection/>
    </xf>
    <xf numFmtId="10" fontId="63" fillId="0" borderId="24" xfId="96" applyNumberFormat="1" applyFont="1" applyBorder="1" applyAlignment="1">
      <alignment horizontal="center" vertical="center"/>
      <protection/>
    </xf>
    <xf numFmtId="10" fontId="63" fillId="0" borderId="0" xfId="96" applyNumberFormat="1" applyFont="1" applyAlignment="1">
      <alignment horizontal="center" vertical="center"/>
      <protection/>
    </xf>
    <xf numFmtId="1" fontId="70" fillId="0" borderId="19" xfId="96" applyNumberFormat="1" applyFont="1" applyBorder="1" applyAlignment="1">
      <alignment horizontal="center" vertical="center" wrapText="1"/>
      <protection/>
    </xf>
    <xf numFmtId="1" fontId="70" fillId="0" borderId="20" xfId="96" applyNumberFormat="1" applyFont="1" applyBorder="1" applyAlignment="1">
      <alignment horizontal="center" vertical="center" wrapText="1"/>
      <protection/>
    </xf>
    <xf numFmtId="1" fontId="70" fillId="0" borderId="69" xfId="96" applyNumberFormat="1" applyFont="1" applyBorder="1" applyAlignment="1">
      <alignment horizontal="center" vertical="center" wrapText="1"/>
      <protection/>
    </xf>
    <xf numFmtId="0" fontId="63" fillId="0" borderId="19" xfId="96" applyFont="1" applyBorder="1" applyAlignment="1">
      <alignment horizontal="center" vertical="center"/>
      <protection/>
    </xf>
    <xf numFmtId="10" fontId="63" fillId="0" borderId="69" xfId="96" applyNumberFormat="1" applyFont="1" applyBorder="1" applyAlignment="1">
      <alignment horizontal="center" vertical="center"/>
      <protection/>
    </xf>
    <xf numFmtId="0" fontId="14" fillId="0" borderId="0" xfId="94">
      <alignment/>
      <protection/>
    </xf>
    <xf numFmtId="0" fontId="71" fillId="0" borderId="0" xfId="94" applyFont="1">
      <alignment/>
      <protection/>
    </xf>
    <xf numFmtId="3" fontId="14" fillId="0" borderId="0" xfId="94" applyNumberFormat="1">
      <alignment/>
      <protection/>
    </xf>
    <xf numFmtId="0" fontId="71" fillId="0" borderId="0" xfId="94" applyFont="1" applyAlignment="1">
      <alignment horizontal="right"/>
      <protection/>
    </xf>
    <xf numFmtId="3" fontId="46" fillId="0" borderId="0" xfId="94" applyNumberFormat="1" applyFont="1" applyAlignment="1">
      <alignment horizontal="right"/>
      <protection/>
    </xf>
    <xf numFmtId="0" fontId="72" fillId="0" borderId="0" xfId="94" applyFont="1" applyAlignment="1">
      <alignment horizontal="center"/>
      <protection/>
    </xf>
    <xf numFmtId="0" fontId="73" fillId="0" borderId="0" xfId="94" applyFont="1" applyAlignment="1">
      <alignment horizontal="center"/>
      <protection/>
    </xf>
    <xf numFmtId="0" fontId="15" fillId="0" borderId="0" xfId="94" applyFont="1" applyAlignment="1">
      <alignment horizontal="center"/>
      <protection/>
    </xf>
    <xf numFmtId="0" fontId="15" fillId="0" borderId="0" xfId="97">
      <alignment/>
      <protection/>
    </xf>
    <xf numFmtId="0" fontId="45" fillId="0" borderId="22" xfId="94" applyFont="1" applyBorder="1" applyAlignment="1">
      <alignment horizontal="center" vertical="center" wrapText="1"/>
      <protection/>
    </xf>
    <xf numFmtId="0" fontId="14" fillId="0" borderId="0" xfId="94" applyAlignment="1">
      <alignment vertical="center" wrapText="1"/>
      <protection/>
    </xf>
    <xf numFmtId="0" fontId="45" fillId="0" borderId="66" xfId="94" applyFont="1" applyBorder="1" applyAlignment="1">
      <alignment horizontal="center" vertical="center" wrapText="1"/>
      <protection/>
    </xf>
    <xf numFmtId="166" fontId="74" fillId="0" borderId="55" xfId="97" applyNumberFormat="1" applyFont="1" applyBorder="1" applyAlignment="1">
      <alignment horizontal="center" vertical="center" wrapText="1"/>
      <protection/>
    </xf>
    <xf numFmtId="3" fontId="74" fillId="0" borderId="59" xfId="97" applyNumberFormat="1" applyFont="1" applyBorder="1" applyAlignment="1">
      <alignment horizontal="center" vertical="center" wrapText="1"/>
      <protection/>
    </xf>
    <xf numFmtId="3" fontId="74" fillId="0" borderId="68" xfId="97" applyNumberFormat="1" applyFont="1" applyBorder="1" applyAlignment="1">
      <alignment horizontal="center" vertical="center" wrapText="1"/>
      <protection/>
    </xf>
    <xf numFmtId="3" fontId="74" fillId="0" borderId="84" xfId="97" applyNumberFormat="1" applyFont="1" applyBorder="1" applyAlignment="1">
      <alignment horizontal="center" vertical="center" wrapText="1"/>
      <protection/>
    </xf>
    <xf numFmtId="0" fontId="45" fillId="0" borderId="21" xfId="94" applyFont="1" applyBorder="1" applyAlignment="1">
      <alignment horizontal="center" vertical="center" wrapText="1"/>
      <protection/>
    </xf>
    <xf numFmtId="3" fontId="75" fillId="0" borderId="21" xfId="97" applyNumberFormat="1" applyFont="1" applyBorder="1" applyAlignment="1">
      <alignment horizontal="right" vertical="center" wrapText="1"/>
      <protection/>
    </xf>
    <xf numFmtId="3" fontId="75" fillId="0" borderId="21" xfId="97" applyNumberFormat="1" applyFont="1" applyBorder="1" applyAlignment="1">
      <alignment horizontal="center" vertical="center" wrapText="1"/>
      <protection/>
    </xf>
    <xf numFmtId="3" fontId="75" fillId="0" borderId="84" xfId="97" applyNumberFormat="1" applyFont="1" applyBorder="1" applyAlignment="1">
      <alignment horizontal="center" vertical="center" wrapText="1"/>
      <protection/>
    </xf>
    <xf numFmtId="3" fontId="75" fillId="0" borderId="59" xfId="97" applyNumberFormat="1" applyFont="1" applyBorder="1" applyAlignment="1">
      <alignment horizontal="center" vertical="center" wrapText="1"/>
      <protection/>
    </xf>
    <xf numFmtId="3" fontId="75" fillId="0" borderId="68" xfId="97" applyNumberFormat="1" applyFont="1" applyBorder="1" applyAlignment="1">
      <alignment horizontal="center" vertical="center" wrapText="1"/>
      <protection/>
    </xf>
    <xf numFmtId="3" fontId="75" fillId="0" borderId="58" xfId="97" applyNumberFormat="1" applyFont="1" applyBorder="1" applyAlignment="1">
      <alignment horizontal="center" vertical="center" wrapText="1"/>
      <protection/>
    </xf>
    <xf numFmtId="0" fontId="75" fillId="0" borderId="21" xfId="97" applyFont="1" applyFill="1" applyBorder="1" applyAlignment="1">
      <alignment horizontal="left"/>
      <protection/>
    </xf>
    <xf numFmtId="3" fontId="76" fillId="0" borderId="21" xfId="97" applyNumberFormat="1" applyFont="1" applyFill="1" applyBorder="1" applyAlignment="1">
      <alignment vertical="top"/>
      <protection/>
    </xf>
    <xf numFmtId="10" fontId="76" fillId="0" borderId="21" xfId="97" applyNumberFormat="1" applyFont="1" applyFill="1" applyBorder="1" applyAlignment="1">
      <alignment vertical="top"/>
      <protection/>
    </xf>
    <xf numFmtId="0" fontId="14" fillId="0" borderId="21" xfId="94" applyFont="1" applyBorder="1" applyAlignment="1">
      <alignment horizontal="center" vertical="center"/>
      <protection/>
    </xf>
    <xf numFmtId="0" fontId="14" fillId="0" borderId="21" xfId="94" applyFont="1" applyBorder="1">
      <alignment/>
      <protection/>
    </xf>
    <xf numFmtId="0" fontId="14" fillId="0" borderId="21" xfId="94" applyBorder="1">
      <alignment/>
      <protection/>
    </xf>
    <xf numFmtId="0" fontId="14" fillId="0" borderId="22" xfId="94" applyFont="1" applyBorder="1" applyAlignment="1">
      <alignment horizontal="center" vertical="center"/>
      <protection/>
    </xf>
    <xf numFmtId="0" fontId="80" fillId="0" borderId="0" xfId="94" applyFont="1" applyAlignment="1">
      <alignment vertical="center"/>
      <protection/>
    </xf>
    <xf numFmtId="3" fontId="46" fillId="0" borderId="0" xfId="94" applyNumberFormat="1" applyFont="1" applyAlignment="1">
      <alignment horizontal="right" vertical="center"/>
      <protection/>
    </xf>
    <xf numFmtId="0" fontId="81" fillId="11" borderId="47" xfId="94" applyFont="1" applyFill="1" applyBorder="1" applyAlignment="1">
      <alignment horizontal="center" vertical="center" wrapText="1"/>
      <protection/>
    </xf>
    <xf numFmtId="0" fontId="81" fillId="11" borderId="37" xfId="94" applyFont="1" applyFill="1" applyBorder="1" applyAlignment="1">
      <alignment horizontal="center" vertical="center" wrapText="1"/>
      <protection/>
    </xf>
    <xf numFmtId="3" fontId="81" fillId="11" borderId="85" xfId="94" applyNumberFormat="1" applyFont="1" applyFill="1" applyBorder="1" applyAlignment="1">
      <alignment horizontal="center" vertical="center" wrapText="1"/>
      <protection/>
    </xf>
    <xf numFmtId="3" fontId="81" fillId="11" borderId="86" xfId="94" applyNumberFormat="1" applyFont="1" applyFill="1" applyBorder="1" applyAlignment="1">
      <alignment horizontal="center" vertical="center" wrapText="1"/>
      <protection/>
    </xf>
    <xf numFmtId="0" fontId="75" fillId="0" borderId="31" xfId="0" applyFont="1" applyBorder="1" applyAlignment="1">
      <alignment vertical="center" wrapText="1"/>
    </xf>
    <xf numFmtId="0" fontId="75" fillId="0" borderId="35" xfId="0" applyFont="1" applyBorder="1" applyAlignment="1">
      <alignment horizontal="center" vertical="center" wrapText="1"/>
    </xf>
    <xf numFmtId="3" fontId="83" fillId="0" borderId="35" xfId="94" applyNumberFormat="1" applyFont="1" applyBorder="1" applyAlignment="1">
      <alignment horizontal="right" vertical="center" wrapText="1"/>
      <protection/>
    </xf>
    <xf numFmtId="3" fontId="83" fillId="0" borderId="30" xfId="94" applyNumberFormat="1" applyFont="1" applyBorder="1" applyAlignment="1">
      <alignment horizontal="right" vertical="center" wrapText="1"/>
      <protection/>
    </xf>
    <xf numFmtId="10" fontId="83" fillId="0" borderId="30" xfId="94" applyNumberFormat="1" applyFont="1" applyBorder="1" applyAlignment="1">
      <alignment horizontal="right" vertical="center" wrapText="1"/>
      <protection/>
    </xf>
    <xf numFmtId="10" fontId="83" fillId="0" borderId="35" xfId="94" applyNumberFormat="1" applyFont="1" applyBorder="1" applyAlignment="1">
      <alignment horizontal="right" vertical="center" wrapText="1"/>
      <protection/>
    </xf>
    <xf numFmtId="10" fontId="83" fillId="0" borderId="49" xfId="94" applyNumberFormat="1" applyFont="1" applyBorder="1" applyAlignment="1">
      <alignment horizontal="right" vertical="center" wrapText="1"/>
      <protection/>
    </xf>
    <xf numFmtId="3" fontId="83" fillId="0" borderId="35" xfId="94" applyNumberFormat="1" applyFont="1" applyFill="1" applyBorder="1" applyAlignment="1">
      <alignment vertical="center"/>
      <protection/>
    </xf>
    <xf numFmtId="3" fontId="81" fillId="11" borderId="87" xfId="94" applyNumberFormat="1" applyFont="1" applyFill="1" applyBorder="1" applyAlignment="1">
      <alignment horizontal="center" vertical="center" wrapText="1"/>
      <protection/>
    </xf>
    <xf numFmtId="3" fontId="81" fillId="11" borderId="88" xfId="94" applyNumberFormat="1" applyFont="1" applyFill="1" applyBorder="1" applyAlignment="1">
      <alignment horizontal="center" vertical="center" wrapText="1"/>
      <protection/>
    </xf>
    <xf numFmtId="3" fontId="48" fillId="11" borderId="88" xfId="94" applyNumberFormat="1" applyFont="1" applyFill="1" applyBorder="1" applyAlignment="1">
      <alignment horizontal="right" vertical="center" wrapText="1"/>
      <protection/>
    </xf>
    <xf numFmtId="10" fontId="48" fillId="11" borderId="88" xfId="94" applyNumberFormat="1" applyFont="1" applyFill="1" applyBorder="1" applyAlignment="1">
      <alignment horizontal="right" vertical="center" wrapText="1"/>
      <protection/>
    </xf>
    <xf numFmtId="10" fontId="48" fillId="11" borderId="89" xfId="94" applyNumberFormat="1" applyFont="1" applyFill="1" applyBorder="1" applyAlignment="1">
      <alignment horizontal="right" vertical="center" wrapText="1"/>
      <protection/>
    </xf>
    <xf numFmtId="3" fontId="81" fillId="0" borderId="0" xfId="94" applyNumberFormat="1" applyFont="1" applyFill="1" applyBorder="1" applyAlignment="1">
      <alignment horizontal="center" vertical="center" wrapText="1"/>
      <protection/>
    </xf>
    <xf numFmtId="3" fontId="48" fillId="0" borderId="0" xfId="94" applyNumberFormat="1" applyFont="1" applyFill="1" applyBorder="1" applyAlignment="1">
      <alignment horizontal="right" vertical="center" wrapText="1"/>
      <protection/>
    </xf>
    <xf numFmtId="0" fontId="82" fillId="0" borderId="0" xfId="94" applyFont="1" applyAlignment="1">
      <alignment vertical="center"/>
      <protection/>
    </xf>
    <xf numFmtId="0" fontId="14" fillId="0" borderId="0" xfId="94" applyFill="1" applyAlignment="1">
      <alignment vertical="center"/>
      <protection/>
    </xf>
    <xf numFmtId="0" fontId="81" fillId="11" borderId="90" xfId="94" applyFont="1" applyFill="1" applyBorder="1" applyAlignment="1">
      <alignment horizontal="center" vertical="center" wrapText="1"/>
      <protection/>
    </xf>
    <xf numFmtId="0" fontId="81" fillId="11" borderId="86" xfId="94" applyFont="1" applyFill="1" applyBorder="1" applyAlignment="1">
      <alignment horizontal="center" vertical="center" wrapText="1"/>
      <protection/>
    </xf>
    <xf numFmtId="0" fontId="75" fillId="0" borderId="43" xfId="0" applyFont="1" applyFill="1" applyBorder="1" applyAlignment="1">
      <alignment vertical="center" wrapText="1"/>
    </xf>
    <xf numFmtId="0" fontId="75" fillId="0" borderId="30" xfId="0" applyFont="1" applyFill="1" applyBorder="1" applyAlignment="1">
      <alignment horizontal="center" vertical="center" wrapText="1"/>
    </xf>
    <xf numFmtId="3" fontId="83" fillId="0" borderId="30" xfId="94" applyNumberFormat="1" applyFont="1" applyFill="1" applyBorder="1" applyAlignment="1">
      <alignment horizontal="right" vertical="center" wrapText="1"/>
      <protection/>
    </xf>
    <xf numFmtId="3" fontId="83" fillId="0" borderId="35" xfId="94" applyNumberFormat="1" applyFont="1" applyFill="1" applyBorder="1" applyAlignment="1">
      <alignment horizontal="right" vertical="center" wrapText="1"/>
      <protection/>
    </xf>
    <xf numFmtId="0" fontId="75" fillId="0" borderId="31" xfId="0" applyFont="1" applyFill="1" applyBorder="1" applyAlignment="1">
      <alignment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91" xfId="0" applyFont="1" applyFill="1" applyBorder="1" applyAlignment="1">
      <alignment vertical="center" wrapText="1"/>
    </xf>
    <xf numFmtId="0" fontId="75" fillId="0" borderId="36" xfId="0" applyFont="1" applyFill="1" applyBorder="1" applyAlignment="1">
      <alignment horizontal="center" vertical="center" wrapText="1"/>
    </xf>
    <xf numFmtId="3" fontId="83" fillId="0" borderId="36" xfId="94" applyNumberFormat="1" applyFont="1" applyFill="1" applyBorder="1" applyAlignment="1">
      <alignment horizontal="right" vertical="center" wrapText="1"/>
      <protection/>
    </xf>
    <xf numFmtId="0" fontId="75" fillId="0" borderId="51" xfId="0" applyFont="1" applyFill="1" applyBorder="1" applyAlignment="1">
      <alignment vertical="center" wrapText="1"/>
    </xf>
    <xf numFmtId="0" fontId="75" fillId="0" borderId="37" xfId="0" applyFont="1" applyFill="1" applyBorder="1" applyAlignment="1">
      <alignment horizontal="center" vertical="center" wrapText="1"/>
    </xf>
    <xf numFmtId="3" fontId="83" fillId="0" borderId="37" xfId="94" applyNumberFormat="1" applyFont="1" applyFill="1" applyBorder="1" applyAlignment="1">
      <alignment horizontal="right" vertical="center" wrapText="1"/>
      <protection/>
    </xf>
    <xf numFmtId="0" fontId="79" fillId="0" borderId="0" xfId="94" applyFont="1" applyAlignment="1">
      <alignment vertical="center"/>
      <protection/>
    </xf>
    <xf numFmtId="0" fontId="14" fillId="0" borderId="0" xfId="94" applyFont="1" applyAlignment="1">
      <alignment wrapText="1"/>
      <protection/>
    </xf>
    <xf numFmtId="0" fontId="14" fillId="0" borderId="0" xfId="94" applyFont="1">
      <alignment/>
      <protection/>
    </xf>
    <xf numFmtId="0" fontId="46" fillId="0" borderId="0" xfId="94" applyFont="1" applyAlignment="1">
      <alignment horizontal="center"/>
      <protection/>
    </xf>
    <xf numFmtId="0" fontId="79" fillId="49" borderId="35" xfId="94" applyFont="1" applyFill="1" applyBorder="1" applyAlignment="1">
      <alignment horizontal="center" vertical="center"/>
      <protection/>
    </xf>
    <xf numFmtId="0" fontId="79" fillId="49" borderId="46" xfId="94" applyFont="1" applyFill="1" applyBorder="1" applyAlignment="1">
      <alignment horizontal="center" vertical="center" wrapText="1"/>
      <protection/>
    </xf>
    <xf numFmtId="0" fontId="79" fillId="49" borderId="30" xfId="94" applyFont="1" applyFill="1" applyBorder="1" applyAlignment="1">
      <alignment horizontal="center" vertical="center"/>
      <protection/>
    </xf>
    <xf numFmtId="0" fontId="79" fillId="49" borderId="30" xfId="94" applyFont="1" applyFill="1" applyBorder="1" applyAlignment="1">
      <alignment horizontal="center" vertical="center" wrapText="1"/>
      <protection/>
    </xf>
    <xf numFmtId="0" fontId="87" fillId="0" borderId="34" xfId="94" applyFont="1" applyBorder="1" applyAlignment="1">
      <alignment wrapText="1"/>
      <protection/>
    </xf>
    <xf numFmtId="3" fontId="88" fillId="0" borderId="35" xfId="94" applyNumberFormat="1" applyFont="1" applyFill="1" applyBorder="1" applyAlignment="1">
      <alignment horizontal="right"/>
      <protection/>
    </xf>
    <xf numFmtId="0" fontId="88" fillId="0" borderId="35" xfId="94" applyFont="1" applyBorder="1" applyAlignment="1">
      <alignment horizontal="right"/>
      <protection/>
    </xf>
    <xf numFmtId="3" fontId="88" fillId="0" borderId="35" xfId="94" applyNumberFormat="1" applyFont="1" applyBorder="1" applyAlignment="1">
      <alignment horizontal="right"/>
      <protection/>
    </xf>
    <xf numFmtId="3" fontId="88" fillId="0" borderId="49" xfId="94" applyNumberFormat="1" applyFont="1" applyFill="1" applyBorder="1" applyAlignment="1">
      <alignment horizontal="right"/>
      <protection/>
    </xf>
    <xf numFmtId="0" fontId="87" fillId="0" borderId="34" xfId="94" applyFont="1" applyFill="1" applyBorder="1" applyAlignment="1">
      <alignment wrapText="1"/>
      <protection/>
    </xf>
    <xf numFmtId="0" fontId="87" fillId="0" borderId="50" xfId="94" applyFont="1" applyBorder="1" applyAlignment="1">
      <alignment wrapText="1"/>
      <protection/>
    </xf>
    <xf numFmtId="0" fontId="14" fillId="0" borderId="0" xfId="94" applyFont="1" applyFill="1">
      <alignment/>
      <protection/>
    </xf>
    <xf numFmtId="3" fontId="88" fillId="0" borderId="49" xfId="94" applyNumberFormat="1" applyFont="1" applyBorder="1" applyAlignment="1">
      <alignment horizontal="right"/>
      <protection/>
    </xf>
    <xf numFmtId="0" fontId="87" fillId="0" borderId="0" xfId="94" applyFont="1" applyAlignment="1">
      <alignment wrapText="1"/>
      <protection/>
    </xf>
    <xf numFmtId="0" fontId="87" fillId="0" borderId="0" xfId="94" applyFont="1">
      <alignment/>
      <protection/>
    </xf>
    <xf numFmtId="3" fontId="87" fillId="0" borderId="0" xfId="94" applyNumberFormat="1" applyFont="1">
      <alignment/>
      <protection/>
    </xf>
    <xf numFmtId="3" fontId="14" fillId="0" borderId="0" xfId="94" applyNumberFormat="1" applyFont="1">
      <alignment/>
      <protection/>
    </xf>
    <xf numFmtId="3" fontId="88" fillId="0" borderId="36" xfId="94" applyNumberFormat="1" applyFont="1" applyBorder="1" applyAlignment="1">
      <alignment horizontal="right"/>
      <protection/>
    </xf>
    <xf numFmtId="0" fontId="87" fillId="0" borderId="50" xfId="94" applyFont="1" applyFill="1" applyBorder="1" applyAlignment="1">
      <alignment wrapText="1"/>
      <protection/>
    </xf>
    <xf numFmtId="0" fontId="45" fillId="0" borderId="0" xfId="94" applyFont="1">
      <alignment/>
      <protection/>
    </xf>
    <xf numFmtId="0" fontId="14" fillId="0" borderId="0" xfId="94" applyFont="1" applyAlignment="1">
      <alignment vertical="center"/>
      <protection/>
    </xf>
    <xf numFmtId="0" fontId="14" fillId="0" borderId="0" xfId="94" applyFont="1" applyAlignment="1">
      <alignment horizontal="center" vertical="center"/>
      <protection/>
    </xf>
    <xf numFmtId="3" fontId="14" fillId="0" borderId="0" xfId="94" applyNumberFormat="1" applyFont="1" applyAlignment="1">
      <alignment vertical="center"/>
      <protection/>
    </xf>
    <xf numFmtId="0" fontId="79" fillId="0" borderId="0" xfId="94" applyFont="1" applyBorder="1" applyAlignment="1">
      <alignment horizontal="center" vertical="center"/>
      <protection/>
    </xf>
    <xf numFmtId="0" fontId="14" fillId="0" borderId="60" xfId="94" applyFont="1" applyBorder="1" applyAlignment="1">
      <alignment vertical="center"/>
      <protection/>
    </xf>
    <xf numFmtId="0" fontId="14" fillId="0" borderId="0" xfId="94" applyFont="1" applyBorder="1" applyAlignment="1">
      <alignment vertical="center"/>
      <protection/>
    </xf>
    <xf numFmtId="3" fontId="79" fillId="0" borderId="0" xfId="94" applyNumberFormat="1" applyFont="1" applyBorder="1" applyAlignment="1">
      <alignment horizontal="center" vertical="center"/>
      <protection/>
    </xf>
    <xf numFmtId="0" fontId="90" fillId="35" borderId="22" xfId="94" applyFont="1" applyFill="1" applyBorder="1" applyAlignment="1">
      <alignment horizontal="center" vertical="center"/>
      <protection/>
    </xf>
    <xf numFmtId="0" fontId="90" fillId="35" borderId="82" xfId="94" applyFont="1" applyFill="1" applyBorder="1" applyAlignment="1">
      <alignment horizontal="center" vertical="center"/>
      <protection/>
    </xf>
    <xf numFmtId="0" fontId="90" fillId="35" borderId="23" xfId="94" applyFont="1" applyFill="1" applyBorder="1" applyAlignment="1">
      <alignment horizontal="center" vertical="center"/>
      <protection/>
    </xf>
    <xf numFmtId="0" fontId="90" fillId="35" borderId="67" xfId="94" applyFont="1" applyFill="1" applyBorder="1" applyAlignment="1">
      <alignment horizontal="center" vertical="center"/>
      <protection/>
    </xf>
    <xf numFmtId="0" fontId="45" fillId="0" borderId="0" xfId="94" applyFont="1" applyAlignment="1">
      <alignment vertical="center"/>
      <protection/>
    </xf>
    <xf numFmtId="0" fontId="90" fillId="35" borderId="52" xfId="94" applyFont="1" applyFill="1" applyBorder="1" applyAlignment="1">
      <alignment horizontal="center" vertical="center"/>
      <protection/>
    </xf>
    <xf numFmtId="0" fontId="90" fillId="35" borderId="92" xfId="94" applyFont="1" applyFill="1" applyBorder="1" applyAlignment="1">
      <alignment horizontal="center" vertical="center"/>
      <protection/>
    </xf>
    <xf numFmtId="0" fontId="90" fillId="35" borderId="37" xfId="94" applyFont="1" applyFill="1" applyBorder="1" applyAlignment="1">
      <alignment horizontal="center" vertical="center"/>
      <protection/>
    </xf>
    <xf numFmtId="0" fontId="90" fillId="35" borderId="93" xfId="94" applyFont="1" applyFill="1" applyBorder="1" applyAlignment="1">
      <alignment horizontal="center" vertical="center"/>
      <protection/>
    </xf>
    <xf numFmtId="3" fontId="90" fillId="35" borderId="52" xfId="94" applyNumberFormat="1" applyFont="1" applyFill="1" applyBorder="1" applyAlignment="1">
      <alignment horizontal="center" vertical="center"/>
      <protection/>
    </xf>
    <xf numFmtId="3" fontId="90" fillId="35" borderId="78" xfId="94" applyNumberFormat="1" applyFont="1" applyFill="1" applyBorder="1" applyAlignment="1">
      <alignment horizontal="center" vertical="center" wrapText="1"/>
      <protection/>
    </xf>
    <xf numFmtId="3" fontId="90" fillId="35" borderId="92" xfId="94" applyNumberFormat="1" applyFont="1" applyFill="1" applyBorder="1" applyAlignment="1">
      <alignment horizontal="center" vertical="center"/>
      <protection/>
    </xf>
    <xf numFmtId="3" fontId="90" fillId="35" borderId="93" xfId="94" applyNumberFormat="1" applyFont="1" applyFill="1" applyBorder="1" applyAlignment="1">
      <alignment horizontal="center" vertical="center"/>
      <protection/>
    </xf>
    <xf numFmtId="3" fontId="90" fillId="35" borderId="37" xfId="94" applyNumberFormat="1" applyFont="1" applyFill="1" applyBorder="1" applyAlignment="1">
      <alignment horizontal="center" vertical="center"/>
      <protection/>
    </xf>
    <xf numFmtId="3" fontId="90" fillId="35" borderId="78" xfId="94" applyNumberFormat="1" applyFont="1" applyFill="1" applyBorder="1" applyAlignment="1">
      <alignment horizontal="center" vertical="center"/>
      <protection/>
    </xf>
    <xf numFmtId="0" fontId="14" fillId="0" borderId="34" xfId="94" applyFont="1" applyBorder="1" applyAlignment="1">
      <alignment horizontal="center" vertical="center"/>
      <protection/>
    </xf>
    <xf numFmtId="0" fontId="14" fillId="0" borderId="62" xfId="94" applyFont="1" applyBorder="1" applyAlignment="1">
      <alignment horizontal="center" vertical="center"/>
      <protection/>
    </xf>
    <xf numFmtId="0" fontId="86" fillId="0" borderId="35" xfId="0" applyFont="1" applyFill="1" applyBorder="1" applyAlignment="1">
      <alignment vertical="center" wrapText="1"/>
    </xf>
    <xf numFmtId="0" fontId="86" fillId="0" borderId="71" xfId="0" applyFont="1" applyFill="1" applyBorder="1" applyAlignment="1">
      <alignment horizontal="center" vertical="center"/>
    </xf>
    <xf numFmtId="3" fontId="87" fillId="0" borderId="34" xfId="94" applyNumberFormat="1" applyFont="1" applyFill="1" applyBorder="1" applyAlignment="1">
      <alignment vertical="center"/>
      <protection/>
    </xf>
    <xf numFmtId="3" fontId="87" fillId="0" borderId="49" xfId="94" applyNumberFormat="1" applyFont="1" applyFill="1" applyBorder="1" applyAlignment="1">
      <alignment vertical="center"/>
      <protection/>
    </xf>
    <xf numFmtId="10" fontId="87" fillId="0" borderId="71" xfId="94" applyNumberFormat="1" applyFont="1" applyFill="1" applyBorder="1" applyAlignment="1">
      <alignment vertical="center"/>
      <protection/>
    </xf>
    <xf numFmtId="3" fontId="87" fillId="0" borderId="35" xfId="94" applyNumberFormat="1" applyFont="1" applyFill="1" applyBorder="1" applyAlignment="1">
      <alignment vertical="center"/>
      <protection/>
    </xf>
    <xf numFmtId="10" fontId="87" fillId="0" borderId="49" xfId="94" applyNumberFormat="1" applyFont="1" applyFill="1" applyBorder="1" applyAlignment="1">
      <alignment vertical="center"/>
      <protection/>
    </xf>
    <xf numFmtId="3" fontId="87" fillId="0" borderId="34" xfId="0" applyNumberFormat="1" applyFont="1" applyFill="1" applyBorder="1" applyAlignment="1">
      <alignment horizontal="right" vertical="center"/>
    </xf>
    <xf numFmtId="3" fontId="87" fillId="0" borderId="49" xfId="0" applyNumberFormat="1" applyFont="1" applyFill="1" applyBorder="1" applyAlignment="1">
      <alignment horizontal="right" vertical="center"/>
    </xf>
    <xf numFmtId="3" fontId="87" fillId="0" borderId="62" xfId="0" applyNumberFormat="1" applyFont="1" applyFill="1" applyBorder="1" applyAlignment="1">
      <alignment horizontal="right" vertical="center"/>
    </xf>
    <xf numFmtId="3" fontId="87" fillId="0" borderId="34" xfId="0" applyNumberFormat="1" applyFont="1" applyFill="1" applyBorder="1" applyAlignment="1">
      <alignment vertical="center"/>
    </xf>
    <xf numFmtId="3" fontId="87" fillId="0" borderId="35" xfId="0" applyNumberFormat="1" applyFont="1" applyFill="1" applyBorder="1" applyAlignment="1">
      <alignment horizontal="right" vertical="center"/>
    </xf>
    <xf numFmtId="0" fontId="86" fillId="0" borderId="71" xfId="94" applyFont="1" applyBorder="1" applyAlignment="1">
      <alignment horizontal="center" vertical="center"/>
      <protection/>
    </xf>
    <xf numFmtId="3" fontId="87" fillId="0" borderId="34" xfId="94" applyNumberFormat="1" applyFont="1" applyFill="1" applyBorder="1" applyAlignment="1">
      <alignment horizontal="right" vertical="center"/>
      <protection/>
    </xf>
    <xf numFmtId="3" fontId="87" fillId="0" borderId="49" xfId="94" applyNumberFormat="1" applyFont="1" applyFill="1" applyBorder="1" applyAlignment="1">
      <alignment horizontal="right" vertical="center"/>
      <protection/>
    </xf>
    <xf numFmtId="3" fontId="87" fillId="0" borderId="35" xfId="94" applyNumberFormat="1" applyFont="1" applyFill="1" applyBorder="1" applyAlignment="1">
      <alignment horizontal="right" vertical="center"/>
      <protection/>
    </xf>
    <xf numFmtId="0" fontId="83" fillId="0" borderId="35" xfId="94" applyFont="1" applyFill="1" applyBorder="1" applyAlignment="1">
      <alignment vertical="center"/>
      <protection/>
    </xf>
    <xf numFmtId="0" fontId="14" fillId="0" borderId="92" xfId="94" applyFont="1" applyBorder="1" applyAlignment="1">
      <alignment horizontal="center" vertical="center"/>
      <protection/>
    </xf>
    <xf numFmtId="0" fontId="83" fillId="0" borderId="37" xfId="94" applyFont="1" applyFill="1" applyBorder="1" applyAlignment="1">
      <alignment vertical="center"/>
      <protection/>
    </xf>
    <xf numFmtId="0" fontId="90" fillId="0" borderId="67" xfId="94" applyFont="1" applyBorder="1" applyAlignment="1">
      <alignment horizontal="center" vertical="center"/>
      <protection/>
    </xf>
    <xf numFmtId="3" fontId="79" fillId="0" borderId="22" xfId="94" applyNumberFormat="1" applyFont="1" applyFill="1" applyBorder="1" applyAlignment="1">
      <alignment horizontal="right" vertical="center"/>
      <protection/>
    </xf>
    <xf numFmtId="3" fontId="79" fillId="0" borderId="24" xfId="94" applyNumberFormat="1" applyFont="1" applyFill="1" applyBorder="1" applyAlignment="1">
      <alignment horizontal="right" vertical="center"/>
      <protection/>
    </xf>
    <xf numFmtId="0" fontId="90" fillId="0" borderId="0" xfId="94" applyFont="1" applyBorder="1" applyAlignment="1">
      <alignment horizontal="center" vertical="center"/>
      <protection/>
    </xf>
    <xf numFmtId="3" fontId="79" fillId="0" borderId="0" xfId="94" applyNumberFormat="1" applyFont="1" applyFill="1" applyBorder="1" applyAlignment="1">
      <alignment horizontal="right" vertical="center"/>
      <protection/>
    </xf>
    <xf numFmtId="10" fontId="79" fillId="0" borderId="0" xfId="94" applyNumberFormat="1" applyFont="1" applyFill="1" applyBorder="1" applyAlignment="1">
      <alignment horizontal="right" vertical="center"/>
      <protection/>
    </xf>
    <xf numFmtId="0" fontId="14" fillId="0" borderId="0" xfId="94" applyFont="1" applyFill="1" applyBorder="1" applyAlignment="1">
      <alignment vertical="center"/>
      <protection/>
    </xf>
    <xf numFmtId="3" fontId="14" fillId="0" borderId="0" xfId="94" applyNumberFormat="1" applyFont="1" applyFill="1" applyBorder="1" applyAlignment="1">
      <alignment horizontal="right" vertical="center"/>
      <protection/>
    </xf>
    <xf numFmtId="0" fontId="90" fillId="35" borderId="66" xfId="94" applyFont="1" applyFill="1" applyBorder="1" applyAlignment="1">
      <alignment horizontal="center" vertical="center"/>
      <protection/>
    </xf>
    <xf numFmtId="0" fontId="90" fillId="35" borderId="84" xfId="94" applyFont="1" applyFill="1" applyBorder="1" applyAlignment="1">
      <alignment horizontal="center" vertical="center"/>
      <protection/>
    </xf>
    <xf numFmtId="0" fontId="90" fillId="35" borderId="59" xfId="94" applyFont="1" applyFill="1" applyBorder="1" applyAlignment="1">
      <alignment horizontal="center" vertical="center"/>
      <protection/>
    </xf>
    <xf numFmtId="0" fontId="90" fillId="35" borderId="55" xfId="94" applyFont="1" applyFill="1" applyBorder="1" applyAlignment="1">
      <alignment horizontal="center" vertical="center"/>
      <protection/>
    </xf>
    <xf numFmtId="0" fontId="14" fillId="0" borderId="28" xfId="94" applyFont="1" applyBorder="1" applyAlignment="1">
      <alignment horizontal="center" vertical="center"/>
      <protection/>
    </xf>
    <xf numFmtId="0" fontId="14" fillId="0" borderId="94" xfId="94" applyFont="1" applyBorder="1" applyAlignment="1">
      <alignment horizontal="center" vertical="center"/>
      <protection/>
    </xf>
    <xf numFmtId="0" fontId="86" fillId="0" borderId="29" xfId="0" applyFont="1" applyFill="1" applyBorder="1" applyAlignment="1">
      <alignment vertical="center"/>
    </xf>
    <xf numFmtId="0" fontId="86" fillId="0" borderId="26" xfId="0" applyFont="1" applyFill="1" applyBorder="1" applyAlignment="1">
      <alignment horizontal="center" vertical="center"/>
    </xf>
    <xf numFmtId="3" fontId="87" fillId="0" borderId="28" xfId="0" applyNumberFormat="1" applyFont="1" applyFill="1" applyBorder="1" applyAlignment="1">
      <alignment horizontal="right" vertical="center"/>
    </xf>
    <xf numFmtId="3" fontId="87" fillId="0" borderId="73" xfId="0" applyNumberFormat="1" applyFont="1" applyFill="1" applyBorder="1" applyAlignment="1">
      <alignment horizontal="right" vertical="center"/>
    </xf>
    <xf numFmtId="3" fontId="87" fillId="0" borderId="94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0" fontId="14" fillId="0" borderId="46" xfId="94" applyFont="1" applyBorder="1" applyAlignment="1">
      <alignment horizontal="center" vertical="center"/>
      <protection/>
    </xf>
    <xf numFmtId="0" fontId="14" fillId="0" borderId="95" xfId="94" applyFont="1" applyBorder="1" applyAlignment="1">
      <alignment horizontal="center" vertical="center"/>
      <protection/>
    </xf>
    <xf numFmtId="0" fontId="86" fillId="0" borderId="95" xfId="0" applyFont="1" applyFill="1" applyBorder="1" applyAlignment="1">
      <alignment vertical="center"/>
    </xf>
    <xf numFmtId="0" fontId="86" fillId="0" borderId="44" xfId="0" applyFont="1" applyFill="1" applyBorder="1" applyAlignment="1">
      <alignment horizontal="center" vertical="center"/>
    </xf>
    <xf numFmtId="3" fontId="87" fillId="0" borderId="46" xfId="0" applyNumberFormat="1" applyFont="1" applyFill="1" applyBorder="1" applyAlignment="1">
      <alignment horizontal="right" vertical="center"/>
    </xf>
    <xf numFmtId="3" fontId="87" fillId="0" borderId="76" xfId="0" applyNumberFormat="1" applyFont="1" applyFill="1" applyBorder="1" applyAlignment="1">
      <alignment horizontal="right" vertical="center"/>
    </xf>
    <xf numFmtId="3" fontId="87" fillId="0" borderId="95" xfId="0" applyNumberFormat="1" applyFont="1" applyFill="1" applyBorder="1" applyAlignment="1">
      <alignment horizontal="right" vertical="center"/>
    </xf>
    <xf numFmtId="3" fontId="87" fillId="0" borderId="34" xfId="94" applyNumberFormat="1" applyFont="1" applyBorder="1" applyAlignment="1">
      <alignment vertical="center"/>
      <protection/>
    </xf>
    <xf numFmtId="0" fontId="86" fillId="0" borderId="96" xfId="0" applyFont="1" applyFill="1" applyBorder="1" applyAlignment="1">
      <alignment horizontal="center" vertical="center"/>
    </xf>
    <xf numFmtId="0" fontId="86" fillId="0" borderId="97" xfId="0" applyFont="1" applyFill="1" applyBorder="1" applyAlignment="1">
      <alignment vertical="center"/>
    </xf>
    <xf numFmtId="3" fontId="79" fillId="0" borderId="22" xfId="94" applyNumberFormat="1" applyFont="1" applyBorder="1" applyAlignment="1">
      <alignment horizontal="right" vertical="center"/>
      <protection/>
    </xf>
    <xf numFmtId="3" fontId="16" fillId="0" borderId="0" xfId="99" applyNumberFormat="1" applyFill="1" applyProtection="1">
      <alignment/>
      <protection/>
    </xf>
    <xf numFmtId="3" fontId="16" fillId="0" borderId="0" xfId="99" applyNumberFormat="1" applyFill="1" applyAlignment="1" applyProtection="1">
      <alignment wrapText="1"/>
      <protection locked="0"/>
    </xf>
    <xf numFmtId="3" fontId="16" fillId="0" borderId="0" xfId="99" applyNumberFormat="1" applyFill="1" applyProtection="1">
      <alignment/>
      <protection locked="0"/>
    </xf>
    <xf numFmtId="3" fontId="56" fillId="0" borderId="0" xfId="92" applyNumberFormat="1" applyFont="1" applyFill="1" applyAlignment="1">
      <alignment horizontal="right"/>
      <protection/>
    </xf>
    <xf numFmtId="3" fontId="50" fillId="0" borderId="66" xfId="99" applyNumberFormat="1" applyFont="1" applyFill="1" applyBorder="1" applyAlignment="1" applyProtection="1">
      <alignment horizontal="center" vertical="center" wrapText="1"/>
      <protection/>
    </xf>
    <xf numFmtId="3" fontId="50" fillId="0" borderId="59" xfId="99" applyNumberFormat="1" applyFont="1" applyFill="1" applyBorder="1" applyAlignment="1" applyProtection="1">
      <alignment horizontal="center" vertical="center" wrapText="1"/>
      <protection/>
    </xf>
    <xf numFmtId="3" fontId="50" fillId="0" borderId="59" xfId="99" applyNumberFormat="1" applyFont="1" applyFill="1" applyBorder="1" applyAlignment="1" applyProtection="1">
      <alignment horizontal="center" vertical="center"/>
      <protection/>
    </xf>
    <xf numFmtId="3" fontId="50" fillId="0" borderId="68" xfId="99" applyNumberFormat="1" applyFont="1" applyFill="1" applyBorder="1" applyAlignment="1" applyProtection="1">
      <alignment horizontal="center" vertical="center"/>
      <protection/>
    </xf>
    <xf numFmtId="3" fontId="35" fillId="0" borderId="22" xfId="99" applyNumberFormat="1" applyFont="1" applyFill="1" applyBorder="1" applyAlignment="1" applyProtection="1">
      <alignment horizontal="left" vertical="center" indent="1"/>
      <protection/>
    </xf>
    <xf numFmtId="3" fontId="16" fillId="0" borderId="0" xfId="99" applyNumberFormat="1" applyFill="1" applyAlignment="1" applyProtection="1">
      <alignment vertical="center"/>
      <protection/>
    </xf>
    <xf numFmtId="3" fontId="35" fillId="0" borderId="52" xfId="99" applyNumberFormat="1" applyFont="1" applyFill="1" applyBorder="1" applyAlignment="1" applyProtection="1">
      <alignment horizontal="left" vertical="center" indent="1"/>
      <protection/>
    </xf>
    <xf numFmtId="3" fontId="35" fillId="0" borderId="37" xfId="99" applyNumberFormat="1" applyFont="1" applyFill="1" applyBorder="1" applyAlignment="1" applyProtection="1">
      <alignment horizontal="left" vertical="center" wrapText="1"/>
      <protection/>
    </xf>
    <xf numFmtId="3" fontId="35" fillId="0" borderId="37" xfId="99" applyNumberFormat="1" applyFont="1" applyFill="1" applyBorder="1" applyAlignment="1" applyProtection="1">
      <alignment vertical="center"/>
      <protection locked="0"/>
    </xf>
    <xf numFmtId="3" fontId="35" fillId="0" borderId="76" xfId="99" applyNumberFormat="1" applyFont="1" applyFill="1" applyBorder="1" applyAlignment="1" applyProtection="1">
      <alignment vertical="center"/>
      <protection/>
    </xf>
    <xf numFmtId="3" fontId="35" fillId="0" borderId="34" xfId="99" applyNumberFormat="1" applyFont="1" applyFill="1" applyBorder="1" applyAlignment="1" applyProtection="1">
      <alignment horizontal="left" vertical="center" indent="1"/>
      <protection/>
    </xf>
    <xf numFmtId="3" fontId="35" fillId="0" borderId="35" xfId="99" applyNumberFormat="1" applyFont="1" applyFill="1" applyBorder="1" applyAlignment="1" applyProtection="1">
      <alignment horizontal="left" vertical="center" wrapText="1"/>
      <protection/>
    </xf>
    <xf numFmtId="3" fontId="35" fillId="0" borderId="35" xfId="99" applyNumberFormat="1" applyFont="1" applyFill="1" applyBorder="1" applyAlignment="1" applyProtection="1">
      <alignment vertical="center"/>
      <protection locked="0"/>
    </xf>
    <xf numFmtId="3" fontId="16" fillId="0" borderId="0" xfId="99" applyNumberFormat="1" applyFill="1" applyAlignment="1" applyProtection="1">
      <alignment vertical="center"/>
      <protection locked="0"/>
    </xf>
    <xf numFmtId="3" fontId="35" fillId="0" borderId="30" xfId="99" applyNumberFormat="1" applyFont="1" applyFill="1" applyBorder="1" applyAlignment="1" applyProtection="1">
      <alignment horizontal="left" vertical="center" wrapText="1"/>
      <protection/>
    </xf>
    <xf numFmtId="3" fontId="35" fillId="0" borderId="30" xfId="99" applyNumberFormat="1" applyFont="1" applyFill="1" applyBorder="1" applyAlignment="1" applyProtection="1">
      <alignment vertical="center"/>
      <protection locked="0"/>
    </xf>
    <xf numFmtId="3" fontId="36" fillId="0" borderId="23" xfId="99" applyNumberFormat="1" applyFont="1" applyFill="1" applyBorder="1" applyAlignment="1" applyProtection="1">
      <alignment vertical="center"/>
      <protection/>
    </xf>
    <xf numFmtId="3" fontId="35" fillId="0" borderId="49" xfId="99" applyNumberFormat="1" applyFont="1" applyFill="1" applyBorder="1" applyAlignment="1" applyProtection="1">
      <alignment vertical="center"/>
      <protection/>
    </xf>
    <xf numFmtId="3" fontId="50" fillId="0" borderId="23" xfId="99" applyNumberFormat="1" applyFont="1" applyFill="1" applyBorder="1" applyAlignment="1" applyProtection="1">
      <alignment horizontal="left" vertical="center" wrapText="1"/>
      <protection/>
    </xf>
    <xf numFmtId="3" fontId="50" fillId="0" borderId="23" xfId="99" applyNumberFormat="1" applyFont="1" applyFill="1" applyBorder="1" applyAlignment="1" applyProtection="1">
      <alignment horizontal="left" wrapText="1"/>
      <protection/>
    </xf>
    <xf numFmtId="0" fontId="40" fillId="0" borderId="0" xfId="98" applyFont="1" applyFill="1" applyAlignment="1">
      <alignment vertical="center"/>
      <protection/>
    </xf>
    <xf numFmtId="0" fontId="29" fillId="0" borderId="0" xfId="98" applyFont="1" applyFill="1" applyAlignment="1">
      <alignment vertical="center"/>
      <protection/>
    </xf>
    <xf numFmtId="164" fontId="37" fillId="0" borderId="0" xfId="98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1" fillId="0" borderId="28" xfId="98" applyFont="1" applyFill="1" applyBorder="1" applyAlignment="1" applyProtection="1">
      <alignment horizontal="center" vertical="center" wrapText="1"/>
      <protection/>
    </xf>
    <xf numFmtId="0" fontId="31" fillId="0" borderId="29" xfId="98" applyFont="1" applyFill="1" applyBorder="1" applyAlignment="1" applyProtection="1">
      <alignment horizontal="center" vertical="center" wrapText="1"/>
      <protection/>
    </xf>
    <xf numFmtId="0" fontId="31" fillId="0" borderId="73" xfId="98" applyFont="1" applyFill="1" applyBorder="1" applyAlignment="1" applyProtection="1">
      <alignment horizontal="center" vertical="center" wrapText="1"/>
      <protection/>
    </xf>
    <xf numFmtId="0" fontId="16" fillId="0" borderId="22" xfId="98" applyFont="1" applyFill="1" applyBorder="1" applyAlignment="1" applyProtection="1">
      <alignment horizontal="center" vertical="center"/>
      <protection/>
    </xf>
    <xf numFmtId="0" fontId="16" fillId="0" borderId="23" xfId="98" applyFont="1" applyFill="1" applyBorder="1" applyAlignment="1" applyProtection="1">
      <alignment horizontal="center" vertical="center"/>
      <protection/>
    </xf>
    <xf numFmtId="0" fontId="16" fillId="0" borderId="24" xfId="98" applyFont="1" applyFill="1" applyBorder="1" applyAlignment="1" applyProtection="1">
      <alignment horizontal="center" vertical="center"/>
      <protection/>
    </xf>
    <xf numFmtId="0" fontId="16" fillId="0" borderId="28" xfId="98" applyFont="1" applyFill="1" applyBorder="1" applyAlignment="1" applyProtection="1">
      <alignment horizontal="center" vertical="center"/>
      <protection/>
    </xf>
    <xf numFmtId="0" fontId="16" fillId="0" borderId="30" xfId="98" applyFont="1" applyFill="1" applyBorder="1" applyAlignment="1" applyProtection="1">
      <alignment vertical="center"/>
      <protection/>
    </xf>
    <xf numFmtId="168" fontId="16" fillId="0" borderId="73" xfId="68" applyNumberFormat="1" applyFont="1" applyFill="1" applyBorder="1" applyAlignment="1" applyProtection="1">
      <alignment vertical="center"/>
      <protection locked="0"/>
    </xf>
    <xf numFmtId="0" fontId="16" fillId="0" borderId="46" xfId="98" applyFont="1" applyFill="1" applyBorder="1" applyAlignment="1" applyProtection="1">
      <alignment horizontal="center" vertical="center"/>
      <protection/>
    </xf>
    <xf numFmtId="168" fontId="16" fillId="0" borderId="76" xfId="68" applyNumberFormat="1" applyFont="1" applyFill="1" applyBorder="1" applyAlignment="1" applyProtection="1">
      <alignment vertical="center"/>
      <protection locked="0"/>
    </xf>
    <xf numFmtId="0" fontId="16" fillId="0" borderId="34" xfId="98" applyFont="1" applyFill="1" applyBorder="1" applyAlignment="1" applyProtection="1">
      <alignment horizontal="center" vertical="center"/>
      <protection/>
    </xf>
    <xf numFmtId="0" fontId="76" fillId="0" borderId="35" xfId="0" applyFont="1" applyFill="1" applyBorder="1" applyAlignment="1">
      <alignment horizontal="justify" vertical="center" wrapText="1"/>
    </xf>
    <xf numFmtId="168" fontId="16" fillId="0" borderId="49" xfId="68" applyNumberFormat="1" applyFont="1" applyFill="1" applyBorder="1" applyAlignment="1" applyProtection="1">
      <alignment vertical="center"/>
      <protection locked="0"/>
    </xf>
    <xf numFmtId="0" fontId="76" fillId="0" borderId="35" xfId="0" applyFont="1" applyFill="1" applyBorder="1" applyAlignment="1">
      <alignment vertical="center" wrapText="1"/>
    </xf>
    <xf numFmtId="168" fontId="16" fillId="0" borderId="83" xfId="68" applyNumberFormat="1" applyFont="1" applyFill="1" applyBorder="1" applyAlignment="1" applyProtection="1">
      <alignment vertical="center"/>
      <protection locked="0"/>
    </xf>
    <xf numFmtId="0" fontId="76" fillId="0" borderId="41" xfId="0" applyFont="1" applyFill="1" applyBorder="1" applyAlignment="1">
      <alignment vertical="center" wrapText="1"/>
    </xf>
    <xf numFmtId="168" fontId="31" fillId="0" borderId="24" xfId="68" applyNumberFormat="1" applyFont="1" applyFill="1" applyBorder="1" applyAlignment="1" applyProtection="1">
      <alignment vertical="center"/>
      <protection/>
    </xf>
    <xf numFmtId="0" fontId="40" fillId="0" borderId="0" xfId="98" applyFont="1" applyFill="1" applyAlignment="1">
      <alignment horizontal="right" vertical="center"/>
      <protection/>
    </xf>
    <xf numFmtId="0" fontId="1" fillId="0" borderId="0" xfId="92" applyFill="1">
      <alignment/>
      <protection/>
    </xf>
    <xf numFmtId="0" fontId="1" fillId="0" borderId="0" xfId="92" applyFill="1" applyAlignment="1">
      <alignment wrapText="1"/>
      <protection/>
    </xf>
    <xf numFmtId="0" fontId="51" fillId="0" borderId="19" xfId="92" applyFont="1" applyFill="1" applyBorder="1" applyAlignment="1" applyProtection="1">
      <alignment horizontal="center" vertical="center" wrapText="1"/>
      <protection/>
    </xf>
    <xf numFmtId="0" fontId="51" fillId="0" borderId="23" xfId="92" applyFont="1" applyFill="1" applyBorder="1" applyAlignment="1" applyProtection="1">
      <alignment horizontal="center" vertical="center" wrapText="1"/>
      <protection/>
    </xf>
    <xf numFmtId="0" fontId="1" fillId="0" borderId="0" xfId="92" applyFill="1" applyAlignment="1">
      <alignment/>
      <protection/>
    </xf>
    <xf numFmtId="0" fontId="19" fillId="0" borderId="34" xfId="92" applyFont="1" applyBorder="1">
      <alignment/>
      <protection/>
    </xf>
    <xf numFmtId="3" fontId="19" fillId="0" borderId="30" xfId="92" applyNumberFormat="1" applyFont="1" applyBorder="1" applyAlignment="1">
      <alignment horizontal="right"/>
      <protection/>
    </xf>
    <xf numFmtId="3" fontId="19" fillId="0" borderId="76" xfId="92" applyNumberFormat="1" applyFont="1" applyBorder="1" applyAlignment="1">
      <alignment horizontal="right"/>
      <protection/>
    </xf>
    <xf numFmtId="0" fontId="60" fillId="0" borderId="0" xfId="92" applyFont="1" applyFill="1" applyAlignment="1">
      <alignment vertical="center"/>
      <protection/>
    </xf>
    <xf numFmtId="0" fontId="1" fillId="0" borderId="34" xfId="92" applyFont="1" applyBorder="1">
      <alignment/>
      <protection/>
    </xf>
    <xf numFmtId="3" fontId="1" fillId="0" borderId="35" xfId="92" applyNumberFormat="1" applyFont="1" applyBorder="1" applyAlignment="1">
      <alignment horizontal="right"/>
      <protection/>
    </xf>
    <xf numFmtId="3" fontId="1" fillId="0" borderId="49" xfId="92" applyNumberFormat="1" applyFont="1" applyBorder="1" applyAlignment="1">
      <alignment horizontal="right"/>
      <protection/>
    </xf>
    <xf numFmtId="3" fontId="19" fillId="0" borderId="35" xfId="92" applyNumberFormat="1" applyFont="1" applyBorder="1" applyAlignment="1">
      <alignment horizontal="right"/>
      <protection/>
    </xf>
    <xf numFmtId="3" fontId="19" fillId="0" borderId="49" xfId="92" applyNumberFormat="1" applyFont="1" applyBorder="1" applyAlignment="1">
      <alignment horizontal="right"/>
      <protection/>
    </xf>
    <xf numFmtId="0" fontId="19" fillId="0" borderId="31" xfId="92" applyFont="1" applyBorder="1">
      <alignment/>
      <protection/>
    </xf>
    <xf numFmtId="0" fontId="19" fillId="0" borderId="47" xfId="92" applyFont="1" applyBorder="1">
      <alignment/>
      <protection/>
    </xf>
    <xf numFmtId="3" fontId="19" fillId="0" borderId="36" xfId="92" applyNumberFormat="1" applyFont="1" applyBorder="1" applyAlignment="1">
      <alignment horizontal="right"/>
      <protection/>
    </xf>
    <xf numFmtId="3" fontId="19" fillId="0" borderId="83" xfId="92" applyNumberFormat="1" applyFont="1" applyBorder="1" applyAlignment="1">
      <alignment horizontal="right"/>
      <protection/>
    </xf>
    <xf numFmtId="3" fontId="19" fillId="0" borderId="37" xfId="92" applyNumberFormat="1" applyFont="1" applyBorder="1" applyAlignment="1">
      <alignment horizontal="right"/>
      <protection/>
    </xf>
    <xf numFmtId="3" fontId="19" fillId="0" borderId="78" xfId="92" applyNumberFormat="1" applyFont="1" applyBorder="1" applyAlignment="1">
      <alignment horizontal="right"/>
      <protection/>
    </xf>
    <xf numFmtId="0" fontId="19" fillId="50" borderId="19" xfId="92" applyFont="1" applyFill="1" applyBorder="1" applyAlignment="1">
      <alignment vertical="center"/>
      <protection/>
    </xf>
    <xf numFmtId="3" fontId="19" fillId="50" borderId="23" xfId="92" applyNumberFormat="1" applyFont="1" applyFill="1" applyBorder="1" applyAlignment="1">
      <alignment horizontal="right" vertical="center"/>
      <protection/>
    </xf>
    <xf numFmtId="3" fontId="19" fillId="0" borderId="23" xfId="92" applyNumberFormat="1" applyFont="1" applyBorder="1" applyAlignment="1">
      <alignment horizontal="right" vertical="center"/>
      <protection/>
    </xf>
    <xf numFmtId="3" fontId="19" fillId="0" borderId="24" xfId="92" applyNumberFormat="1" applyFont="1" applyBorder="1" applyAlignment="1">
      <alignment horizontal="right" vertical="center"/>
      <protection/>
    </xf>
    <xf numFmtId="0" fontId="1" fillId="0" borderId="0" xfId="92" applyFill="1" applyAlignment="1">
      <alignment vertical="center"/>
      <protection/>
    </xf>
    <xf numFmtId="0" fontId="19" fillId="0" borderId="43" xfId="92" applyFont="1" applyBorder="1">
      <alignment/>
      <protection/>
    </xf>
    <xf numFmtId="3" fontId="19" fillId="50" borderId="23" xfId="92" applyNumberFormat="1" applyFont="1" applyFill="1" applyBorder="1" applyAlignment="1">
      <alignment vertical="center"/>
      <protection/>
    </xf>
    <xf numFmtId="3" fontId="19" fillId="0" borderId="23" xfId="92" applyNumberFormat="1" applyFont="1" applyFill="1" applyBorder="1" applyAlignment="1">
      <alignment vertical="center"/>
      <protection/>
    </xf>
    <xf numFmtId="3" fontId="19" fillId="0" borderId="24" xfId="92" applyNumberFormat="1" applyFont="1" applyFill="1" applyBorder="1" applyAlignment="1">
      <alignment vertical="center"/>
      <protection/>
    </xf>
    <xf numFmtId="0" fontId="19" fillId="50" borderId="19" xfId="92" applyFont="1" applyFill="1" applyBorder="1">
      <alignment/>
      <protection/>
    </xf>
    <xf numFmtId="3" fontId="19" fillId="50" borderId="23" xfId="92" applyNumberFormat="1" applyFont="1" applyFill="1" applyBorder="1">
      <alignment/>
      <protection/>
    </xf>
    <xf numFmtId="3" fontId="19" fillId="0" borderId="30" xfId="92" applyNumberFormat="1" applyFont="1" applyFill="1" applyBorder="1">
      <alignment/>
      <protection/>
    </xf>
    <xf numFmtId="3" fontId="19" fillId="0" borderId="76" xfId="92" applyNumberFormat="1" applyFont="1" applyFill="1" applyBorder="1">
      <alignment/>
      <protection/>
    </xf>
    <xf numFmtId="0" fontId="1" fillId="0" borderId="46" xfId="92" applyFont="1" applyFill="1" applyBorder="1">
      <alignment/>
      <protection/>
    </xf>
    <xf numFmtId="3" fontId="1" fillId="0" borderId="30" xfId="92" applyNumberFormat="1" applyFont="1" applyFill="1" applyBorder="1">
      <alignment/>
      <protection/>
    </xf>
    <xf numFmtId="3" fontId="1" fillId="0" borderId="35" xfId="92" applyNumberFormat="1" applyFont="1" applyFill="1" applyBorder="1">
      <alignment/>
      <protection/>
    </xf>
    <xf numFmtId="0" fontId="1" fillId="0" borderId="51" xfId="92" applyFont="1" applyFill="1" applyBorder="1">
      <alignment/>
      <protection/>
    </xf>
    <xf numFmtId="3" fontId="1" fillId="0" borderId="36" xfId="92" applyNumberFormat="1" applyFont="1" applyFill="1" applyBorder="1">
      <alignment/>
      <protection/>
    </xf>
    <xf numFmtId="0" fontId="19" fillId="50" borderId="22" xfId="92" applyFont="1" applyFill="1" applyBorder="1">
      <alignment/>
      <protection/>
    </xf>
    <xf numFmtId="0" fontId="19" fillId="50" borderId="46" xfId="92" applyFont="1" applyFill="1" applyBorder="1">
      <alignment/>
      <protection/>
    </xf>
    <xf numFmtId="3" fontId="19" fillId="50" borderId="30" xfId="92" applyNumberFormat="1" applyFont="1" applyFill="1" applyBorder="1">
      <alignment/>
      <protection/>
    </xf>
    <xf numFmtId="0" fontId="19" fillId="0" borderId="0" xfId="92" applyFont="1" applyFill="1">
      <alignment/>
      <protection/>
    </xf>
    <xf numFmtId="3" fontId="19" fillId="0" borderId="35" xfId="92" applyNumberFormat="1" applyFont="1" applyBorder="1">
      <alignment/>
      <protection/>
    </xf>
    <xf numFmtId="3" fontId="19" fillId="0" borderId="49" xfId="92" applyNumberFormat="1" applyFont="1" applyBorder="1">
      <alignment/>
      <protection/>
    </xf>
    <xf numFmtId="3" fontId="19" fillId="0" borderId="36" xfId="92" applyNumberFormat="1" applyFont="1" applyBorder="1">
      <alignment/>
      <protection/>
    </xf>
    <xf numFmtId="3" fontId="19" fillId="0" borderId="83" xfId="92" applyNumberFormat="1" applyFont="1" applyBorder="1">
      <alignment/>
      <protection/>
    </xf>
    <xf numFmtId="0" fontId="94" fillId="0" borderId="38" xfId="92" applyFont="1" applyBorder="1" applyAlignment="1">
      <alignment vertical="center"/>
      <protection/>
    </xf>
    <xf numFmtId="3" fontId="94" fillId="0" borderId="41" xfId="92" applyNumberFormat="1" applyFont="1" applyBorder="1" applyAlignment="1">
      <alignment vertical="center"/>
      <protection/>
    </xf>
    <xf numFmtId="3" fontId="94" fillId="0" borderId="54" xfId="92" applyNumberFormat="1" applyFont="1" applyBorder="1" applyAlignment="1">
      <alignment vertical="center"/>
      <protection/>
    </xf>
    <xf numFmtId="0" fontId="1" fillId="0" borderId="0" xfId="92" applyFill="1" applyAlignment="1" applyProtection="1">
      <alignment vertical="center"/>
      <protection/>
    </xf>
    <xf numFmtId="0" fontId="42" fillId="0" borderId="0" xfId="94" applyFont="1" applyBorder="1" applyAlignment="1">
      <alignment horizontal="right" vertical="center"/>
      <protection/>
    </xf>
    <xf numFmtId="3" fontId="14" fillId="0" borderId="46" xfId="94" applyNumberFormat="1" applyFont="1" applyFill="1" applyBorder="1" applyAlignment="1">
      <alignment vertical="center"/>
      <protection/>
    </xf>
    <xf numFmtId="3" fontId="45" fillId="0" borderId="64" xfId="94" applyNumberFormat="1" applyFont="1" applyBorder="1" applyAlignment="1">
      <alignment vertical="center"/>
      <protection/>
    </xf>
    <xf numFmtId="3" fontId="45" fillId="0" borderId="50" xfId="94" applyNumberFormat="1" applyFont="1" applyBorder="1" applyAlignment="1">
      <alignment vertical="center"/>
      <protection/>
    </xf>
    <xf numFmtId="3" fontId="45" fillId="0" borderId="22" xfId="94" applyNumberFormat="1" applyFont="1" applyBorder="1" applyAlignment="1">
      <alignment vertical="center"/>
      <protection/>
    </xf>
    <xf numFmtId="3" fontId="14" fillId="0" borderId="28" xfId="94" applyNumberFormat="1" applyFont="1" applyBorder="1" applyAlignment="1">
      <alignment vertical="center"/>
      <protection/>
    </xf>
    <xf numFmtId="3" fontId="14" fillId="0" borderId="34" xfId="94" applyNumberFormat="1" applyFont="1" applyBorder="1" applyAlignment="1">
      <alignment vertical="center"/>
      <protection/>
    </xf>
    <xf numFmtId="3" fontId="26" fillId="0" borderId="28" xfId="0" applyNumberFormat="1" applyFont="1" applyFill="1" applyBorder="1" applyAlignment="1">
      <alignment horizontal="right" vertical="center"/>
    </xf>
    <xf numFmtId="3" fontId="26" fillId="35" borderId="66" xfId="0" applyNumberFormat="1" applyFont="1" applyFill="1" applyBorder="1" applyAlignment="1">
      <alignment horizontal="right" vertical="center" wrapText="1"/>
    </xf>
    <xf numFmtId="3" fontId="26" fillId="0" borderId="66" xfId="0" applyNumberFormat="1" applyFont="1" applyFill="1" applyBorder="1" applyAlignment="1">
      <alignment horizontal="right" vertical="center"/>
    </xf>
    <xf numFmtId="3" fontId="75" fillId="0" borderId="55" xfId="97" applyNumberFormat="1" applyFont="1" applyBorder="1" applyAlignment="1">
      <alignment horizontal="center" vertical="center" wrapText="1"/>
      <protection/>
    </xf>
    <xf numFmtId="3" fontId="75" fillId="0" borderId="98" xfId="97" applyNumberFormat="1" applyFont="1" applyBorder="1" applyAlignment="1">
      <alignment horizontal="center" vertical="center" wrapText="1"/>
      <protection/>
    </xf>
    <xf numFmtId="0" fontId="1" fillId="0" borderId="42" xfId="92" applyFont="1" applyFill="1" applyBorder="1">
      <alignment/>
      <protection/>
    </xf>
    <xf numFmtId="3" fontId="1" fillId="0" borderId="41" xfId="92" applyNumberFormat="1" applyFont="1" applyFill="1" applyBorder="1">
      <alignment/>
      <protection/>
    </xf>
    <xf numFmtId="1" fontId="69" fillId="0" borderId="35" xfId="96" applyNumberFormat="1" applyFont="1" applyFill="1" applyBorder="1" applyAlignment="1">
      <alignment horizontal="center" vertical="center" wrapText="1"/>
      <protection/>
    </xf>
    <xf numFmtId="1" fontId="69" fillId="0" borderId="41" xfId="96" applyNumberFormat="1" applyFont="1" applyFill="1" applyBorder="1" applyAlignment="1">
      <alignment horizontal="center" vertical="center" wrapText="1"/>
      <protection/>
    </xf>
    <xf numFmtId="1" fontId="70" fillId="0" borderId="61" xfId="96" applyNumberFormat="1" applyFont="1" applyBorder="1" applyAlignment="1">
      <alignment horizontal="center" vertical="center"/>
      <protection/>
    </xf>
    <xf numFmtId="0" fontId="67" fillId="0" borderId="0" xfId="96" applyFont="1" applyBorder="1" applyAlignment="1">
      <alignment horizontal="left" vertical="center"/>
      <protection/>
    </xf>
    <xf numFmtId="1" fontId="70" fillId="0" borderId="0" xfId="96" applyNumberFormat="1" applyFont="1" applyBorder="1" applyAlignment="1">
      <alignment horizontal="center" vertical="center" wrapText="1"/>
      <protection/>
    </xf>
    <xf numFmtId="0" fontId="63" fillId="0" borderId="0" xfId="96" applyFont="1" applyBorder="1" applyAlignment="1">
      <alignment horizontal="center" vertical="center"/>
      <protection/>
    </xf>
    <xf numFmtId="10" fontId="63" fillId="0" borderId="0" xfId="96" applyNumberFormat="1" applyFont="1" applyBorder="1" applyAlignment="1">
      <alignment horizontal="center" vertical="center"/>
      <protection/>
    </xf>
    <xf numFmtId="0" fontId="48" fillId="0" borderId="0" xfId="96" applyFont="1" applyBorder="1" applyAlignment="1">
      <alignment horizontal="left" vertical="center" wrapText="1"/>
      <protection/>
    </xf>
    <xf numFmtId="1" fontId="70" fillId="0" borderId="0" xfId="96" applyNumberFormat="1" applyFont="1" applyBorder="1" applyAlignment="1">
      <alignment horizontal="center" vertical="center"/>
      <protection/>
    </xf>
    <xf numFmtId="2" fontId="70" fillId="0" borderId="0" xfId="96" applyNumberFormat="1" applyFont="1" applyBorder="1" applyAlignment="1">
      <alignment horizontal="center" vertical="center"/>
      <protection/>
    </xf>
    <xf numFmtId="0" fontId="67" fillId="0" borderId="28" xfId="96" applyFont="1" applyBorder="1" applyAlignment="1">
      <alignment horizontal="left" vertical="center"/>
      <protection/>
    </xf>
    <xf numFmtId="0" fontId="67" fillId="0" borderId="29" xfId="96" applyFont="1" applyBorder="1" applyAlignment="1">
      <alignment horizontal="left" vertical="center"/>
      <protection/>
    </xf>
    <xf numFmtId="1" fontId="70" fillId="0" borderId="73" xfId="96" applyNumberFormat="1" applyFont="1" applyBorder="1" applyAlignment="1">
      <alignment horizontal="center" vertical="center" wrapText="1"/>
      <protection/>
    </xf>
    <xf numFmtId="0" fontId="67" fillId="0" borderId="35" xfId="96" applyFont="1" applyBorder="1" applyAlignment="1">
      <alignment horizontal="left" vertical="center"/>
      <protection/>
    </xf>
    <xf numFmtId="0" fontId="67" fillId="0" borderId="42" xfId="96" applyFont="1" applyBorder="1" applyAlignment="1">
      <alignment horizontal="left" vertical="center"/>
      <protection/>
    </xf>
    <xf numFmtId="0" fontId="67" fillId="0" borderId="41" xfId="96" applyFont="1" applyBorder="1" applyAlignment="1">
      <alignment horizontal="left" vertical="center"/>
      <protection/>
    </xf>
    <xf numFmtId="1" fontId="70" fillId="0" borderId="54" xfId="96" applyNumberFormat="1" applyFont="1" applyBorder="1" applyAlignment="1">
      <alignment horizontal="center" vertical="center" wrapText="1"/>
      <protection/>
    </xf>
    <xf numFmtId="0" fontId="68" fillId="0" borderId="34" xfId="96" applyFont="1" applyBorder="1" applyAlignment="1">
      <alignment horizontal="left" vertical="center"/>
      <protection/>
    </xf>
    <xf numFmtId="1" fontId="69" fillId="0" borderId="49" xfId="96" applyNumberFormat="1" applyFont="1" applyBorder="1" applyAlignment="1">
      <alignment horizontal="center" vertical="center" wrapText="1"/>
      <protection/>
    </xf>
    <xf numFmtId="0" fontId="63" fillId="0" borderId="0" xfId="96" applyFont="1" applyAlignment="1">
      <alignment vertical="center"/>
      <protection/>
    </xf>
    <xf numFmtId="10" fontId="21" fillId="0" borderId="82" xfId="0" applyNumberFormat="1" applyFont="1" applyBorder="1" applyAlignment="1">
      <alignment vertical="center"/>
    </xf>
    <xf numFmtId="10" fontId="25" fillId="0" borderId="82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7" fillId="0" borderId="20" xfId="0" applyNumberFormat="1" applyFont="1" applyFill="1" applyBorder="1" applyAlignment="1">
      <alignment horizontal="center" vertical="center" wrapText="1"/>
    </xf>
    <xf numFmtId="3" fontId="27" fillId="0" borderId="82" xfId="0" applyNumberFormat="1" applyFont="1" applyFill="1" applyBorder="1" applyAlignment="1">
      <alignment horizontal="center" vertical="center" wrapText="1"/>
    </xf>
    <xf numFmtId="0" fontId="95" fillId="0" borderId="43" xfId="94" applyFont="1" applyBorder="1" applyAlignment="1">
      <alignment vertical="center" wrapText="1"/>
      <protection/>
    </xf>
    <xf numFmtId="0" fontId="95" fillId="0" borderId="31" xfId="94" applyFont="1" applyBorder="1" applyAlignment="1">
      <alignment vertical="center" wrapText="1"/>
      <protection/>
    </xf>
    <xf numFmtId="0" fontId="95" fillId="0" borderId="47" xfId="94" applyFont="1" applyBorder="1" applyAlignment="1">
      <alignment vertical="center" wrapText="1"/>
      <protection/>
    </xf>
    <xf numFmtId="0" fontId="95" fillId="0" borderId="38" xfId="94" applyFont="1" applyBorder="1" applyAlignment="1">
      <alignment vertical="center" wrapText="1"/>
      <protection/>
    </xf>
    <xf numFmtId="0" fontId="96" fillId="0" borderId="99" xfId="94" applyFont="1" applyBorder="1" applyAlignment="1">
      <alignment vertical="center" wrapText="1"/>
      <protection/>
    </xf>
    <xf numFmtId="0" fontId="95" fillId="0" borderId="43" xfId="94" applyFont="1" applyBorder="1" applyAlignment="1">
      <alignment vertical="center"/>
      <protection/>
    </xf>
    <xf numFmtId="0" fontId="95" fillId="0" borderId="47" xfId="94" applyFont="1" applyBorder="1" applyAlignment="1">
      <alignment vertical="center"/>
      <protection/>
    </xf>
    <xf numFmtId="0" fontId="96" fillId="0" borderId="19" xfId="94" applyFont="1" applyBorder="1" applyAlignment="1">
      <alignment vertical="center"/>
      <protection/>
    </xf>
    <xf numFmtId="0" fontId="97" fillId="0" borderId="19" xfId="94" applyFont="1" applyBorder="1" applyAlignment="1">
      <alignment horizontal="center" vertical="center"/>
      <protection/>
    </xf>
    <xf numFmtId="0" fontId="97" fillId="0" borderId="60" xfId="94" applyFont="1" applyBorder="1" applyAlignment="1">
      <alignment horizontal="center" vertical="center"/>
      <protection/>
    </xf>
    <xf numFmtId="0" fontId="98" fillId="0" borderId="47" xfId="94" applyFont="1" applyFill="1" applyBorder="1" applyAlignment="1">
      <alignment vertical="center" wrapText="1"/>
      <protection/>
    </xf>
    <xf numFmtId="0" fontId="96" fillId="0" borderId="19" xfId="94" applyFont="1" applyBorder="1" applyAlignment="1">
      <alignment vertical="center" wrapText="1"/>
      <protection/>
    </xf>
    <xf numFmtId="0" fontId="96" fillId="0" borderId="19" xfId="94" applyFont="1" applyFill="1" applyBorder="1" applyAlignment="1">
      <alignment vertical="center"/>
      <protection/>
    </xf>
    <xf numFmtId="0" fontId="99" fillId="0" borderId="99" xfId="0" applyFont="1" applyBorder="1" applyAlignment="1">
      <alignment horizontal="center" vertical="center" wrapText="1"/>
    </xf>
    <xf numFmtId="0" fontId="100" fillId="0" borderId="99" xfId="94" applyFont="1" applyBorder="1" applyAlignment="1">
      <alignment horizontal="left" vertical="center"/>
      <protection/>
    </xf>
    <xf numFmtId="0" fontId="95" fillId="0" borderId="44" xfId="94" applyFont="1" applyBorder="1" applyAlignment="1">
      <alignment vertical="center" wrapText="1"/>
      <protection/>
    </xf>
    <xf numFmtId="0" fontId="95" fillId="0" borderId="32" xfId="94" applyFont="1" applyBorder="1" applyAlignment="1">
      <alignment vertical="center" wrapText="1"/>
      <protection/>
    </xf>
    <xf numFmtId="0" fontId="95" fillId="0" borderId="32" xfId="94" applyFont="1" applyFill="1" applyBorder="1" applyAlignment="1">
      <alignment vertical="center" wrapText="1"/>
      <protection/>
    </xf>
    <xf numFmtId="0" fontId="95" fillId="0" borderId="48" xfId="94" applyFont="1" applyBorder="1" applyAlignment="1">
      <alignment vertical="center" wrapText="1"/>
      <protection/>
    </xf>
    <xf numFmtId="0" fontId="95" fillId="0" borderId="39" xfId="94" applyFont="1" applyBorder="1" applyAlignment="1">
      <alignment vertical="center" wrapText="1"/>
      <protection/>
    </xf>
    <xf numFmtId="0" fontId="96" fillId="0" borderId="60" xfId="94" applyFont="1" applyBorder="1" applyAlignment="1">
      <alignment vertical="center" wrapText="1"/>
      <protection/>
    </xf>
    <xf numFmtId="0" fontId="96" fillId="0" borderId="20" xfId="94" applyFont="1" applyBorder="1" applyAlignment="1">
      <alignment vertical="center" wrapText="1"/>
      <protection/>
    </xf>
    <xf numFmtId="0" fontId="97" fillId="0" borderId="20" xfId="94" applyFont="1" applyBorder="1" applyAlignment="1">
      <alignment horizontal="center" vertical="center" wrapText="1"/>
      <protection/>
    </xf>
    <xf numFmtId="0" fontId="97" fillId="0" borderId="60" xfId="94" applyFont="1" applyBorder="1" applyAlignment="1">
      <alignment horizontal="center" vertical="center" wrapText="1"/>
      <protection/>
    </xf>
    <xf numFmtId="0" fontId="95" fillId="0" borderId="26" xfId="94" applyFont="1" applyBorder="1" applyAlignment="1">
      <alignment vertical="center" wrapText="1"/>
      <protection/>
    </xf>
    <xf numFmtId="0" fontId="96" fillId="0" borderId="20" xfId="94" applyFont="1" applyBorder="1" applyAlignment="1">
      <alignment vertical="center"/>
      <protection/>
    </xf>
    <xf numFmtId="0" fontId="95" fillId="0" borderId="44" xfId="94" applyFont="1" applyFill="1" applyBorder="1" applyAlignment="1">
      <alignment vertical="center" wrapText="1"/>
      <protection/>
    </xf>
    <xf numFmtId="0" fontId="95" fillId="0" borderId="48" xfId="94" applyFont="1" applyBorder="1" applyAlignment="1">
      <alignment vertical="center"/>
      <protection/>
    </xf>
    <xf numFmtId="0" fontId="99" fillId="0" borderId="60" xfId="0" applyFont="1" applyBorder="1" applyAlignment="1">
      <alignment horizontal="center" vertical="center" wrapText="1"/>
    </xf>
    <xf numFmtId="0" fontId="45" fillId="0" borderId="67" xfId="94" applyFont="1" applyBorder="1" applyAlignment="1">
      <alignment horizontal="center" vertical="center"/>
      <protection/>
    </xf>
    <xf numFmtId="3" fontId="14" fillId="0" borderId="70" xfId="94" applyNumberFormat="1" applyBorder="1" applyAlignment="1">
      <alignment vertical="center"/>
      <protection/>
    </xf>
    <xf numFmtId="3" fontId="14" fillId="0" borderId="71" xfId="94" applyNumberFormat="1" applyBorder="1" applyAlignment="1">
      <alignment vertical="center"/>
      <protection/>
    </xf>
    <xf numFmtId="3" fontId="14" fillId="0" borderId="96" xfId="94" applyNumberFormat="1" applyBorder="1" applyAlignment="1">
      <alignment vertical="center"/>
      <protection/>
    </xf>
    <xf numFmtId="3" fontId="14" fillId="0" borderId="80" xfId="94" applyNumberFormat="1" applyBorder="1" applyAlignment="1">
      <alignment vertical="center"/>
      <protection/>
    </xf>
    <xf numFmtId="3" fontId="14" fillId="0" borderId="74" xfId="94" applyNumberFormat="1" applyBorder="1" applyAlignment="1">
      <alignment vertical="center"/>
      <protection/>
    </xf>
    <xf numFmtId="3" fontId="45" fillId="0" borderId="70" xfId="94" applyNumberFormat="1" applyFont="1" applyFill="1" applyBorder="1" applyAlignment="1">
      <alignment vertical="center"/>
      <protection/>
    </xf>
    <xf numFmtId="3" fontId="45" fillId="0" borderId="96" xfId="94" applyNumberFormat="1" applyFont="1" applyBorder="1" applyAlignment="1">
      <alignment vertical="center"/>
      <protection/>
    </xf>
    <xf numFmtId="3" fontId="45" fillId="0" borderId="67" xfId="94" applyNumberFormat="1" applyFont="1" applyBorder="1" applyAlignment="1">
      <alignment vertical="center"/>
      <protection/>
    </xf>
    <xf numFmtId="3" fontId="46" fillId="0" borderId="67" xfId="94" applyNumberFormat="1" applyFont="1" applyBorder="1" applyAlignment="1">
      <alignment vertical="center"/>
      <protection/>
    </xf>
    <xf numFmtId="3" fontId="14" fillId="0" borderId="49" xfId="94" applyNumberFormat="1" applyBorder="1" applyAlignment="1">
      <alignment vertical="center"/>
      <protection/>
    </xf>
    <xf numFmtId="3" fontId="14" fillId="0" borderId="76" xfId="94" applyNumberFormat="1" applyBorder="1" applyAlignment="1">
      <alignment vertical="center"/>
      <protection/>
    </xf>
    <xf numFmtId="3" fontId="14" fillId="0" borderId="83" xfId="94" applyNumberFormat="1" applyBorder="1" applyAlignment="1">
      <alignment vertical="center"/>
      <protection/>
    </xf>
    <xf numFmtId="3" fontId="45" fillId="0" borderId="54" xfId="94" applyNumberFormat="1" applyFont="1" applyBorder="1" applyAlignment="1">
      <alignment vertical="center"/>
      <protection/>
    </xf>
    <xf numFmtId="3" fontId="45" fillId="0" borderId="78" xfId="94" applyNumberFormat="1" applyFont="1" applyBorder="1" applyAlignment="1">
      <alignment vertical="center"/>
      <protection/>
    </xf>
    <xf numFmtId="3" fontId="46" fillId="0" borderId="24" xfId="94" applyNumberFormat="1" applyFont="1" applyBorder="1" applyAlignment="1">
      <alignment vertical="center"/>
      <protection/>
    </xf>
    <xf numFmtId="3" fontId="46" fillId="0" borderId="53" xfId="94" applyNumberFormat="1" applyFont="1" applyBorder="1" applyAlignment="1">
      <alignment vertical="center"/>
      <protection/>
    </xf>
    <xf numFmtId="0" fontId="100" fillId="0" borderId="60" xfId="94" applyFont="1" applyBorder="1" applyAlignment="1">
      <alignment horizontal="left" vertical="center"/>
      <protection/>
    </xf>
    <xf numFmtId="3" fontId="14" fillId="0" borderId="73" xfId="94" applyNumberFormat="1" applyFill="1" applyBorder="1" applyAlignment="1">
      <alignment vertical="center"/>
      <protection/>
    </xf>
    <xf numFmtId="3" fontId="14" fillId="0" borderId="76" xfId="94" applyNumberFormat="1" applyFont="1" applyBorder="1" applyAlignment="1">
      <alignment vertical="center"/>
      <protection/>
    </xf>
    <xf numFmtId="3" fontId="46" fillId="0" borderId="83" xfId="94" applyNumberFormat="1" applyFont="1" applyBorder="1" applyAlignment="1">
      <alignment vertical="center"/>
      <protection/>
    </xf>
    <xf numFmtId="3" fontId="45" fillId="0" borderId="24" xfId="94" applyNumberFormat="1" applyFont="1" applyBorder="1" applyAlignment="1">
      <alignment vertical="center"/>
      <protection/>
    </xf>
    <xf numFmtId="3" fontId="14" fillId="0" borderId="72" xfId="94" applyNumberFormat="1" applyBorder="1" applyAlignment="1">
      <alignment vertical="center"/>
      <protection/>
    </xf>
    <xf numFmtId="3" fontId="14" fillId="0" borderId="71" xfId="94" applyNumberFormat="1" applyFill="1" applyBorder="1" applyAlignment="1">
      <alignment vertical="center"/>
      <protection/>
    </xf>
    <xf numFmtId="0" fontId="0" fillId="0" borderId="49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76" xfId="0" applyFont="1" applyBorder="1" applyAlignment="1">
      <alignment/>
    </xf>
    <xf numFmtId="164" fontId="36" fillId="0" borderId="8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84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69" xfId="97" applyNumberFormat="1" applyFont="1" applyBorder="1" applyAlignment="1">
      <alignment horizontal="center" vertical="center" wrapText="1"/>
      <protection/>
    </xf>
    <xf numFmtId="3" fontId="76" fillId="0" borderId="69" xfId="97" applyNumberFormat="1" applyFont="1" applyFill="1" applyBorder="1" applyAlignment="1">
      <alignment vertical="top"/>
      <protection/>
    </xf>
    <xf numFmtId="3" fontId="75" fillId="0" borderId="66" xfId="97" applyNumberFormat="1" applyFont="1" applyBorder="1" applyAlignment="1">
      <alignment horizontal="right" vertical="center" wrapText="1"/>
      <protection/>
    </xf>
    <xf numFmtId="3" fontId="75" fillId="0" borderId="22" xfId="97" applyNumberFormat="1" applyFont="1" applyBorder="1" applyAlignment="1">
      <alignment horizontal="right" vertical="center" wrapText="1"/>
      <protection/>
    </xf>
    <xf numFmtId="3" fontId="76" fillId="0" borderId="22" xfId="97" applyNumberFormat="1" applyFont="1" applyFill="1" applyBorder="1" applyAlignment="1">
      <alignment horizontal="right" vertical="top"/>
      <protection/>
    </xf>
    <xf numFmtId="3" fontId="74" fillId="0" borderId="65" xfId="97" applyNumberFormat="1" applyFont="1" applyBorder="1" applyAlignment="1">
      <alignment horizontal="center" vertical="center" wrapText="1"/>
      <protection/>
    </xf>
    <xf numFmtId="3" fontId="75" fillId="0" borderId="82" xfId="97" applyNumberFormat="1" applyFont="1" applyBorder="1" applyAlignment="1">
      <alignment horizontal="center" vertical="center" wrapText="1"/>
      <protection/>
    </xf>
    <xf numFmtId="3" fontId="75" fillId="0" borderId="23" xfId="97" applyNumberFormat="1" applyFont="1" applyBorder="1" applyAlignment="1">
      <alignment horizontal="center" vertical="center" wrapText="1"/>
      <protection/>
    </xf>
    <xf numFmtId="3" fontId="75" fillId="0" borderId="24" xfId="97" applyNumberFormat="1" applyFont="1" applyBorder="1" applyAlignment="1">
      <alignment horizontal="center" vertical="center" wrapText="1"/>
      <protection/>
    </xf>
    <xf numFmtId="3" fontId="74" fillId="0" borderId="82" xfId="97" applyNumberFormat="1" applyFont="1" applyBorder="1" applyAlignment="1">
      <alignment horizontal="center" vertical="center" wrapText="1"/>
      <protection/>
    </xf>
    <xf numFmtId="3" fontId="74" fillId="0" borderId="23" xfId="97" applyNumberFormat="1" applyFont="1" applyBorder="1" applyAlignment="1">
      <alignment horizontal="center" vertical="center" wrapText="1"/>
      <protection/>
    </xf>
    <xf numFmtId="3" fontId="74" fillId="0" borderId="24" xfId="97" applyNumberFormat="1" applyFont="1" applyBorder="1" applyAlignment="1">
      <alignment horizontal="center" vertical="center" wrapText="1"/>
      <protection/>
    </xf>
    <xf numFmtId="3" fontId="74" fillId="0" borderId="67" xfId="97" applyNumberFormat="1" applyFont="1" applyBorder="1" applyAlignment="1">
      <alignment horizontal="center" vertical="center" wrapText="1"/>
      <protection/>
    </xf>
    <xf numFmtId="3" fontId="76" fillId="0" borderId="82" xfId="97" applyNumberFormat="1" applyFont="1" applyFill="1" applyBorder="1" applyAlignment="1">
      <alignment vertical="top"/>
      <protection/>
    </xf>
    <xf numFmtId="3" fontId="76" fillId="0" borderId="23" xfId="97" applyNumberFormat="1" applyFont="1" applyFill="1" applyBorder="1" applyAlignment="1">
      <alignment vertical="top"/>
      <protection/>
    </xf>
    <xf numFmtId="10" fontId="76" fillId="0" borderId="24" xfId="97" applyNumberFormat="1" applyFont="1" applyFill="1" applyBorder="1" applyAlignment="1">
      <alignment vertical="top"/>
      <protection/>
    </xf>
    <xf numFmtId="3" fontId="76" fillId="0" borderId="24" xfId="97" applyNumberFormat="1" applyFont="1" applyFill="1" applyBorder="1" applyAlignment="1">
      <alignment vertical="top"/>
      <protection/>
    </xf>
    <xf numFmtId="3" fontId="76" fillId="0" borderId="67" xfId="97" applyNumberFormat="1" applyFont="1" applyFill="1" applyBorder="1" applyAlignment="1">
      <alignment vertical="top"/>
      <protection/>
    </xf>
    <xf numFmtId="3" fontId="101" fillId="11" borderId="88" xfId="94" applyNumberFormat="1" applyFont="1" applyFill="1" applyBorder="1" applyAlignment="1">
      <alignment horizontal="right" vertical="center" wrapText="1"/>
      <protection/>
    </xf>
    <xf numFmtId="10" fontId="101" fillId="11" borderId="88" xfId="94" applyNumberFormat="1" applyFont="1" applyFill="1" applyBorder="1" applyAlignment="1">
      <alignment horizontal="right" vertical="center" wrapText="1"/>
      <protection/>
    </xf>
    <xf numFmtId="10" fontId="83" fillId="0" borderId="36" xfId="94" applyNumberFormat="1" applyFont="1" applyBorder="1" applyAlignment="1">
      <alignment horizontal="right" vertical="center" wrapText="1"/>
      <protection/>
    </xf>
    <xf numFmtId="10" fontId="83" fillId="0" borderId="37" xfId="94" applyNumberFormat="1" applyFont="1" applyBorder="1" applyAlignment="1">
      <alignment horizontal="right" vertical="center" wrapText="1"/>
      <protection/>
    </xf>
    <xf numFmtId="3" fontId="81" fillId="11" borderId="37" xfId="94" applyNumberFormat="1" applyFont="1" applyFill="1" applyBorder="1" applyAlignment="1">
      <alignment horizontal="center" vertical="center" wrapText="1"/>
      <protection/>
    </xf>
    <xf numFmtId="0" fontId="14" fillId="0" borderId="33" xfId="94" applyBorder="1" applyAlignment="1">
      <alignment vertical="center"/>
      <protection/>
    </xf>
    <xf numFmtId="3" fontId="81" fillId="11" borderId="30" xfId="94" applyNumberFormat="1" applyFont="1" applyFill="1" applyBorder="1" applyAlignment="1">
      <alignment horizontal="center" vertical="center" wrapText="1"/>
      <protection/>
    </xf>
    <xf numFmtId="0" fontId="81" fillId="11" borderId="43" xfId="94" applyFont="1" applyFill="1" applyBorder="1" applyAlignment="1">
      <alignment horizontal="center" vertical="center" wrapText="1"/>
      <protection/>
    </xf>
    <xf numFmtId="0" fontId="81" fillId="11" borderId="30" xfId="94" applyFont="1" applyFill="1" applyBorder="1" applyAlignment="1">
      <alignment horizontal="center" vertical="center" wrapText="1"/>
      <protection/>
    </xf>
    <xf numFmtId="3" fontId="81" fillId="11" borderId="78" xfId="94" applyNumberFormat="1" applyFont="1" applyFill="1" applyBorder="1" applyAlignment="1">
      <alignment horizontal="center" vertical="center" wrapText="1"/>
      <protection/>
    </xf>
    <xf numFmtId="0" fontId="14" fillId="0" borderId="51" xfId="94" applyFill="1" applyBorder="1" applyAlignment="1">
      <alignment vertical="center"/>
      <protection/>
    </xf>
    <xf numFmtId="0" fontId="14" fillId="0" borderId="33" xfId="94" applyFill="1" applyBorder="1" applyAlignment="1">
      <alignment vertical="center"/>
      <protection/>
    </xf>
    <xf numFmtId="0" fontId="14" fillId="0" borderId="40" xfId="94" applyBorder="1" applyAlignment="1">
      <alignment vertical="center"/>
      <protection/>
    </xf>
    <xf numFmtId="0" fontId="14" fillId="51" borderId="100" xfId="94" applyFill="1" applyBorder="1" applyAlignment="1">
      <alignment vertical="center"/>
      <protection/>
    </xf>
    <xf numFmtId="0" fontId="89" fillId="51" borderId="27" xfId="94" applyFont="1" applyFill="1" applyBorder="1" applyAlignment="1">
      <alignment vertical="center"/>
      <protection/>
    </xf>
    <xf numFmtId="0" fontId="14" fillId="0" borderId="49" xfId="94" applyFont="1" applyBorder="1">
      <alignment/>
      <protection/>
    </xf>
    <xf numFmtId="3" fontId="88" fillId="0" borderId="83" xfId="94" applyNumberFormat="1" applyFont="1" applyBorder="1" applyAlignment="1">
      <alignment horizontal="right"/>
      <protection/>
    </xf>
    <xf numFmtId="0" fontId="14" fillId="0" borderId="78" xfId="94" applyFont="1" applyBorder="1">
      <alignment/>
      <protection/>
    </xf>
    <xf numFmtId="0" fontId="79" fillId="51" borderId="42" xfId="94" applyFont="1" applyFill="1" applyBorder="1" applyAlignment="1">
      <alignment wrapText="1"/>
      <protection/>
    </xf>
    <xf numFmtId="3" fontId="89" fillId="51" borderId="41" xfId="94" applyNumberFormat="1" applyFont="1" applyFill="1" applyBorder="1" applyAlignment="1">
      <alignment horizontal="right"/>
      <protection/>
    </xf>
    <xf numFmtId="0" fontId="14" fillId="51" borderId="54" xfId="94" applyFont="1" applyFill="1" applyBorder="1">
      <alignment/>
      <protection/>
    </xf>
    <xf numFmtId="0" fontId="79" fillId="51" borderId="42" xfId="94" applyFont="1" applyFill="1" applyBorder="1" applyAlignment="1">
      <alignment vertical="center" wrapText="1"/>
      <protection/>
    </xf>
    <xf numFmtId="3" fontId="89" fillId="51" borderId="41" xfId="68" applyNumberFormat="1" applyFont="1" applyFill="1" applyBorder="1" applyAlignment="1" applyProtection="1">
      <alignment horizontal="right" vertical="center"/>
      <protection/>
    </xf>
    <xf numFmtId="3" fontId="89" fillId="51" borderId="54" xfId="68" applyNumberFormat="1" applyFont="1" applyFill="1" applyBorder="1" applyAlignment="1" applyProtection="1">
      <alignment horizontal="right" vertical="center"/>
      <protection/>
    </xf>
    <xf numFmtId="0" fontId="103" fillId="35" borderId="23" xfId="94" applyFont="1" applyFill="1" applyBorder="1" applyAlignment="1">
      <alignment horizontal="center" vertical="center"/>
      <protection/>
    </xf>
    <xf numFmtId="3" fontId="103" fillId="35" borderId="20" xfId="94" applyNumberFormat="1" applyFont="1" applyFill="1" applyBorder="1" applyAlignment="1">
      <alignment horizontal="center" vertical="center"/>
      <protection/>
    </xf>
    <xf numFmtId="3" fontId="90" fillId="35" borderId="0" xfId="94" applyNumberFormat="1" applyFont="1" applyFill="1" applyBorder="1" applyAlignment="1">
      <alignment horizontal="center" vertical="center"/>
      <protection/>
    </xf>
    <xf numFmtId="10" fontId="87" fillId="0" borderId="32" xfId="94" applyNumberFormat="1" applyFont="1" applyFill="1" applyBorder="1" applyAlignment="1">
      <alignment vertical="center"/>
      <protection/>
    </xf>
    <xf numFmtId="3" fontId="90" fillId="35" borderId="79" xfId="94" applyNumberFormat="1" applyFont="1" applyFill="1" applyBorder="1" applyAlignment="1">
      <alignment horizontal="center" vertical="center"/>
      <protection/>
    </xf>
    <xf numFmtId="10" fontId="87" fillId="0" borderId="77" xfId="94" applyNumberFormat="1" applyFont="1" applyFill="1" applyBorder="1" applyAlignment="1">
      <alignment vertical="center"/>
      <protection/>
    </xf>
    <xf numFmtId="10" fontId="87" fillId="0" borderId="101" xfId="94" applyNumberFormat="1" applyFont="1" applyFill="1" applyBorder="1" applyAlignment="1">
      <alignment vertical="center"/>
      <protection/>
    </xf>
    <xf numFmtId="3" fontId="90" fillId="35" borderId="102" xfId="94" applyNumberFormat="1" applyFont="1" applyFill="1" applyBorder="1" applyAlignment="1">
      <alignment horizontal="center" vertical="center"/>
      <protection/>
    </xf>
    <xf numFmtId="3" fontId="90" fillId="35" borderId="102" xfId="94" applyNumberFormat="1" applyFont="1" applyFill="1" applyBorder="1" applyAlignment="1">
      <alignment horizontal="center" vertical="center" wrapText="1"/>
      <protection/>
    </xf>
    <xf numFmtId="3" fontId="87" fillId="0" borderId="32" xfId="94" applyNumberFormat="1" applyFont="1" applyFill="1" applyBorder="1" applyAlignment="1">
      <alignment horizontal="right" vertical="center"/>
      <protection/>
    </xf>
    <xf numFmtId="3" fontId="90" fillId="35" borderId="93" xfId="94" applyNumberFormat="1" applyFont="1" applyFill="1" applyBorder="1" applyAlignment="1">
      <alignment horizontal="center" vertical="center" wrapText="1"/>
      <protection/>
    </xf>
    <xf numFmtId="3" fontId="90" fillId="35" borderId="0" xfId="94" applyNumberFormat="1" applyFont="1" applyFill="1" applyBorder="1" applyAlignment="1">
      <alignment horizontal="center" vertical="center" wrapText="1"/>
      <protection/>
    </xf>
    <xf numFmtId="3" fontId="87" fillId="0" borderId="103" xfId="94" applyNumberFormat="1" applyFont="1" applyBorder="1" applyAlignment="1">
      <alignment vertical="center"/>
      <protection/>
    </xf>
    <xf numFmtId="3" fontId="87" fillId="0" borderId="104" xfId="0" applyNumberFormat="1" applyFont="1" applyFill="1" applyBorder="1" applyAlignment="1">
      <alignment horizontal="right" vertical="center"/>
    </xf>
    <xf numFmtId="0" fontId="14" fillId="0" borderId="56" xfId="94" applyFont="1" applyBorder="1" applyAlignment="1">
      <alignment vertical="center"/>
      <protection/>
    </xf>
    <xf numFmtId="3" fontId="90" fillId="35" borderId="66" xfId="94" applyNumberFormat="1" applyFont="1" applyFill="1" applyBorder="1" applyAlignment="1">
      <alignment horizontal="center" vertical="center"/>
      <protection/>
    </xf>
    <xf numFmtId="3" fontId="87" fillId="0" borderId="103" xfId="94" applyNumberFormat="1" applyFont="1" applyFill="1" applyBorder="1" applyAlignment="1">
      <alignment horizontal="right" vertical="center"/>
      <protection/>
    </xf>
    <xf numFmtId="3" fontId="87" fillId="0" borderId="46" xfId="94" applyNumberFormat="1" applyFont="1" applyFill="1" applyBorder="1" applyAlignment="1">
      <alignment horizontal="right" vertical="center"/>
      <protection/>
    </xf>
    <xf numFmtId="3" fontId="87" fillId="0" borderId="34" xfId="94" applyNumberFormat="1" applyFont="1" applyBorder="1" applyAlignment="1">
      <alignment horizontal="right" vertical="center"/>
      <protection/>
    </xf>
    <xf numFmtId="3" fontId="87" fillId="0" borderId="105" xfId="94" applyNumberFormat="1" applyFont="1" applyFill="1" applyBorder="1" applyAlignment="1">
      <alignment horizontal="right" vertical="center"/>
      <protection/>
    </xf>
    <xf numFmtId="3" fontId="87" fillId="0" borderId="44" xfId="94" applyNumberFormat="1" applyFont="1" applyFill="1" applyBorder="1" applyAlignment="1">
      <alignment horizontal="right" vertical="center"/>
      <protection/>
    </xf>
    <xf numFmtId="3" fontId="87" fillId="0" borderId="32" xfId="94" applyNumberFormat="1" applyFont="1" applyBorder="1" applyAlignment="1">
      <alignment horizontal="right" vertical="center"/>
      <protection/>
    </xf>
    <xf numFmtId="3" fontId="79" fillId="0" borderId="20" xfId="94" applyNumberFormat="1" applyFont="1" applyBorder="1" applyAlignment="1">
      <alignment horizontal="right" vertical="center"/>
      <protection/>
    </xf>
    <xf numFmtId="0" fontId="90" fillId="0" borderId="78" xfId="94" applyFont="1" applyBorder="1" applyAlignment="1">
      <alignment vertical="center"/>
      <protection/>
    </xf>
    <xf numFmtId="3" fontId="90" fillId="35" borderId="22" xfId="94" applyNumberFormat="1" applyFont="1" applyFill="1" applyBorder="1" applyAlignment="1">
      <alignment horizontal="center" vertical="center"/>
      <protection/>
    </xf>
    <xf numFmtId="3" fontId="92" fillId="0" borderId="106" xfId="98" applyNumberFormat="1" applyFont="1" applyFill="1" applyBorder="1" applyAlignment="1">
      <alignment horizontal="right" vertical="center" wrapText="1"/>
      <protection/>
    </xf>
    <xf numFmtId="0" fontId="1" fillId="0" borderId="33" xfId="92" applyFill="1" applyBorder="1">
      <alignment/>
      <protection/>
    </xf>
    <xf numFmtId="0" fontId="1" fillId="0" borderId="45" xfId="92" applyFill="1" applyBorder="1">
      <alignment/>
      <protection/>
    </xf>
    <xf numFmtId="3" fontId="32" fillId="35" borderId="22" xfId="0" applyNumberFormat="1" applyFont="1" applyFill="1" applyBorder="1" applyAlignment="1">
      <alignment horizontal="right" vertical="center" wrapText="1"/>
    </xf>
    <xf numFmtId="3" fontId="104" fillId="35" borderId="28" xfId="0" applyNumberFormat="1" applyFont="1" applyFill="1" applyBorder="1" applyAlignment="1">
      <alignment horizontal="right" vertical="center" wrapText="1"/>
    </xf>
    <xf numFmtId="3" fontId="104" fillId="35" borderId="29" xfId="0" applyNumberFormat="1" applyFont="1" applyFill="1" applyBorder="1" applyAlignment="1">
      <alignment horizontal="right" vertical="center" wrapText="1"/>
    </xf>
    <xf numFmtId="3" fontId="104" fillId="35" borderId="30" xfId="0" applyNumberFormat="1" applyFont="1" applyFill="1" applyBorder="1" applyAlignment="1">
      <alignment horizontal="right" vertical="center" wrapText="1"/>
    </xf>
    <xf numFmtId="3" fontId="104" fillId="35" borderId="34" xfId="0" applyNumberFormat="1" applyFont="1" applyFill="1" applyBorder="1" applyAlignment="1">
      <alignment horizontal="right" vertical="center" wrapText="1"/>
    </xf>
    <xf numFmtId="3" fontId="104" fillId="35" borderId="35" xfId="0" applyNumberFormat="1" applyFont="1" applyFill="1" applyBorder="1" applyAlignment="1">
      <alignment horizontal="right" vertical="center" wrapText="1"/>
    </xf>
    <xf numFmtId="3" fontId="104" fillId="35" borderId="36" xfId="0" applyNumberFormat="1" applyFont="1" applyFill="1" applyBorder="1" applyAlignment="1">
      <alignment horizontal="right" vertical="center" wrapText="1"/>
    </xf>
    <xf numFmtId="3" fontId="104" fillId="0" borderId="35" xfId="0" applyNumberFormat="1" applyFont="1" applyFill="1" applyBorder="1" applyAlignment="1">
      <alignment horizontal="right" vertical="center" wrapText="1"/>
    </xf>
    <xf numFmtId="3" fontId="104" fillId="0" borderId="36" xfId="0" applyNumberFormat="1" applyFont="1" applyFill="1" applyBorder="1" applyAlignment="1">
      <alignment horizontal="right" vertical="center" wrapText="1"/>
    </xf>
    <xf numFmtId="3" fontId="104" fillId="35" borderId="37" xfId="0" applyNumberFormat="1" applyFont="1" applyFill="1" applyBorder="1" applyAlignment="1">
      <alignment horizontal="right" vertical="center" wrapText="1"/>
    </xf>
    <xf numFmtId="3" fontId="104" fillId="0" borderId="37" xfId="0" applyNumberFormat="1" applyFont="1" applyFill="1" applyBorder="1" applyAlignment="1">
      <alignment horizontal="right" vertical="center" wrapText="1"/>
    </xf>
    <xf numFmtId="3" fontId="104" fillId="35" borderId="41" xfId="0" applyNumberFormat="1" applyFont="1" applyFill="1" applyBorder="1" applyAlignment="1">
      <alignment horizontal="right" vertical="center" wrapText="1"/>
    </xf>
    <xf numFmtId="3" fontId="104" fillId="0" borderId="41" xfId="0" applyNumberFormat="1" applyFont="1" applyFill="1" applyBorder="1" applyAlignment="1">
      <alignment horizontal="right" vertical="center" wrapText="1"/>
    </xf>
    <xf numFmtId="3" fontId="104" fillId="35" borderId="42" xfId="0" applyNumberFormat="1" applyFont="1" applyFill="1" applyBorder="1" applyAlignment="1">
      <alignment horizontal="right" vertical="center" wrapText="1"/>
    </xf>
    <xf numFmtId="3" fontId="104" fillId="0" borderId="34" xfId="0" applyNumberFormat="1" applyFont="1" applyFill="1" applyBorder="1" applyAlignment="1">
      <alignment horizontal="right" vertical="center"/>
    </xf>
    <xf numFmtId="3" fontId="104" fillId="0" borderId="35" xfId="0" applyNumberFormat="1" applyFont="1" applyFill="1" applyBorder="1" applyAlignment="1">
      <alignment horizontal="right" vertical="center"/>
    </xf>
    <xf numFmtId="3" fontId="32" fillId="0" borderId="22" xfId="0" applyNumberFormat="1" applyFont="1" applyFill="1" applyBorder="1" applyAlignment="1">
      <alignment horizontal="right" vertical="center"/>
    </xf>
    <xf numFmtId="3" fontId="32" fillId="0" borderId="29" xfId="0" applyNumberFormat="1" applyFont="1" applyFill="1" applyBorder="1" applyAlignment="1">
      <alignment horizontal="right" vertical="center"/>
    </xf>
    <xf numFmtId="3" fontId="32" fillId="0" borderId="28" xfId="0" applyNumberFormat="1" applyFont="1" applyFill="1" applyBorder="1" applyAlignment="1">
      <alignment horizontal="right" vertical="center"/>
    </xf>
    <xf numFmtId="3" fontId="32" fillId="0" borderId="23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34" xfId="0" applyNumberFormat="1" applyFont="1" applyFill="1" applyBorder="1" applyAlignment="1">
      <alignment horizontal="right" vertical="center"/>
    </xf>
    <xf numFmtId="3" fontId="32" fillId="0" borderId="41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3" fontId="104" fillId="0" borderId="30" xfId="0" applyNumberFormat="1" applyFont="1" applyFill="1" applyBorder="1" applyAlignment="1">
      <alignment horizontal="right" vertical="center"/>
    </xf>
    <xf numFmtId="3" fontId="104" fillId="0" borderId="46" xfId="0" applyNumberFormat="1" applyFont="1" applyFill="1" applyBorder="1" applyAlignment="1">
      <alignment horizontal="right" vertical="center"/>
    </xf>
    <xf numFmtId="3" fontId="104" fillId="0" borderId="49" xfId="0" applyNumberFormat="1" applyFont="1" applyFill="1" applyBorder="1" applyAlignment="1">
      <alignment horizontal="right" vertical="center"/>
    </xf>
    <xf numFmtId="3" fontId="104" fillId="0" borderId="50" xfId="0" applyNumberFormat="1" applyFont="1" applyFill="1" applyBorder="1" applyAlignment="1">
      <alignment horizontal="right" vertical="center"/>
    </xf>
    <xf numFmtId="3" fontId="104" fillId="0" borderId="36" xfId="0" applyNumberFormat="1" applyFont="1" applyFill="1" applyBorder="1" applyAlignment="1">
      <alignment horizontal="right" vertical="center"/>
    </xf>
    <xf numFmtId="3" fontId="104" fillId="0" borderId="0" xfId="0" applyNumberFormat="1" applyFont="1" applyFill="1" applyBorder="1" applyAlignment="1">
      <alignment horizontal="right" vertical="center"/>
    </xf>
    <xf numFmtId="3" fontId="104" fillId="0" borderId="52" xfId="0" applyNumberFormat="1" applyFont="1" applyFill="1" applyBorder="1" applyAlignment="1">
      <alignment horizontal="right" vertical="center"/>
    </xf>
    <xf numFmtId="3" fontId="104" fillId="0" borderId="37" xfId="0" applyNumberFormat="1" applyFont="1" applyFill="1" applyBorder="1" applyAlignment="1">
      <alignment horizontal="right" vertical="center"/>
    </xf>
    <xf numFmtId="3" fontId="104" fillId="0" borderId="42" xfId="0" applyNumberFormat="1" applyFont="1" applyFill="1" applyBorder="1" applyAlignment="1">
      <alignment horizontal="right" vertical="center"/>
    </xf>
    <xf numFmtId="3" fontId="104" fillId="0" borderId="41" xfId="0" applyNumberFormat="1" applyFont="1" applyFill="1" applyBorder="1" applyAlignment="1">
      <alignment horizontal="right" vertical="center"/>
    </xf>
    <xf numFmtId="3" fontId="104" fillId="0" borderId="54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3" fontId="32" fillId="0" borderId="46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vertical="center"/>
    </xf>
    <xf numFmtId="3" fontId="32" fillId="0" borderId="34" xfId="0" applyNumberFormat="1" applyFont="1" applyFill="1" applyBorder="1" applyAlignment="1">
      <alignment vertical="center"/>
    </xf>
    <xf numFmtId="3" fontId="32" fillId="0" borderId="22" xfId="0" applyNumberFormat="1" applyFont="1" applyFill="1" applyBorder="1" applyAlignment="1">
      <alignment vertical="center"/>
    </xf>
    <xf numFmtId="3" fontId="32" fillId="0" borderId="46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3" fontId="104" fillId="0" borderId="50" xfId="0" applyNumberFormat="1" applyFont="1" applyFill="1" applyBorder="1" applyAlignment="1">
      <alignment vertical="center"/>
    </xf>
    <xf numFmtId="3" fontId="104" fillId="0" borderId="36" xfId="0" applyNumberFormat="1" applyFont="1" applyFill="1" applyBorder="1" applyAlignment="1">
      <alignment vertical="center"/>
    </xf>
    <xf numFmtId="3" fontId="104" fillId="0" borderId="35" xfId="0" applyNumberFormat="1" applyFont="1" applyFill="1" applyBorder="1" applyAlignment="1">
      <alignment vertical="center"/>
    </xf>
    <xf numFmtId="3" fontId="104" fillId="0" borderId="34" xfId="0" applyNumberFormat="1" applyFont="1" applyFill="1" applyBorder="1" applyAlignment="1">
      <alignment vertical="center"/>
    </xf>
    <xf numFmtId="3" fontId="32" fillId="0" borderId="22" xfId="0" applyNumberFormat="1" applyFont="1" applyBorder="1" applyAlignment="1">
      <alignment vertical="center"/>
    </xf>
    <xf numFmtId="3" fontId="104" fillId="0" borderId="46" xfId="0" applyNumberFormat="1" applyFont="1" applyFill="1" applyBorder="1" applyAlignment="1">
      <alignment vertical="center"/>
    </xf>
    <xf numFmtId="3" fontId="104" fillId="0" borderId="30" xfId="0" applyNumberFormat="1" applyFont="1" applyFill="1" applyBorder="1" applyAlignment="1">
      <alignment vertical="center"/>
    </xf>
    <xf numFmtId="3" fontId="32" fillId="0" borderId="23" xfId="0" applyNumberFormat="1" applyFont="1" applyFill="1" applyBorder="1" applyAlignment="1">
      <alignment vertical="center"/>
    </xf>
    <xf numFmtId="3" fontId="104" fillId="0" borderId="50" xfId="0" applyNumberFormat="1" applyFont="1" applyBorder="1" applyAlignment="1">
      <alignment vertical="center"/>
    </xf>
    <xf numFmtId="3" fontId="104" fillId="0" borderId="36" xfId="0" applyNumberFormat="1" applyFont="1" applyBorder="1" applyAlignment="1">
      <alignment vertical="center"/>
    </xf>
    <xf numFmtId="3" fontId="32" fillId="0" borderId="66" xfId="0" applyNumberFormat="1" applyFont="1" applyBorder="1" applyAlignment="1">
      <alignment vertical="center"/>
    </xf>
    <xf numFmtId="3" fontId="32" fillId="0" borderId="59" xfId="0" applyNumberFormat="1" applyFont="1" applyBorder="1" applyAlignment="1">
      <alignment vertical="center"/>
    </xf>
    <xf numFmtId="3" fontId="32" fillId="0" borderId="50" xfId="0" applyNumberFormat="1" applyFont="1" applyBorder="1" applyAlignment="1">
      <alignment vertical="center"/>
    </xf>
    <xf numFmtId="3" fontId="32" fillId="0" borderId="36" xfId="0" applyNumberFormat="1" applyFont="1" applyBorder="1" applyAlignment="1">
      <alignment vertical="center"/>
    </xf>
    <xf numFmtId="0" fontId="26" fillId="0" borderId="2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7" fillId="0" borderId="51" xfId="0" applyNumberFormat="1" applyFont="1" applyFill="1" applyBorder="1" applyAlignment="1">
      <alignment horizontal="left" vertical="center" wrapText="1"/>
    </xf>
    <xf numFmtId="3" fontId="104" fillId="35" borderId="46" xfId="0" applyNumberFormat="1" applyFont="1" applyFill="1" applyBorder="1" applyAlignment="1">
      <alignment horizontal="right" vertical="center" wrapText="1"/>
    </xf>
    <xf numFmtId="3" fontId="104" fillId="0" borderId="30" xfId="0" applyNumberFormat="1" applyFont="1" applyFill="1" applyBorder="1" applyAlignment="1">
      <alignment horizontal="right" vertical="center" wrapText="1"/>
    </xf>
    <xf numFmtId="0" fontId="31" fillId="0" borderId="82" xfId="98" applyFont="1" applyFill="1" applyBorder="1" applyAlignment="1" applyProtection="1">
      <alignment horizontal="left" vertical="center" wrapText="1"/>
      <protection/>
    </xf>
    <xf numFmtId="164" fontId="31" fillId="0" borderId="23" xfId="98" applyNumberFormat="1" applyFont="1" applyFill="1" applyBorder="1" applyAlignment="1" applyProtection="1">
      <alignment horizontal="right" vertical="center" wrapText="1"/>
      <protection/>
    </xf>
    <xf numFmtId="0" fontId="16" fillId="0" borderId="0" xfId="98" applyFont="1" applyFill="1">
      <alignment/>
      <protection/>
    </xf>
    <xf numFmtId="3" fontId="16" fillId="0" borderId="0" xfId="98" applyNumberFormat="1" applyFont="1" applyFill="1" applyBorder="1">
      <alignment/>
      <protection/>
    </xf>
    <xf numFmtId="164" fontId="16" fillId="0" borderId="0" xfId="98" applyNumberFormat="1" applyFont="1" applyFill="1" applyBorder="1">
      <alignment/>
      <protection/>
    </xf>
    <xf numFmtId="164" fontId="52" fillId="0" borderId="0" xfId="98" applyNumberFormat="1" applyFont="1" applyFill="1" applyBorder="1" applyAlignment="1" applyProtection="1">
      <alignment horizontal="left" vertical="center"/>
      <protection/>
    </xf>
    <xf numFmtId="0" fontId="16" fillId="0" borderId="94" xfId="98" applyFont="1" applyFill="1" applyBorder="1" applyAlignment="1" applyProtection="1">
      <alignment horizontal="left" vertical="center" wrapText="1"/>
      <protection/>
    </xf>
    <xf numFmtId="164" fontId="31" fillId="0" borderId="29" xfId="98" applyNumberFormat="1" applyFont="1" applyFill="1" applyBorder="1" applyAlignment="1" applyProtection="1">
      <alignment horizontal="right" vertical="center" wrapText="1"/>
      <protection/>
    </xf>
    <xf numFmtId="0" fontId="16" fillId="0" borderId="62" xfId="98" applyFont="1" applyFill="1" applyBorder="1" applyAlignment="1" applyProtection="1">
      <alignment horizontal="left" vertical="center" wrapText="1"/>
      <protection/>
    </xf>
    <xf numFmtId="164" fontId="31" fillId="0" borderId="35" xfId="98" applyNumberFormat="1" applyFont="1" applyFill="1" applyBorder="1" applyAlignment="1" applyProtection="1">
      <alignment horizontal="right" vertical="center" wrapText="1"/>
      <protection/>
    </xf>
    <xf numFmtId="0" fontId="16" fillId="0" borderId="107" xfId="98" applyFont="1" applyFill="1" applyBorder="1" applyAlignment="1" applyProtection="1">
      <alignment horizontal="left" vertical="center" wrapText="1"/>
      <protection/>
    </xf>
    <xf numFmtId="164" fontId="31" fillId="0" borderId="61" xfId="98" applyNumberFormat="1" applyFont="1" applyFill="1" applyBorder="1" applyAlignment="1" applyProtection="1">
      <alignment horizontal="right" vertical="center" wrapText="1"/>
      <protection/>
    </xf>
    <xf numFmtId="49" fontId="16" fillId="0" borderId="0" xfId="9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98" applyFont="1" applyFill="1" applyBorder="1" applyAlignment="1" applyProtection="1">
      <alignment horizontal="left" indent="5"/>
      <protection/>
    </xf>
    <xf numFmtId="3" fontId="16" fillId="0" borderId="0" xfId="98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164" fontId="52" fillId="0" borderId="60" xfId="98" applyNumberFormat="1" applyFont="1" applyFill="1" applyBorder="1" applyAlignment="1" applyProtection="1">
      <alignment horizontal="left" vertical="center"/>
      <protection/>
    </xf>
    <xf numFmtId="3" fontId="31" fillId="0" borderId="29" xfId="98" applyNumberFormat="1" applyFont="1" applyFill="1" applyBorder="1" applyAlignment="1" applyProtection="1">
      <alignment horizontal="right" vertical="center" wrapText="1"/>
      <protection/>
    </xf>
    <xf numFmtId="3" fontId="31" fillId="0" borderId="35" xfId="98" applyNumberFormat="1" applyFont="1" applyFill="1" applyBorder="1" applyAlignment="1" applyProtection="1">
      <alignment horizontal="right" vertical="center" wrapText="1"/>
      <protection/>
    </xf>
    <xf numFmtId="0" fontId="16" fillId="0" borderId="63" xfId="98" applyFont="1" applyFill="1" applyBorder="1" applyAlignment="1" applyProtection="1">
      <alignment horizontal="left" vertical="center" wrapText="1"/>
      <protection/>
    </xf>
    <xf numFmtId="3" fontId="31" fillId="0" borderId="41" xfId="98" applyNumberFormat="1" applyFont="1" applyFill="1" applyBorder="1" applyAlignment="1" applyProtection="1">
      <alignment horizontal="right" vertical="center" wrapText="1"/>
      <protection/>
    </xf>
    <xf numFmtId="3" fontId="16" fillId="0" borderId="0" xfId="98" applyNumberFormat="1" applyFont="1" applyFill="1">
      <alignment/>
      <protection/>
    </xf>
    <xf numFmtId="0" fontId="52" fillId="0" borderId="0" xfId="98" applyFont="1" applyFill="1" applyBorder="1" applyAlignment="1">
      <alignment horizontal="left"/>
      <protection/>
    </xf>
    <xf numFmtId="0" fontId="31" fillId="0" borderId="29" xfId="98" applyFont="1" applyFill="1" applyBorder="1" applyAlignment="1">
      <alignment horizontal="left"/>
      <protection/>
    </xf>
    <xf numFmtId="3" fontId="31" fillId="0" borderId="29" xfId="98" applyNumberFormat="1" applyFont="1" applyFill="1" applyBorder="1">
      <alignment/>
      <protection/>
    </xf>
    <xf numFmtId="3" fontId="14" fillId="0" borderId="73" xfId="94" applyNumberFormat="1" applyFont="1" applyFill="1" applyBorder="1" applyAlignment="1">
      <alignment vertical="center"/>
      <protection/>
    </xf>
    <xf numFmtId="3" fontId="14" fillId="0" borderId="108" xfId="94" applyNumberFormat="1" applyBorder="1" applyAlignment="1">
      <alignment vertical="center"/>
      <protection/>
    </xf>
    <xf numFmtId="3" fontId="14" fillId="0" borderId="109" xfId="94" applyNumberFormat="1" applyBorder="1" applyAlignment="1">
      <alignment vertical="center"/>
      <protection/>
    </xf>
    <xf numFmtId="3" fontId="45" fillId="0" borderId="110" xfId="94" applyNumberFormat="1" applyFont="1" applyBorder="1" applyAlignment="1">
      <alignment vertical="center"/>
      <protection/>
    </xf>
    <xf numFmtId="3" fontId="14" fillId="0" borderId="111" xfId="94" applyNumberFormat="1" applyBorder="1" applyAlignment="1">
      <alignment vertical="center"/>
      <protection/>
    </xf>
    <xf numFmtId="3" fontId="45" fillId="0" borderId="112" xfId="94" applyNumberFormat="1" applyFont="1" applyBorder="1" applyAlignment="1">
      <alignment vertical="center"/>
      <protection/>
    </xf>
    <xf numFmtId="3" fontId="45" fillId="0" borderId="113" xfId="94" applyNumberFormat="1" applyFont="1" applyBorder="1" applyAlignment="1">
      <alignment vertical="center"/>
      <protection/>
    </xf>
    <xf numFmtId="3" fontId="14" fillId="0" borderId="113" xfId="94" applyNumberFormat="1" applyBorder="1" applyAlignment="1">
      <alignment vertical="center"/>
      <protection/>
    </xf>
    <xf numFmtId="3" fontId="14" fillId="0" borderId="73" xfId="94" applyNumberFormat="1" applyBorder="1" applyAlignment="1">
      <alignment vertical="center"/>
      <protection/>
    </xf>
    <xf numFmtId="3" fontId="14" fillId="0" borderId="24" xfId="94" applyNumberFormat="1" applyBorder="1" applyAlignment="1">
      <alignment vertical="center"/>
      <protection/>
    </xf>
    <xf numFmtId="3" fontId="14" fillId="0" borderId="75" xfId="94" applyNumberFormat="1" applyBorder="1" applyAlignment="1">
      <alignment vertical="center"/>
      <protection/>
    </xf>
    <xf numFmtId="3" fontId="32" fillId="35" borderId="0" xfId="0" applyNumberFormat="1" applyFont="1" applyFill="1" applyBorder="1" applyAlignment="1">
      <alignment horizontal="right" vertical="center" wrapText="1"/>
    </xf>
    <xf numFmtId="3" fontId="104" fillId="35" borderId="0" xfId="0" applyNumberFormat="1" applyFont="1" applyFill="1" applyBorder="1" applyAlignment="1">
      <alignment horizontal="right" vertical="center" wrapText="1"/>
    </xf>
    <xf numFmtId="3" fontId="104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3" fontId="104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49" fontId="27" fillId="0" borderId="25" xfId="0" applyNumberFormat="1" applyFont="1" applyFill="1" applyBorder="1" applyAlignment="1">
      <alignment horizontal="left" vertical="center" wrapText="1"/>
    </xf>
    <xf numFmtId="3" fontId="26" fillId="35" borderId="52" xfId="0" applyNumberFormat="1" applyFont="1" applyFill="1" applyBorder="1" applyAlignment="1">
      <alignment horizontal="right" vertical="center" wrapText="1"/>
    </xf>
    <xf numFmtId="0" fontId="0" fillId="0" borderId="54" xfId="0" applyFont="1" applyBorder="1" applyAlignment="1">
      <alignment/>
    </xf>
    <xf numFmtId="0" fontId="28" fillId="0" borderId="24" xfId="0" applyFont="1" applyBorder="1" applyAlignment="1">
      <alignment/>
    </xf>
    <xf numFmtId="3" fontId="77" fillId="0" borderId="64" xfId="97" applyNumberFormat="1" applyFont="1" applyBorder="1" applyAlignment="1">
      <alignment vertical="center"/>
      <protection/>
    </xf>
    <xf numFmtId="3" fontId="14" fillId="0" borderId="21" xfId="94" applyNumberFormat="1" applyBorder="1">
      <alignment/>
      <protection/>
    </xf>
    <xf numFmtId="3" fontId="14" fillId="0" borderId="24" xfId="94" applyNumberFormat="1" applyBorder="1">
      <alignment/>
      <protection/>
    </xf>
    <xf numFmtId="3" fontId="14" fillId="0" borderId="24" xfId="94" applyNumberFormat="1" applyBorder="1" applyAlignment="1">
      <alignment vertical="center" wrapText="1"/>
      <protection/>
    </xf>
    <xf numFmtId="3" fontId="88" fillId="0" borderId="36" xfId="94" applyNumberFormat="1" applyFont="1" applyFill="1" applyBorder="1" applyAlignment="1">
      <alignment horizontal="right"/>
      <protection/>
    </xf>
    <xf numFmtId="3" fontId="87" fillId="0" borderId="46" xfId="94" applyNumberFormat="1" applyFont="1" applyBorder="1" applyAlignment="1">
      <alignment vertical="center"/>
      <protection/>
    </xf>
    <xf numFmtId="10" fontId="87" fillId="0" borderId="76" xfId="94" applyNumberFormat="1" applyFont="1" applyFill="1" applyBorder="1" applyAlignment="1">
      <alignment vertical="center"/>
      <protection/>
    </xf>
    <xf numFmtId="3" fontId="87" fillId="0" borderId="44" xfId="94" applyNumberFormat="1" applyFont="1" applyFill="1" applyBorder="1" applyAlignment="1">
      <alignment vertical="center"/>
      <protection/>
    </xf>
    <xf numFmtId="3" fontId="14" fillId="0" borderId="49" xfId="94" applyNumberFormat="1" applyFont="1" applyFill="1" applyBorder="1" applyAlignment="1">
      <alignment vertical="center"/>
      <protection/>
    </xf>
    <xf numFmtId="3" fontId="87" fillId="0" borderId="105" xfId="94" applyNumberFormat="1" applyFont="1" applyFill="1" applyBorder="1" applyAlignment="1">
      <alignment vertical="center"/>
      <protection/>
    </xf>
    <xf numFmtId="3" fontId="87" fillId="0" borderId="114" xfId="94" applyNumberFormat="1" applyFont="1" applyFill="1" applyBorder="1" applyAlignment="1">
      <alignment vertical="center"/>
      <protection/>
    </xf>
    <xf numFmtId="3" fontId="87" fillId="0" borderId="115" xfId="94" applyNumberFormat="1" applyFont="1" applyFill="1" applyBorder="1" applyAlignment="1">
      <alignment vertical="center"/>
      <protection/>
    </xf>
    <xf numFmtId="3" fontId="82" fillId="0" borderId="49" xfId="94" applyNumberFormat="1" applyFont="1" applyFill="1" applyBorder="1" applyAlignment="1">
      <alignment vertical="center"/>
      <protection/>
    </xf>
    <xf numFmtId="3" fontId="14" fillId="0" borderId="83" xfId="94" applyNumberFormat="1" applyFont="1" applyFill="1" applyBorder="1" applyAlignment="1">
      <alignment vertical="center"/>
      <protection/>
    </xf>
    <xf numFmtId="3" fontId="40" fillId="0" borderId="116" xfId="98" applyNumberFormat="1" applyFont="1" applyFill="1" applyBorder="1" applyAlignment="1">
      <alignment vertical="center"/>
      <protection/>
    </xf>
    <xf numFmtId="3" fontId="40" fillId="0" borderId="117" xfId="98" applyNumberFormat="1" applyFont="1" applyFill="1" applyBorder="1" applyAlignment="1">
      <alignment vertical="center"/>
      <protection/>
    </xf>
    <xf numFmtId="3" fontId="40" fillId="0" borderId="118" xfId="98" applyNumberFormat="1" applyFont="1" applyFill="1" applyBorder="1" applyAlignment="1">
      <alignment vertical="center"/>
      <protection/>
    </xf>
    <xf numFmtId="0" fontId="19" fillId="52" borderId="19" xfId="92" applyFont="1" applyFill="1" applyBorder="1">
      <alignment/>
      <protection/>
    </xf>
    <xf numFmtId="3" fontId="19" fillId="52" borderId="23" xfId="92" applyNumberFormat="1" applyFont="1" applyFill="1" applyBorder="1">
      <alignment/>
      <protection/>
    </xf>
    <xf numFmtId="3" fontId="19" fillId="52" borderId="24" xfId="92" applyNumberFormat="1" applyFont="1" applyFill="1" applyBorder="1">
      <alignment/>
      <protection/>
    </xf>
    <xf numFmtId="3" fontId="19" fillId="52" borderId="21" xfId="92" applyNumberFormat="1" applyFont="1" applyFill="1" applyBorder="1">
      <alignment/>
      <protection/>
    </xf>
    <xf numFmtId="0" fontId="14" fillId="0" borderId="0" xfId="95">
      <alignment/>
      <protection/>
    </xf>
    <xf numFmtId="0" fontId="14" fillId="0" borderId="0" xfId="95" applyAlignment="1">
      <alignment horizontal="left" wrapText="1"/>
      <protection/>
    </xf>
    <xf numFmtId="0" fontId="14" fillId="0" borderId="0" xfId="95" applyAlignment="1">
      <alignment wrapText="1"/>
      <protection/>
    </xf>
    <xf numFmtId="0" fontId="46" fillId="0" borderId="0" xfId="95" applyFont="1" applyAlignment="1">
      <alignment horizontal="center"/>
      <protection/>
    </xf>
    <xf numFmtId="0" fontId="89" fillId="0" borderId="0" xfId="95" applyFont="1" applyBorder="1" applyAlignment="1">
      <alignment horizontal="center"/>
      <protection/>
    </xf>
    <xf numFmtId="0" fontId="89" fillId="0" borderId="0" xfId="95" applyFont="1" applyBorder="1" applyAlignment="1">
      <alignment horizontal="center" wrapText="1"/>
      <protection/>
    </xf>
    <xf numFmtId="0" fontId="79" fillId="0" borderId="0" xfId="95" applyFont="1" applyBorder="1" applyAlignment="1">
      <alignment horizontal="center"/>
      <protection/>
    </xf>
    <xf numFmtId="0" fontId="14" fillId="0" borderId="119" xfId="95" applyBorder="1">
      <alignment/>
      <protection/>
    </xf>
    <xf numFmtId="0" fontId="14" fillId="0" borderId="0" xfId="95" applyBorder="1" applyAlignment="1">
      <alignment horizontal="left" wrapText="1"/>
      <protection/>
    </xf>
    <xf numFmtId="0" fontId="79" fillId="0" borderId="0" xfId="95" applyFont="1" applyBorder="1" applyAlignment="1">
      <alignment horizontal="center" wrapText="1"/>
      <protection/>
    </xf>
    <xf numFmtId="0" fontId="14" fillId="0" borderId="0" xfId="95" applyFont="1" applyAlignment="1">
      <alignment horizontal="right"/>
      <protection/>
    </xf>
    <xf numFmtId="0" fontId="46" fillId="0" borderId="0" xfId="95" applyFont="1" applyBorder="1" applyAlignment="1">
      <alignment horizontal="center"/>
      <protection/>
    </xf>
    <xf numFmtId="0" fontId="28" fillId="1" borderId="120" xfId="95" applyFont="1" applyFill="1" applyBorder="1" applyAlignment="1">
      <alignment horizontal="center" vertical="center"/>
      <protection/>
    </xf>
    <xf numFmtId="0" fontId="28" fillId="1" borderId="121" xfId="95" applyFont="1" applyFill="1" applyBorder="1" applyAlignment="1">
      <alignment horizontal="center" vertical="center" wrapText="1"/>
      <protection/>
    </xf>
    <xf numFmtId="0" fontId="28" fillId="1" borderId="122" xfId="95" applyFont="1" applyFill="1" applyBorder="1" applyAlignment="1">
      <alignment horizontal="center" vertical="center"/>
      <protection/>
    </xf>
    <xf numFmtId="0" fontId="28" fillId="1" borderId="123" xfId="95" applyFont="1" applyFill="1" applyBorder="1" applyAlignment="1">
      <alignment horizontal="center" vertical="center" wrapText="1"/>
      <protection/>
    </xf>
    <xf numFmtId="0" fontId="0" fillId="0" borderId="124" xfId="95" applyFont="1" applyFill="1" applyBorder="1" applyAlignment="1">
      <alignment horizontal="center" vertical="center"/>
      <protection/>
    </xf>
    <xf numFmtId="0" fontId="0" fillId="0" borderId="125" xfId="95" applyFont="1" applyFill="1" applyBorder="1" applyAlignment="1">
      <alignment horizontal="center" vertical="center"/>
      <protection/>
    </xf>
    <xf numFmtId="3" fontId="26" fillId="0" borderId="124" xfId="95" applyNumberFormat="1" applyFont="1" applyFill="1" applyBorder="1" applyAlignment="1">
      <alignment horizontal="right" vertical="center"/>
      <protection/>
    </xf>
    <xf numFmtId="0" fontId="14" fillId="0" borderId="0" xfId="95" applyFont="1">
      <alignment/>
      <protection/>
    </xf>
    <xf numFmtId="0" fontId="0" fillId="0" borderId="126" xfId="95" applyFont="1" applyFill="1" applyBorder="1" applyAlignment="1">
      <alignment horizontal="center" vertical="center"/>
      <protection/>
    </xf>
    <xf numFmtId="0" fontId="0" fillId="0" borderId="127" xfId="95" applyFont="1" applyFill="1" applyBorder="1" applyAlignment="1">
      <alignment horizontal="center" vertical="center"/>
      <protection/>
    </xf>
    <xf numFmtId="3" fontId="26" fillId="0" borderId="128" xfId="95" applyNumberFormat="1" applyFont="1" applyFill="1" applyBorder="1" applyAlignment="1">
      <alignment horizontal="right" vertical="center"/>
      <protection/>
    </xf>
    <xf numFmtId="0" fontId="0" fillId="0" borderId="126" xfId="95" applyFont="1" applyBorder="1" applyAlignment="1">
      <alignment horizontal="center" vertical="center"/>
      <protection/>
    </xf>
    <xf numFmtId="0" fontId="0" fillId="0" borderId="129" xfId="95" applyFont="1" applyBorder="1" applyAlignment="1">
      <alignment horizontal="left" vertical="center" wrapText="1"/>
      <protection/>
    </xf>
    <xf numFmtId="0" fontId="21" fillId="0" borderId="129" xfId="95" applyFont="1" applyFill="1" applyBorder="1" applyAlignment="1">
      <alignment vertical="center" wrapText="1"/>
      <protection/>
    </xf>
    <xf numFmtId="0" fontId="21" fillId="0" borderId="127" xfId="95" applyFont="1" applyBorder="1" applyAlignment="1">
      <alignment horizontal="center" vertical="center"/>
      <protection/>
    </xf>
    <xf numFmtId="3" fontId="26" fillId="0" borderId="128" xfId="95" applyNumberFormat="1" applyFont="1" applyBorder="1" applyAlignment="1">
      <alignment horizontal="right" vertical="center"/>
      <protection/>
    </xf>
    <xf numFmtId="3" fontId="14" fillId="0" borderId="0" xfId="95" applyNumberFormat="1">
      <alignment/>
      <protection/>
    </xf>
    <xf numFmtId="0" fontId="0" fillId="0" borderId="130" xfId="95" applyFont="1" applyBorder="1" applyAlignment="1">
      <alignment horizontal="left" vertical="center" wrapText="1"/>
      <protection/>
    </xf>
    <xf numFmtId="0" fontId="0" fillId="0" borderId="131" xfId="95" applyFont="1" applyBorder="1" applyAlignment="1">
      <alignment horizontal="center" vertical="center"/>
      <protection/>
    </xf>
    <xf numFmtId="0" fontId="0" fillId="0" borderId="130" xfId="95" applyFont="1" applyFill="1" applyBorder="1" applyAlignment="1">
      <alignment horizontal="left" vertical="center" wrapText="1"/>
      <protection/>
    </xf>
    <xf numFmtId="0" fontId="21" fillId="0" borderId="132" xfId="95" applyFont="1" applyBorder="1" applyAlignment="1">
      <alignment horizontal="center" vertical="center"/>
      <protection/>
    </xf>
    <xf numFmtId="3" fontId="26" fillId="0" borderId="133" xfId="95" applyNumberFormat="1" applyFont="1" applyBorder="1" applyAlignment="1">
      <alignment horizontal="right" vertical="center"/>
      <protection/>
    </xf>
    <xf numFmtId="3" fontId="26" fillId="0" borderId="133" xfId="95" applyNumberFormat="1" applyFont="1" applyFill="1" applyBorder="1" applyAlignment="1">
      <alignment horizontal="right" vertical="center"/>
      <protection/>
    </xf>
    <xf numFmtId="0" fontId="0" fillId="0" borderId="132" xfId="95" applyFont="1" applyFill="1" applyBorder="1" applyAlignment="1">
      <alignment horizontal="center" vertical="center"/>
      <protection/>
    </xf>
    <xf numFmtId="0" fontId="0" fillId="0" borderId="133" xfId="95" applyFont="1" applyFill="1" applyBorder="1" applyAlignment="1">
      <alignment horizontal="center" vertical="center"/>
      <protection/>
    </xf>
    <xf numFmtId="0" fontId="28" fillId="0" borderId="121" xfId="95" applyFont="1" applyBorder="1" applyAlignment="1">
      <alignment vertical="center" wrapText="1"/>
      <protection/>
    </xf>
    <xf numFmtId="0" fontId="28" fillId="0" borderId="134" xfId="95" applyFont="1" applyBorder="1" applyAlignment="1">
      <alignment vertical="center"/>
      <protection/>
    </xf>
    <xf numFmtId="3" fontId="27" fillId="0" borderId="123" xfId="95" applyNumberFormat="1" applyFont="1" applyBorder="1" applyAlignment="1">
      <alignment vertical="center"/>
      <protection/>
    </xf>
    <xf numFmtId="0" fontId="45" fillId="0" borderId="0" xfId="95" applyFont="1" applyAlignment="1">
      <alignment vertical="center"/>
      <protection/>
    </xf>
    <xf numFmtId="0" fontId="0" fillId="0" borderId="135" xfId="95" applyFont="1" applyFill="1" applyBorder="1" applyAlignment="1">
      <alignment horizontal="left" vertical="center" wrapText="1"/>
      <protection/>
    </xf>
    <xf numFmtId="3" fontId="36" fillId="0" borderId="121" xfId="99" applyNumberFormat="1" applyFont="1" applyFill="1" applyBorder="1" applyProtection="1">
      <alignment/>
      <protection/>
    </xf>
    <xf numFmtId="3" fontId="36" fillId="0" borderId="113" xfId="99" applyNumberFormat="1" applyFont="1" applyFill="1" applyBorder="1" applyProtection="1">
      <alignment/>
      <protection/>
    </xf>
    <xf numFmtId="0" fontId="36" fillId="0" borderId="124" xfId="98" applyFont="1" applyFill="1" applyBorder="1" applyAlignment="1" applyProtection="1">
      <alignment horizontal="left" vertical="center" wrapText="1" indent="1"/>
      <protection/>
    </xf>
    <xf numFmtId="49" fontId="36" fillId="0" borderId="133" xfId="98" applyNumberFormat="1" applyFont="1" applyFill="1" applyBorder="1" applyAlignment="1" applyProtection="1">
      <alignment horizontal="left" vertical="center" wrapText="1" indent="1"/>
      <protection/>
    </xf>
    <xf numFmtId="49" fontId="36" fillId="0" borderId="136" xfId="98" applyNumberFormat="1" applyFont="1" applyFill="1" applyBorder="1" applyAlignment="1" applyProtection="1">
      <alignment horizontal="left" vertical="center" wrapText="1" indent="1"/>
      <protection/>
    </xf>
    <xf numFmtId="49" fontId="41" fillId="0" borderId="133" xfId="98" applyNumberFormat="1" applyFont="1" applyFill="1" applyBorder="1" applyAlignment="1" applyProtection="1">
      <alignment horizontal="left" vertical="center" wrapText="1"/>
      <protection/>
    </xf>
    <xf numFmtId="3" fontId="40" fillId="0" borderId="130" xfId="98" applyNumberFormat="1" applyFont="1" applyFill="1" applyBorder="1">
      <alignment/>
      <protection/>
    </xf>
    <xf numFmtId="49" fontId="40" fillId="0" borderId="133" xfId="98" applyNumberFormat="1" applyFont="1" applyFill="1" applyBorder="1" applyAlignment="1">
      <alignment horizontal="left"/>
      <protection/>
    </xf>
    <xf numFmtId="49" fontId="40" fillId="0" borderId="133" xfId="98" applyNumberFormat="1" applyFont="1" applyFill="1" applyBorder="1" applyAlignment="1" applyProtection="1">
      <alignment horizontal="left" vertical="center" wrapText="1"/>
      <protection/>
    </xf>
    <xf numFmtId="164" fontId="40" fillId="0" borderId="130" xfId="98" applyNumberFormat="1" applyFont="1" applyFill="1" applyBorder="1">
      <alignment/>
      <protection/>
    </xf>
    <xf numFmtId="49" fontId="41" fillId="0" borderId="136" xfId="98" applyNumberFormat="1" applyFont="1" applyFill="1" applyBorder="1" applyAlignment="1">
      <alignment horizontal="left"/>
      <protection/>
    </xf>
    <xf numFmtId="3" fontId="40" fillId="0" borderId="137" xfId="98" applyNumberFormat="1" applyFont="1" applyFill="1" applyBorder="1">
      <alignment/>
      <protection/>
    </xf>
    <xf numFmtId="164" fontId="31" fillId="0" borderId="41" xfId="98" applyNumberFormat="1" applyFont="1" applyFill="1" applyBorder="1" applyAlignment="1" applyProtection="1">
      <alignment horizontal="right" vertical="center" wrapText="1"/>
      <protection/>
    </xf>
    <xf numFmtId="164" fontId="16" fillId="0" borderId="29" xfId="98" applyNumberFormat="1" applyFont="1" applyFill="1" applyBorder="1" applyAlignment="1" applyProtection="1">
      <alignment horizontal="right" vertical="center" wrapText="1"/>
      <protection/>
    </xf>
    <xf numFmtId="164" fontId="16" fillId="0" borderId="35" xfId="98" applyNumberFormat="1" applyFont="1" applyFill="1" applyBorder="1" applyAlignment="1" applyProtection="1">
      <alignment horizontal="right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5" fillId="0" borderId="72" xfId="0" applyFont="1" applyFill="1" applyBorder="1" applyAlignment="1" applyProtection="1">
      <alignment horizontal="left" vertical="center" wrapText="1" indent="1"/>
      <protection/>
    </xf>
    <xf numFmtId="164" fontId="36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71" xfId="0" applyFont="1" applyFill="1" applyBorder="1" applyAlignment="1" applyProtection="1">
      <alignment horizontal="left" vertical="center" wrapText="1" indent="1"/>
      <protection/>
    </xf>
    <xf numFmtId="164" fontId="3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80" xfId="0" applyFont="1" applyFill="1" applyBorder="1" applyAlignment="1" applyProtection="1">
      <alignment horizontal="left" vertical="center" wrapText="1" indent="1"/>
      <protection/>
    </xf>
    <xf numFmtId="164" fontId="3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87" fillId="0" borderId="77" xfId="94" applyNumberFormat="1" applyFont="1" applyFill="1" applyBorder="1" applyAlignment="1">
      <alignment vertical="center"/>
      <protection/>
    </xf>
    <xf numFmtId="3" fontId="79" fillId="0" borderId="21" xfId="94" applyNumberFormat="1" applyFont="1" applyBorder="1" applyAlignment="1">
      <alignment horizontal="right" vertical="center"/>
      <protection/>
    </xf>
    <xf numFmtId="3" fontId="37" fillId="0" borderId="138" xfId="98" applyNumberFormat="1" applyFont="1" applyFill="1" applyBorder="1" applyAlignment="1">
      <alignment vertical="center"/>
      <protection/>
    </xf>
    <xf numFmtId="0" fontId="0" fillId="0" borderId="55" xfId="0" applyBorder="1" applyAlignment="1">
      <alignment horizontal="center" vertical="center" wrapText="1"/>
    </xf>
    <xf numFmtId="0" fontId="79" fillId="0" borderId="0" xfId="94" applyFont="1" applyBorder="1" applyAlignment="1">
      <alignment horizontal="center"/>
      <protection/>
    </xf>
    <xf numFmtId="49" fontId="27" fillId="0" borderId="19" xfId="0" applyNumberFormat="1" applyFont="1" applyBorder="1" applyAlignment="1">
      <alignment horizontal="center" vertical="center"/>
    </xf>
    <xf numFmtId="164" fontId="36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39" xfId="0" applyFont="1" applyFill="1" applyBorder="1" applyAlignment="1">
      <alignment vertical="center" wrapText="1"/>
    </xf>
    <xf numFmtId="0" fontId="28" fillId="0" borderId="139" xfId="0" applyFont="1" applyFill="1" applyBorder="1" applyAlignment="1">
      <alignment vertical="center" wrapText="1"/>
    </xf>
    <xf numFmtId="0" fontId="28" fillId="0" borderId="14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50" fillId="0" borderId="68" xfId="0" applyFont="1" applyFill="1" applyBorder="1" applyAlignment="1" applyProtection="1">
      <alignment horizontal="center" vertical="center" wrapText="1"/>
      <protection/>
    </xf>
    <xf numFmtId="0" fontId="14" fillId="0" borderId="19" xfId="94" applyFont="1" applyBorder="1" applyAlignment="1">
      <alignment horizontal="center" vertical="center"/>
      <protection/>
    </xf>
    <xf numFmtId="0" fontId="14" fillId="0" borderId="60" xfId="94" applyFont="1" applyBorder="1" applyAlignment="1">
      <alignment/>
      <protection/>
    </xf>
    <xf numFmtId="0" fontId="0" fillId="0" borderId="60" xfId="0" applyBorder="1" applyAlignment="1">
      <alignment/>
    </xf>
    <xf numFmtId="3" fontId="14" fillId="0" borderId="99" xfId="94" applyNumberFormat="1" applyBorder="1">
      <alignment/>
      <protection/>
    </xf>
    <xf numFmtId="3" fontId="14" fillId="0" borderId="60" xfId="94" applyNumberFormat="1" applyBorder="1">
      <alignment/>
      <protection/>
    </xf>
    <xf numFmtId="3" fontId="76" fillId="0" borderId="107" xfId="97" applyNumberFormat="1" applyFont="1" applyFill="1" applyBorder="1" applyAlignment="1">
      <alignment vertical="top"/>
      <protection/>
    </xf>
    <xf numFmtId="3" fontId="76" fillId="0" borderId="60" xfId="97" applyNumberFormat="1" applyFont="1" applyFill="1" applyBorder="1" applyAlignment="1">
      <alignment vertical="top"/>
      <protection/>
    </xf>
    <xf numFmtId="3" fontId="76" fillId="0" borderId="102" xfId="97" applyNumberFormat="1" applyFont="1" applyFill="1" applyBorder="1" applyAlignment="1">
      <alignment vertical="top"/>
      <protection/>
    </xf>
    <xf numFmtId="3" fontId="76" fillId="0" borderId="61" xfId="97" applyNumberFormat="1" applyFont="1" applyFill="1" applyBorder="1" applyAlignment="1">
      <alignment vertical="top"/>
      <protection/>
    </xf>
    <xf numFmtId="3" fontId="76" fillId="0" borderId="75" xfId="97" applyNumberFormat="1" applyFont="1" applyFill="1" applyBorder="1" applyAlignment="1">
      <alignment vertical="top"/>
      <protection/>
    </xf>
    <xf numFmtId="3" fontId="76" fillId="0" borderId="74" xfId="97" applyNumberFormat="1" applyFont="1" applyFill="1" applyBorder="1" applyAlignment="1">
      <alignment vertical="top"/>
      <protection/>
    </xf>
    <xf numFmtId="3" fontId="14" fillId="0" borderId="75" xfId="94" applyNumberFormat="1" applyBorder="1">
      <alignment/>
      <protection/>
    </xf>
    <xf numFmtId="0" fontId="14" fillId="0" borderId="51" xfId="94" applyBorder="1" applyAlignment="1">
      <alignment vertical="center" wrapText="1"/>
      <protection/>
    </xf>
    <xf numFmtId="3" fontId="74" fillId="0" borderId="21" xfId="9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3" fontId="81" fillId="11" borderId="142" xfId="94" applyNumberFormat="1" applyFont="1" applyFill="1" applyBorder="1" applyAlignment="1">
      <alignment horizontal="center" vertical="center" wrapText="1"/>
      <protection/>
    </xf>
    <xf numFmtId="3" fontId="81" fillId="11" borderId="143" xfId="94" applyNumberFormat="1" applyFont="1" applyFill="1" applyBorder="1" applyAlignment="1">
      <alignment horizontal="center" vertical="center" wrapText="1"/>
      <protection/>
    </xf>
    <xf numFmtId="0" fontId="14" fillId="0" borderId="144" xfId="94" applyBorder="1" applyAlignment="1">
      <alignment vertical="center"/>
      <protection/>
    </xf>
    <xf numFmtId="3" fontId="81" fillId="11" borderId="145" xfId="94" applyNumberFormat="1" applyFont="1" applyFill="1" applyBorder="1" applyAlignment="1">
      <alignment horizontal="center" vertical="center" wrapText="1"/>
      <protection/>
    </xf>
    <xf numFmtId="0" fontId="14" fillId="0" borderId="146" xfId="94" applyBorder="1" applyAlignment="1">
      <alignment vertical="center"/>
      <protection/>
    </xf>
    <xf numFmtId="3" fontId="83" fillId="0" borderId="49" xfId="94" applyNumberFormat="1" applyFont="1" applyBorder="1" applyAlignment="1">
      <alignment horizontal="right" vertical="center" wrapText="1"/>
      <protection/>
    </xf>
    <xf numFmtId="3" fontId="83" fillId="0" borderId="49" xfId="94" applyNumberFormat="1" applyFont="1" applyFill="1" applyBorder="1" applyAlignment="1">
      <alignment vertical="center"/>
      <protection/>
    </xf>
    <xf numFmtId="3" fontId="101" fillId="11" borderId="89" xfId="94" applyNumberFormat="1" applyFont="1" applyFill="1" applyBorder="1" applyAlignment="1">
      <alignment horizontal="right" vertical="center" wrapText="1"/>
      <protection/>
    </xf>
    <xf numFmtId="0" fontId="14" fillId="51" borderId="88" xfId="94" applyFill="1" applyBorder="1" applyAlignment="1">
      <alignment vertical="center"/>
      <protection/>
    </xf>
    <xf numFmtId="0" fontId="14" fillId="51" borderId="89" xfId="94" applyFill="1" applyBorder="1" applyAlignment="1">
      <alignment vertical="center"/>
      <protection/>
    </xf>
    <xf numFmtId="0" fontId="105" fillId="0" borderId="50" xfId="94" applyFont="1" applyFill="1" applyBorder="1" applyAlignment="1">
      <alignment wrapText="1"/>
      <protection/>
    </xf>
    <xf numFmtId="3" fontId="106" fillId="0" borderId="35" xfId="94" applyNumberFormat="1" applyFont="1" applyFill="1" applyBorder="1" applyAlignment="1">
      <alignment horizontal="right"/>
      <protection/>
    </xf>
    <xf numFmtId="0" fontId="87" fillId="0" borderId="50" xfId="94" applyFont="1" applyFill="1" applyBorder="1" applyAlignment="1">
      <alignment wrapText="1"/>
      <protection/>
    </xf>
    <xf numFmtId="0" fontId="14" fillId="0" borderId="35" xfId="94" applyFont="1" applyBorder="1">
      <alignment/>
      <protection/>
    </xf>
    <xf numFmtId="0" fontId="79" fillId="49" borderId="34" xfId="94" applyFont="1" applyFill="1" applyBorder="1" applyAlignment="1">
      <alignment horizontal="center" vertical="center" wrapText="1"/>
      <protection/>
    </xf>
    <xf numFmtId="0" fontId="79" fillId="49" borderId="49" xfId="94" applyFont="1" applyFill="1" applyBorder="1" applyAlignment="1">
      <alignment horizontal="center" vertical="center"/>
      <protection/>
    </xf>
    <xf numFmtId="0" fontId="79" fillId="49" borderId="35" xfId="94" applyFont="1" applyFill="1" applyBorder="1" applyAlignment="1">
      <alignment horizontal="center" vertical="center" wrapText="1"/>
      <protection/>
    </xf>
    <xf numFmtId="0" fontId="14" fillId="0" borderId="37" xfId="94" applyFont="1" applyBorder="1">
      <alignment/>
      <protection/>
    </xf>
    <xf numFmtId="0" fontId="14" fillId="0" borderId="52" xfId="94" applyFont="1" applyBorder="1">
      <alignment/>
      <protection/>
    </xf>
    <xf numFmtId="0" fontId="14" fillId="51" borderId="41" xfId="94" applyFont="1" applyFill="1" applyBorder="1">
      <alignment/>
      <protection/>
    </xf>
    <xf numFmtId="10" fontId="87" fillId="0" borderId="44" xfId="94" applyNumberFormat="1" applyFont="1" applyFill="1" applyBorder="1" applyAlignment="1">
      <alignment vertical="center"/>
      <protection/>
    </xf>
    <xf numFmtId="10" fontId="87" fillId="0" borderId="35" xfId="94" applyNumberFormat="1" applyFont="1" applyFill="1" applyBorder="1" applyAlignment="1">
      <alignment vertical="center"/>
      <protection/>
    </xf>
    <xf numFmtId="3" fontId="79" fillId="0" borderId="23" xfId="94" applyNumberFormat="1" applyFont="1" applyFill="1" applyBorder="1" applyAlignment="1">
      <alignment horizontal="right" vertical="center"/>
      <protection/>
    </xf>
    <xf numFmtId="10" fontId="79" fillId="0" borderId="23" xfId="94" applyNumberFormat="1" applyFont="1" applyFill="1" applyBorder="1" applyAlignment="1">
      <alignment horizontal="right" vertical="center"/>
      <protection/>
    </xf>
    <xf numFmtId="3" fontId="14" fillId="0" borderId="35" xfId="94" applyNumberFormat="1" applyFont="1" applyFill="1" applyBorder="1" applyAlignment="1">
      <alignment vertical="center"/>
      <protection/>
    </xf>
    <xf numFmtId="3" fontId="82" fillId="0" borderId="35" xfId="94" applyNumberFormat="1" applyFont="1" applyFill="1" applyBorder="1" applyAlignment="1">
      <alignment vertical="center"/>
      <protection/>
    </xf>
    <xf numFmtId="3" fontId="87" fillId="0" borderId="36" xfId="94" applyNumberFormat="1" applyFont="1" applyFill="1" applyBorder="1" applyAlignment="1">
      <alignment horizontal="right" vertical="center"/>
      <protection/>
    </xf>
    <xf numFmtId="3" fontId="14" fillId="0" borderId="36" xfId="94" applyNumberFormat="1" applyFont="1" applyFill="1" applyBorder="1" applyAlignment="1">
      <alignment vertical="center"/>
      <protection/>
    </xf>
    <xf numFmtId="3" fontId="87" fillId="0" borderId="46" xfId="94" applyNumberFormat="1" applyFont="1" applyFill="1" applyBorder="1" applyAlignment="1">
      <alignment vertical="center"/>
      <protection/>
    </xf>
    <xf numFmtId="3" fontId="87" fillId="0" borderId="30" xfId="94" applyNumberFormat="1" applyFont="1" applyFill="1" applyBorder="1" applyAlignment="1">
      <alignment vertical="center"/>
      <protection/>
    </xf>
    <xf numFmtId="10" fontId="87" fillId="0" borderId="30" xfId="94" applyNumberFormat="1" applyFont="1" applyFill="1" applyBorder="1" applyAlignment="1">
      <alignment vertical="center"/>
      <protection/>
    </xf>
    <xf numFmtId="3" fontId="87" fillId="0" borderId="76" xfId="94" applyNumberFormat="1" applyFont="1" applyFill="1" applyBorder="1" applyAlignment="1">
      <alignment vertical="center"/>
      <protection/>
    </xf>
    <xf numFmtId="3" fontId="90" fillId="35" borderId="23" xfId="94" applyNumberFormat="1" applyFont="1" applyFill="1" applyBorder="1" applyAlignment="1">
      <alignment horizontal="center" vertical="center" wrapText="1"/>
      <protection/>
    </xf>
    <xf numFmtId="3" fontId="90" fillId="35" borderId="23" xfId="94" applyNumberFormat="1" applyFont="1" applyFill="1" applyBorder="1" applyAlignment="1">
      <alignment horizontal="center" vertical="center"/>
      <protection/>
    </xf>
    <xf numFmtId="3" fontId="90" fillId="35" borderId="24" xfId="94" applyNumberFormat="1" applyFont="1" applyFill="1" applyBorder="1" applyAlignment="1">
      <alignment horizontal="center" vertical="center"/>
      <protection/>
    </xf>
    <xf numFmtId="0" fontId="45" fillId="0" borderId="23" xfId="94" applyFont="1" applyBorder="1" applyAlignment="1">
      <alignment vertical="center"/>
      <protection/>
    </xf>
    <xf numFmtId="0" fontId="45" fillId="0" borderId="24" xfId="94" applyFont="1" applyBorder="1" applyAlignment="1">
      <alignment vertical="center"/>
      <protection/>
    </xf>
    <xf numFmtId="3" fontId="90" fillId="35" borderId="28" xfId="94" applyNumberFormat="1" applyFont="1" applyFill="1" applyBorder="1" applyAlignment="1">
      <alignment horizontal="center" vertical="center"/>
      <protection/>
    </xf>
    <xf numFmtId="3" fontId="90" fillId="35" borderId="29" xfId="94" applyNumberFormat="1" applyFont="1" applyFill="1" applyBorder="1" applyAlignment="1">
      <alignment horizontal="center" vertical="center" wrapText="1"/>
      <protection/>
    </xf>
    <xf numFmtId="3" fontId="90" fillId="35" borderId="29" xfId="94" applyNumberFormat="1" applyFont="1" applyFill="1" applyBorder="1" applyAlignment="1">
      <alignment horizontal="center" vertical="center"/>
      <protection/>
    </xf>
    <xf numFmtId="3" fontId="90" fillId="35" borderId="73" xfId="94" applyNumberFormat="1" applyFont="1" applyFill="1" applyBorder="1" applyAlignment="1">
      <alignment horizontal="center" vertical="center"/>
      <protection/>
    </xf>
    <xf numFmtId="0" fontId="0" fillId="0" borderId="129" xfId="95" applyFont="1" applyFill="1" applyBorder="1" applyAlignment="1">
      <alignment horizontal="left" vertical="center" wrapText="1"/>
      <protection/>
    </xf>
    <xf numFmtId="0" fontId="37" fillId="0" borderId="147" xfId="98" applyFont="1" applyFill="1" applyBorder="1" applyAlignment="1">
      <alignment horizontal="center" vertical="center"/>
      <protection/>
    </xf>
    <xf numFmtId="0" fontId="60" fillId="0" borderId="21" xfId="92" applyFont="1" applyFill="1" applyBorder="1" applyAlignment="1">
      <alignment vertical="center"/>
      <protection/>
    </xf>
    <xf numFmtId="3" fontId="1" fillId="0" borderId="29" xfId="92" applyNumberFormat="1" applyFont="1" applyBorder="1" applyAlignment="1">
      <alignment horizontal="right"/>
      <protection/>
    </xf>
    <xf numFmtId="0" fontId="19" fillId="0" borderId="23" xfId="92" applyFont="1" applyFill="1" applyBorder="1" applyAlignment="1">
      <alignment horizontal="center"/>
      <protection/>
    </xf>
    <xf numFmtId="0" fontId="19" fillId="0" borderId="24" xfId="92" applyFont="1" applyFill="1" applyBorder="1" applyAlignment="1">
      <alignment horizontal="center"/>
      <protection/>
    </xf>
    <xf numFmtId="3" fontId="1" fillId="0" borderId="73" xfId="92" applyNumberFormat="1" applyFont="1" applyBorder="1" applyAlignment="1">
      <alignment horizontal="right"/>
      <protection/>
    </xf>
    <xf numFmtId="0" fontId="1" fillId="0" borderId="51" xfId="92" applyFont="1" applyBorder="1">
      <alignment/>
      <protection/>
    </xf>
    <xf numFmtId="0" fontId="60" fillId="0" borderId="34" xfId="92" applyFont="1" applyFill="1" applyBorder="1" applyAlignment="1">
      <alignment vertical="center"/>
      <protection/>
    </xf>
    <xf numFmtId="3" fontId="19" fillId="50" borderId="24" xfId="92" applyNumberFormat="1" applyFont="1" applyFill="1" applyBorder="1" applyAlignment="1">
      <alignment horizontal="right" vertical="center"/>
      <protection/>
    </xf>
    <xf numFmtId="3" fontId="19" fillId="50" borderId="24" xfId="92" applyNumberFormat="1" applyFont="1" applyFill="1" applyBorder="1" applyAlignment="1">
      <alignment vertical="center"/>
      <protection/>
    </xf>
    <xf numFmtId="3" fontId="19" fillId="50" borderId="24" xfId="92" applyNumberFormat="1" applyFont="1" applyFill="1" applyBorder="1">
      <alignment/>
      <protection/>
    </xf>
    <xf numFmtId="3" fontId="1" fillId="0" borderId="76" xfId="92" applyNumberFormat="1" applyFont="1" applyFill="1" applyBorder="1">
      <alignment/>
      <protection/>
    </xf>
    <xf numFmtId="3" fontId="1" fillId="0" borderId="83" xfId="92" applyNumberFormat="1" applyFont="1" applyFill="1" applyBorder="1">
      <alignment/>
      <protection/>
    </xf>
    <xf numFmtId="3" fontId="1" fillId="0" borderId="54" xfId="92" applyNumberFormat="1" applyFont="1" applyFill="1" applyBorder="1">
      <alignment/>
      <protection/>
    </xf>
    <xf numFmtId="3" fontId="19" fillId="50" borderId="76" xfId="92" applyNumberFormat="1" applyFont="1" applyFill="1" applyBorder="1">
      <alignment/>
      <protection/>
    </xf>
    <xf numFmtId="3" fontId="27" fillId="35" borderId="24" xfId="0" applyNumberFormat="1" applyFont="1" applyFill="1" applyBorder="1" applyAlignment="1">
      <alignment horizontal="right" vertical="center" wrapText="1"/>
    </xf>
    <xf numFmtId="3" fontId="26" fillId="35" borderId="59" xfId="0" applyNumberFormat="1" applyFont="1" applyFill="1" applyBorder="1" applyAlignment="1">
      <alignment horizontal="right" vertical="center" wrapText="1"/>
    </xf>
    <xf numFmtId="3" fontId="26" fillId="35" borderId="68" xfId="0" applyNumberFormat="1" applyFont="1" applyFill="1" applyBorder="1" applyAlignment="1">
      <alignment horizontal="right" vertical="center" wrapText="1"/>
    </xf>
    <xf numFmtId="3" fontId="26" fillId="35" borderId="49" xfId="0" applyNumberFormat="1" applyFont="1" applyFill="1" applyBorder="1" applyAlignment="1">
      <alignment horizontal="right" vertical="center" wrapText="1"/>
    </xf>
    <xf numFmtId="3" fontId="26" fillId="35" borderId="73" xfId="0" applyNumberFormat="1" applyFont="1" applyFill="1" applyBorder="1" applyAlignment="1">
      <alignment horizontal="right" vertical="center" wrapText="1"/>
    </xf>
    <xf numFmtId="3" fontId="26" fillId="35" borderId="76" xfId="0" applyNumberFormat="1" applyFont="1" applyFill="1" applyBorder="1" applyAlignment="1">
      <alignment horizontal="right" vertical="center" wrapText="1"/>
    </xf>
    <xf numFmtId="3" fontId="26" fillId="0" borderId="83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horizontal="right" vertical="center"/>
    </xf>
    <xf numFmtId="3" fontId="26" fillId="0" borderId="59" xfId="0" applyNumberFormat="1" applyFont="1" applyFill="1" applyBorder="1" applyAlignment="1">
      <alignment horizontal="right" vertical="center"/>
    </xf>
    <xf numFmtId="3" fontId="26" fillId="0" borderId="68" xfId="0" applyNumberFormat="1" applyFont="1" applyFill="1" applyBorder="1" applyAlignment="1">
      <alignment horizontal="right" vertical="center"/>
    </xf>
    <xf numFmtId="3" fontId="27" fillId="0" borderId="49" xfId="0" applyNumberFormat="1" applyFont="1" applyFill="1" applyBorder="1" applyAlignment="1">
      <alignment horizontal="right" vertical="center"/>
    </xf>
    <xf numFmtId="3" fontId="26" fillId="0" borderId="76" xfId="0" applyNumberFormat="1" applyFont="1" applyFill="1" applyBorder="1" applyAlignment="1">
      <alignment horizontal="right" vertical="center"/>
    </xf>
    <xf numFmtId="3" fontId="26" fillId="0" borderId="49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3" fontId="26" fillId="0" borderId="76" xfId="0" applyNumberFormat="1" applyFont="1" applyFill="1" applyBorder="1" applyAlignment="1">
      <alignment vertical="center"/>
    </xf>
    <xf numFmtId="3" fontId="26" fillId="0" borderId="83" xfId="0" applyNumberFormat="1" applyFont="1" applyFill="1" applyBorder="1" applyAlignment="1">
      <alignment vertical="center"/>
    </xf>
    <xf numFmtId="3" fontId="27" fillId="0" borderId="76" xfId="0" applyNumberFormat="1" applyFont="1" applyFill="1" applyBorder="1" applyAlignment="1">
      <alignment vertical="center"/>
    </xf>
    <xf numFmtId="3" fontId="27" fillId="0" borderId="24" xfId="0" applyNumberFormat="1" applyFont="1" applyBorder="1" applyAlignment="1">
      <alignment vertical="center"/>
    </xf>
    <xf numFmtId="3" fontId="26" fillId="35" borderId="54" xfId="0" applyNumberFormat="1" applyFont="1" applyFill="1" applyBorder="1" applyAlignment="1">
      <alignment horizontal="right" vertical="center" wrapText="1"/>
    </xf>
    <xf numFmtId="0" fontId="26" fillId="0" borderId="139" xfId="0" applyFont="1" applyFill="1" applyBorder="1" applyAlignment="1">
      <alignment horizontal="center" vertical="center" wrapText="1"/>
    </xf>
    <xf numFmtId="0" fontId="28" fillId="0" borderId="139" xfId="0" applyFont="1" applyBorder="1" applyAlignment="1">
      <alignment/>
    </xf>
    <xf numFmtId="0" fontId="28" fillId="0" borderId="14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4" xfId="0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vertical="center"/>
    </xf>
    <xf numFmtId="3" fontId="104" fillId="0" borderId="76" xfId="0" applyNumberFormat="1" applyFont="1" applyFill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24" xfId="0" applyNumberFormat="1" applyFont="1" applyBorder="1" applyAlignment="1">
      <alignment vertical="center"/>
    </xf>
    <xf numFmtId="3" fontId="32" fillId="0" borderId="24" xfId="0" applyNumberFormat="1" applyFont="1" applyFill="1" applyBorder="1" applyAlignment="1">
      <alignment horizontal="right" vertical="center"/>
    </xf>
    <xf numFmtId="3" fontId="104" fillId="0" borderId="83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104" fillId="0" borderId="29" xfId="0" applyNumberFormat="1" applyFont="1" applyFill="1" applyBorder="1" applyAlignment="1">
      <alignment vertical="center"/>
    </xf>
    <xf numFmtId="3" fontId="104" fillId="0" borderId="73" xfId="0" applyNumberFormat="1" applyFont="1" applyFill="1" applyBorder="1" applyAlignment="1">
      <alignment vertical="center"/>
    </xf>
    <xf numFmtId="3" fontId="104" fillId="0" borderId="49" xfId="0" applyNumberFormat="1" applyFont="1" applyFill="1" applyBorder="1" applyAlignment="1">
      <alignment vertical="center"/>
    </xf>
    <xf numFmtId="3" fontId="104" fillId="0" borderId="41" xfId="0" applyNumberFormat="1" applyFont="1" applyFill="1" applyBorder="1" applyAlignment="1">
      <alignment vertical="center"/>
    </xf>
    <xf numFmtId="3" fontId="104" fillId="0" borderId="54" xfId="0" applyNumberFormat="1" applyFont="1" applyFill="1" applyBorder="1" applyAlignment="1">
      <alignment vertical="center"/>
    </xf>
    <xf numFmtId="0" fontId="0" fillId="0" borderId="69" xfId="0" applyFont="1" applyBorder="1" applyAlignment="1">
      <alignment wrapText="1"/>
    </xf>
    <xf numFmtId="3" fontId="32" fillId="35" borderId="23" xfId="0" applyNumberFormat="1" applyFont="1" applyFill="1" applyBorder="1" applyAlignment="1">
      <alignment horizontal="right" vertical="center" wrapText="1"/>
    </xf>
    <xf numFmtId="3" fontId="32" fillId="35" borderId="24" xfId="0" applyNumberFormat="1" applyFont="1" applyFill="1" applyBorder="1" applyAlignment="1">
      <alignment horizontal="right" vertical="center" wrapText="1"/>
    </xf>
    <xf numFmtId="3" fontId="104" fillId="35" borderId="73" xfId="0" applyNumberFormat="1" applyFont="1" applyFill="1" applyBorder="1" applyAlignment="1">
      <alignment horizontal="right" vertical="center" wrapText="1"/>
    </xf>
    <xf numFmtId="3" fontId="104" fillId="35" borderId="49" xfId="0" applyNumberFormat="1" applyFont="1" applyFill="1" applyBorder="1" applyAlignment="1">
      <alignment horizontal="right" vertical="center" wrapText="1"/>
    </xf>
    <xf numFmtId="3" fontId="104" fillId="35" borderId="76" xfId="0" applyNumberFormat="1" applyFont="1" applyFill="1" applyBorder="1" applyAlignment="1">
      <alignment horizontal="right" vertical="center" wrapText="1"/>
    </xf>
    <xf numFmtId="3" fontId="104" fillId="0" borderId="76" xfId="0" applyNumberFormat="1" applyFont="1" applyFill="1" applyBorder="1" applyAlignment="1">
      <alignment horizontal="right" vertical="center" wrapText="1"/>
    </xf>
    <xf numFmtId="3" fontId="104" fillId="0" borderId="78" xfId="0" applyNumberFormat="1" applyFont="1" applyFill="1" applyBorder="1" applyAlignment="1">
      <alignment horizontal="right" vertical="center"/>
    </xf>
    <xf numFmtId="3" fontId="104" fillId="0" borderId="76" xfId="0" applyNumberFormat="1" applyFont="1" applyFill="1" applyBorder="1" applyAlignment="1">
      <alignment horizontal="right" vertical="center"/>
    </xf>
    <xf numFmtId="3" fontId="32" fillId="0" borderId="49" xfId="0" applyNumberFormat="1" applyFont="1" applyFill="1" applyBorder="1" applyAlignment="1">
      <alignment horizontal="right" vertical="center"/>
    </xf>
    <xf numFmtId="3" fontId="104" fillId="0" borderId="83" xfId="0" applyNumberFormat="1" applyFont="1" applyFill="1" applyBorder="1" applyAlignment="1">
      <alignment vertical="center"/>
    </xf>
    <xf numFmtId="3" fontId="32" fillId="0" borderId="76" xfId="0" applyNumberFormat="1" applyFont="1" applyFill="1" applyBorder="1" applyAlignment="1">
      <alignment vertical="center"/>
    </xf>
    <xf numFmtId="3" fontId="104" fillId="35" borderId="54" xfId="0" applyNumberFormat="1" applyFont="1" applyFill="1" applyBorder="1" applyAlignment="1">
      <alignment horizontal="right" vertical="center" wrapText="1"/>
    </xf>
    <xf numFmtId="3" fontId="32" fillId="0" borderId="59" xfId="0" applyNumberFormat="1" applyFont="1" applyFill="1" applyBorder="1" applyAlignment="1">
      <alignment horizontal="right" vertical="center"/>
    </xf>
    <xf numFmtId="3" fontId="32" fillId="0" borderId="68" xfId="0" applyNumberFormat="1" applyFont="1" applyFill="1" applyBorder="1" applyAlignment="1">
      <alignment horizontal="right" vertical="center"/>
    </xf>
    <xf numFmtId="3" fontId="32" fillId="0" borderId="149" xfId="0" applyNumberFormat="1" applyFont="1" applyFill="1" applyBorder="1" applyAlignment="1">
      <alignment horizontal="right" vertical="center"/>
    </xf>
    <xf numFmtId="3" fontId="32" fillId="0" borderId="150" xfId="0" applyNumberFormat="1" applyFont="1" applyFill="1" applyBorder="1" applyAlignment="1">
      <alignment horizontal="right" vertical="center"/>
    </xf>
    <xf numFmtId="3" fontId="32" fillId="0" borderId="61" xfId="0" applyNumberFormat="1" applyFont="1" applyFill="1" applyBorder="1" applyAlignment="1">
      <alignment horizontal="right" vertical="center"/>
    </xf>
    <xf numFmtId="3" fontId="32" fillId="0" borderId="75" xfId="0" applyNumberFormat="1" applyFont="1" applyFill="1" applyBorder="1" applyAlignment="1">
      <alignment horizontal="right" vertical="center"/>
    </xf>
    <xf numFmtId="3" fontId="104" fillId="0" borderId="83" xfId="0" applyNumberFormat="1" applyFont="1" applyFill="1" applyBorder="1" applyAlignment="1">
      <alignment horizontal="right" vertical="center"/>
    </xf>
    <xf numFmtId="3" fontId="32" fillId="0" borderId="76" xfId="0" applyNumberFormat="1" applyFont="1" applyFill="1" applyBorder="1" applyAlignment="1">
      <alignment horizontal="right" vertical="center"/>
    </xf>
    <xf numFmtId="3" fontId="32" fillId="0" borderId="36" xfId="0" applyNumberFormat="1" applyFont="1" applyFill="1" applyBorder="1" applyAlignment="1">
      <alignment vertical="center"/>
    </xf>
    <xf numFmtId="3" fontId="32" fillId="0" borderId="83" xfId="0" applyNumberFormat="1" applyFont="1" applyFill="1" applyBorder="1" applyAlignment="1">
      <alignment vertical="center"/>
    </xf>
    <xf numFmtId="0" fontId="45" fillId="0" borderId="151" xfId="94" applyFont="1" applyBorder="1" applyAlignment="1">
      <alignment horizontal="center" vertical="center"/>
      <protection/>
    </xf>
    <xf numFmtId="0" fontId="45" fillId="0" borderId="21" xfId="94" applyFont="1" applyBorder="1" applyAlignment="1">
      <alignment horizontal="center" vertical="center"/>
      <protection/>
    </xf>
    <xf numFmtId="0" fontId="40" fillId="0" borderId="152" xfId="98" applyFont="1" applyFill="1" applyBorder="1" applyAlignment="1">
      <alignment horizontal="center" vertical="center"/>
      <protection/>
    </xf>
    <xf numFmtId="0" fontId="26" fillId="0" borderId="43" xfId="0" applyFont="1" applyBorder="1" applyAlignment="1">
      <alignment vertical="center" wrapText="1"/>
    </xf>
    <xf numFmtId="0" fontId="26" fillId="0" borderId="43" xfId="76" applyNumberFormat="1" applyFont="1" applyFill="1" applyBorder="1" applyAlignment="1" applyProtection="1">
      <alignment vertical="center" wrapText="1"/>
      <protection/>
    </xf>
    <xf numFmtId="0" fontId="26" fillId="0" borderId="43" xfId="0" applyFont="1" applyFill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 wrapText="1"/>
    </xf>
    <xf numFmtId="3" fontId="21" fillId="0" borderId="64" xfId="0" applyNumberFormat="1" applyFont="1" applyBorder="1" applyAlignment="1">
      <alignment vertical="center"/>
    </xf>
    <xf numFmtId="3" fontId="21" fillId="0" borderId="61" xfId="0" applyNumberFormat="1" applyFont="1" applyBorder="1" applyAlignment="1">
      <alignment vertical="center"/>
    </xf>
    <xf numFmtId="10" fontId="21" fillId="0" borderId="61" xfId="0" applyNumberFormat="1" applyFont="1" applyBorder="1" applyAlignment="1">
      <alignment vertical="center"/>
    </xf>
    <xf numFmtId="10" fontId="21" fillId="0" borderId="107" xfId="0" applyNumberFormat="1" applyFont="1" applyBorder="1" applyAlignment="1">
      <alignment vertical="center"/>
    </xf>
    <xf numFmtId="10" fontId="21" fillId="0" borderId="75" xfId="0" applyNumberFormat="1" applyFont="1" applyBorder="1" applyAlignment="1">
      <alignment vertical="center"/>
    </xf>
    <xf numFmtId="0" fontId="27" fillId="0" borderId="153" xfId="0" applyFont="1" applyFill="1" applyBorder="1" applyAlignment="1">
      <alignment horizontal="center" vertical="center" wrapText="1"/>
    </xf>
    <xf numFmtId="0" fontId="27" fillId="0" borderId="154" xfId="0" applyFont="1" applyFill="1" applyBorder="1" applyAlignment="1">
      <alignment horizontal="center" vertical="center" wrapText="1"/>
    </xf>
    <xf numFmtId="10" fontId="27" fillId="0" borderId="154" xfId="0" applyNumberFormat="1" applyFont="1" applyFill="1" applyBorder="1" applyAlignment="1">
      <alignment horizontal="center" vertical="center" wrapText="1"/>
    </xf>
    <xf numFmtId="10" fontId="27" fillId="0" borderId="155" xfId="0" applyNumberFormat="1" applyFont="1" applyFill="1" applyBorder="1" applyAlignment="1">
      <alignment horizontal="center" vertical="center" wrapText="1"/>
    </xf>
    <xf numFmtId="3" fontId="27" fillId="0" borderId="153" xfId="0" applyNumberFormat="1" applyFont="1" applyFill="1" applyBorder="1" applyAlignment="1">
      <alignment vertical="center"/>
    </xf>
    <xf numFmtId="3" fontId="27" fillId="0" borderId="154" xfId="0" applyNumberFormat="1" applyFont="1" applyFill="1" applyBorder="1" applyAlignment="1">
      <alignment vertical="center"/>
    </xf>
    <xf numFmtId="3" fontId="27" fillId="0" borderId="155" xfId="0" applyNumberFormat="1" applyFont="1" applyFill="1" applyBorder="1" applyAlignment="1">
      <alignment vertical="center"/>
    </xf>
    <xf numFmtId="3" fontId="26" fillId="0" borderId="156" xfId="0" applyNumberFormat="1" applyFont="1" applyFill="1" applyBorder="1" applyAlignment="1">
      <alignment vertical="center"/>
    </xf>
    <xf numFmtId="3" fontId="26" fillId="0" borderId="157" xfId="0" applyNumberFormat="1" applyFont="1" applyFill="1" applyBorder="1" applyAlignment="1">
      <alignment vertical="center"/>
    </xf>
    <xf numFmtId="3" fontId="26" fillId="0" borderId="158" xfId="0" applyNumberFormat="1" applyFont="1" applyFill="1" applyBorder="1" applyAlignment="1">
      <alignment vertical="center"/>
    </xf>
    <xf numFmtId="3" fontId="26" fillId="0" borderId="159" xfId="0" applyNumberFormat="1" applyFont="1" applyBorder="1" applyAlignment="1">
      <alignment vertical="center"/>
    </xf>
    <xf numFmtId="3" fontId="26" fillId="0" borderId="160" xfId="0" applyNumberFormat="1" applyFont="1" applyBorder="1" applyAlignment="1">
      <alignment vertical="center"/>
    </xf>
    <xf numFmtId="3" fontId="26" fillId="0" borderId="157" xfId="0" applyNumberFormat="1" applyFont="1" applyBorder="1" applyAlignment="1">
      <alignment vertical="center"/>
    </xf>
    <xf numFmtId="3" fontId="26" fillId="0" borderId="158" xfId="0" applyNumberFormat="1" applyFont="1" applyBorder="1" applyAlignment="1">
      <alignment vertical="center"/>
    </xf>
    <xf numFmtId="3" fontId="26" fillId="0" borderId="159" xfId="0" applyNumberFormat="1" applyFont="1" applyFill="1" applyBorder="1" applyAlignment="1">
      <alignment vertical="center"/>
    </xf>
    <xf numFmtId="3" fontId="26" fillId="0" borderId="160" xfId="0" applyNumberFormat="1" applyFont="1" applyFill="1" applyBorder="1" applyAlignment="1">
      <alignment vertical="center"/>
    </xf>
    <xf numFmtId="3" fontId="49" fillId="0" borderId="160" xfId="0" applyNumberFormat="1" applyFont="1" applyFill="1" applyBorder="1" applyAlignment="1">
      <alignment vertical="center"/>
    </xf>
    <xf numFmtId="3" fontId="26" fillId="0" borderId="161" xfId="0" applyNumberFormat="1" applyFont="1" applyBorder="1" applyAlignment="1">
      <alignment vertical="center"/>
    </xf>
    <xf numFmtId="3" fontId="26" fillId="0" borderId="162" xfId="0" applyNumberFormat="1" applyFont="1" applyBorder="1" applyAlignment="1">
      <alignment vertical="center"/>
    </xf>
    <xf numFmtId="3" fontId="26" fillId="0" borderId="163" xfId="0" applyNumberFormat="1" applyFont="1" applyBorder="1" applyAlignment="1">
      <alignment vertical="center"/>
    </xf>
    <xf numFmtId="3" fontId="26" fillId="0" borderId="164" xfId="0" applyNumberFormat="1" applyFont="1" applyBorder="1" applyAlignment="1">
      <alignment vertical="center"/>
    </xf>
    <xf numFmtId="3" fontId="27" fillId="0" borderId="153" xfId="0" applyNumberFormat="1" applyFont="1" applyBorder="1" applyAlignment="1">
      <alignment vertical="center"/>
    </xf>
    <xf numFmtId="3" fontId="27" fillId="0" borderId="154" xfId="0" applyNumberFormat="1" applyFont="1" applyBorder="1" applyAlignment="1">
      <alignment vertical="center"/>
    </xf>
    <xf numFmtId="3" fontId="27" fillId="0" borderId="155" xfId="0" applyNumberFormat="1" applyFont="1" applyBorder="1" applyAlignment="1">
      <alignment vertical="center"/>
    </xf>
    <xf numFmtId="3" fontId="26" fillId="0" borderId="161" xfId="0" applyNumberFormat="1" applyFont="1" applyFill="1" applyBorder="1" applyAlignment="1">
      <alignment vertical="center"/>
    </xf>
    <xf numFmtId="3" fontId="26" fillId="0" borderId="165" xfId="0" applyNumberFormat="1" applyFont="1" applyBorder="1" applyAlignment="1">
      <alignment vertical="center"/>
    </xf>
    <xf numFmtId="3" fontId="26" fillId="0" borderId="166" xfId="0" applyNumberFormat="1" applyFont="1" applyBorder="1" applyAlignment="1">
      <alignment vertical="center"/>
    </xf>
    <xf numFmtId="3" fontId="26" fillId="0" borderId="112" xfId="0" applyNumberFormat="1" applyFont="1" applyBorder="1" applyAlignment="1">
      <alignment vertical="center"/>
    </xf>
    <xf numFmtId="3" fontId="26" fillId="0" borderId="163" xfId="0" applyNumberFormat="1" applyFont="1" applyFill="1" applyBorder="1" applyAlignment="1">
      <alignment vertical="center"/>
    </xf>
    <xf numFmtId="3" fontId="26" fillId="0" borderId="166" xfId="0" applyNumberFormat="1" applyFont="1" applyFill="1" applyBorder="1" applyAlignment="1">
      <alignment vertical="center"/>
    </xf>
    <xf numFmtId="3" fontId="26" fillId="0" borderId="112" xfId="0" applyNumberFormat="1" applyFont="1" applyFill="1" applyBorder="1" applyAlignment="1">
      <alignment vertical="center"/>
    </xf>
    <xf numFmtId="3" fontId="34" fillId="0" borderId="153" xfId="0" applyNumberFormat="1" applyFont="1" applyFill="1" applyBorder="1" applyAlignment="1">
      <alignment vertical="center"/>
    </xf>
    <xf numFmtId="3" fontId="34" fillId="0" borderId="154" xfId="0" applyNumberFormat="1" applyFont="1" applyFill="1" applyBorder="1" applyAlignment="1">
      <alignment vertical="center"/>
    </xf>
    <xf numFmtId="3" fontId="34" fillId="0" borderId="155" xfId="0" applyNumberFormat="1" applyFont="1" applyFill="1" applyBorder="1" applyAlignment="1">
      <alignment vertical="center"/>
    </xf>
    <xf numFmtId="0" fontId="25" fillId="0" borderId="165" xfId="0" applyFont="1" applyBorder="1" applyAlignment="1">
      <alignment vertical="center"/>
    </xf>
    <xf numFmtId="0" fontId="25" fillId="0" borderId="166" xfId="0" applyFont="1" applyBorder="1" applyAlignment="1">
      <alignment vertical="center"/>
    </xf>
    <xf numFmtId="0" fontId="25" fillId="0" borderId="112" xfId="0" applyFont="1" applyBorder="1" applyAlignment="1">
      <alignment vertical="center"/>
    </xf>
    <xf numFmtId="3" fontId="27" fillId="0" borderId="153" xfId="0" applyNumberFormat="1" applyFont="1" applyFill="1" applyBorder="1" applyAlignment="1">
      <alignment horizontal="right" vertical="center"/>
    </xf>
    <xf numFmtId="3" fontId="27" fillId="0" borderId="154" xfId="0" applyNumberFormat="1" applyFont="1" applyFill="1" applyBorder="1" applyAlignment="1">
      <alignment horizontal="right" vertical="center"/>
    </xf>
    <xf numFmtId="3" fontId="27" fillId="0" borderId="155" xfId="0" applyNumberFormat="1" applyFont="1" applyFill="1" applyBorder="1" applyAlignment="1">
      <alignment horizontal="right" vertical="center"/>
    </xf>
    <xf numFmtId="3" fontId="26" fillId="0" borderId="167" xfId="0" applyNumberFormat="1" applyFont="1" applyFill="1" applyBorder="1" applyAlignment="1">
      <alignment vertical="center"/>
    </xf>
    <xf numFmtId="3" fontId="27" fillId="0" borderId="168" xfId="0" applyNumberFormat="1" applyFont="1" applyFill="1" applyBorder="1" applyAlignment="1">
      <alignment vertical="center"/>
    </xf>
    <xf numFmtId="3" fontId="26" fillId="0" borderId="169" xfId="0" applyNumberFormat="1" applyFont="1" applyFill="1" applyBorder="1" applyAlignment="1">
      <alignment vertical="center"/>
    </xf>
    <xf numFmtId="3" fontId="27" fillId="0" borderId="170" xfId="0" applyNumberFormat="1" applyFont="1" applyBorder="1" applyAlignment="1">
      <alignment vertical="center"/>
    </xf>
    <xf numFmtId="3" fontId="27" fillId="0" borderId="171" xfId="0" applyNumberFormat="1" applyFont="1" applyBorder="1" applyAlignment="1">
      <alignment vertical="center"/>
    </xf>
    <xf numFmtId="3" fontId="27" fillId="0" borderId="172" xfId="0" applyNumberFormat="1" applyFont="1" applyBorder="1" applyAlignment="1">
      <alignment vertical="center"/>
    </xf>
    <xf numFmtId="3" fontId="26" fillId="0" borderId="173" xfId="0" applyNumberFormat="1" applyFont="1" applyFill="1" applyBorder="1" applyAlignment="1">
      <alignment vertical="center"/>
    </xf>
    <xf numFmtId="3" fontId="26" fillId="0" borderId="174" xfId="0" applyNumberFormat="1" applyFont="1" applyFill="1" applyBorder="1" applyAlignment="1">
      <alignment vertical="center"/>
    </xf>
    <xf numFmtId="3" fontId="26" fillId="0" borderId="175" xfId="0" applyNumberFormat="1" applyFont="1" applyFill="1" applyBorder="1" applyAlignment="1">
      <alignment vertical="center"/>
    </xf>
    <xf numFmtId="3" fontId="26" fillId="0" borderId="176" xfId="0" applyNumberFormat="1" applyFont="1" applyFill="1" applyBorder="1" applyAlignment="1">
      <alignment vertical="center"/>
    </xf>
    <xf numFmtId="3" fontId="27" fillId="0" borderId="171" xfId="0" applyNumberFormat="1" applyFont="1" applyFill="1" applyBorder="1" applyAlignment="1">
      <alignment vertical="center"/>
    </xf>
    <xf numFmtId="3" fontId="27" fillId="0" borderId="172" xfId="0" applyNumberFormat="1" applyFont="1" applyFill="1" applyBorder="1" applyAlignment="1">
      <alignment vertical="center"/>
    </xf>
    <xf numFmtId="0" fontId="25" fillId="0" borderId="166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vertical="center" wrapText="1"/>
    </xf>
    <xf numFmtId="3" fontId="25" fillId="0" borderId="121" xfId="0" applyNumberFormat="1" applyFont="1" applyBorder="1" applyAlignment="1">
      <alignment vertical="center"/>
    </xf>
    <xf numFmtId="3" fontId="25" fillId="0" borderId="113" xfId="0" applyNumberFormat="1" applyFont="1" applyBorder="1" applyAlignment="1">
      <alignment vertical="center"/>
    </xf>
    <xf numFmtId="3" fontId="21" fillId="0" borderId="129" xfId="0" applyNumberFormat="1" applyFont="1" applyBorder="1" applyAlignment="1">
      <alignment vertical="center"/>
    </xf>
    <xf numFmtId="3" fontId="21" fillId="0" borderId="177" xfId="0" applyNumberFormat="1" applyFont="1" applyBorder="1" applyAlignment="1">
      <alignment vertical="center"/>
    </xf>
    <xf numFmtId="3" fontId="21" fillId="0" borderId="130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0" fontId="21" fillId="0" borderId="130" xfId="0" applyFont="1" applyBorder="1" applyAlignment="1">
      <alignment vertical="center"/>
    </xf>
    <xf numFmtId="0" fontId="21" fillId="0" borderId="109" xfId="0" applyFont="1" applyBorder="1" applyAlignment="1">
      <alignment vertical="center"/>
    </xf>
    <xf numFmtId="3" fontId="21" fillId="0" borderId="178" xfId="0" applyNumberFormat="1" applyFont="1" applyBorder="1" applyAlignment="1">
      <alignment vertical="center"/>
    </xf>
    <xf numFmtId="3" fontId="21" fillId="0" borderId="110" xfId="0" applyNumberFormat="1" applyFont="1" applyBorder="1" applyAlignment="1">
      <alignment vertical="center"/>
    </xf>
    <xf numFmtId="3" fontId="25" fillId="0" borderId="154" xfId="0" applyNumberFormat="1" applyFont="1" applyBorder="1" applyAlignment="1">
      <alignment vertical="center"/>
    </xf>
    <xf numFmtId="3" fontId="25" fillId="0" borderId="155" xfId="0" applyNumberFormat="1" applyFont="1" applyBorder="1" applyAlignment="1">
      <alignment vertical="center"/>
    </xf>
    <xf numFmtId="3" fontId="21" fillId="0" borderId="154" xfId="0" applyNumberFormat="1" applyFont="1" applyBorder="1" applyAlignment="1">
      <alignment vertical="center"/>
    </xf>
    <xf numFmtId="3" fontId="21" fillId="0" borderId="155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vertical="center"/>
    </xf>
    <xf numFmtId="3" fontId="25" fillId="0" borderId="109" xfId="0" applyNumberFormat="1" applyFont="1" applyBorder="1" applyAlignment="1">
      <alignment vertical="center"/>
    </xf>
    <xf numFmtId="3" fontId="26" fillId="0" borderId="162" xfId="0" applyNumberFormat="1" applyFont="1" applyFill="1" applyBorder="1" applyAlignment="1">
      <alignment vertical="center"/>
    </xf>
    <xf numFmtId="3" fontId="25" fillId="0" borderId="178" xfId="0" applyNumberFormat="1" applyFont="1" applyBorder="1" applyAlignment="1">
      <alignment vertical="center"/>
    </xf>
    <xf numFmtId="3" fontId="25" fillId="0" borderId="110" xfId="0" applyNumberFormat="1" applyFont="1" applyBorder="1" applyAlignment="1">
      <alignment vertical="center"/>
    </xf>
    <xf numFmtId="3" fontId="27" fillId="0" borderId="167" xfId="0" applyNumberFormat="1" applyFont="1" applyFill="1" applyBorder="1" applyAlignment="1">
      <alignment vertical="center"/>
    </xf>
    <xf numFmtId="3" fontId="25" fillId="0" borderId="171" xfId="0" applyNumberFormat="1" applyFont="1" applyBorder="1" applyAlignment="1">
      <alignment vertical="center"/>
    </xf>
    <xf numFmtId="3" fontId="25" fillId="0" borderId="172" xfId="0" applyNumberFormat="1" applyFont="1" applyBorder="1" applyAlignment="1">
      <alignment vertical="center"/>
    </xf>
    <xf numFmtId="3" fontId="26" fillId="0" borderId="129" xfId="0" applyNumberFormat="1" applyFont="1" applyFill="1" applyBorder="1" applyAlignment="1">
      <alignment vertical="center"/>
    </xf>
    <xf numFmtId="3" fontId="26" fillId="0" borderId="130" xfId="0" applyNumberFormat="1" applyFont="1" applyBorder="1" applyAlignment="1">
      <alignment vertical="center"/>
    </xf>
    <xf numFmtId="3" fontId="26" fillId="0" borderId="179" xfId="0" applyNumberFormat="1" applyFont="1" applyFill="1" applyBorder="1" applyAlignment="1">
      <alignment vertical="center"/>
    </xf>
    <xf numFmtId="3" fontId="26" fillId="0" borderId="180" xfId="0" applyNumberFormat="1" applyFont="1" applyFill="1" applyBorder="1" applyAlignment="1">
      <alignment vertical="center"/>
    </xf>
    <xf numFmtId="3" fontId="26" fillId="0" borderId="181" xfId="0" applyNumberFormat="1" applyFont="1" applyFill="1" applyBorder="1" applyAlignment="1">
      <alignment vertical="center"/>
    </xf>
    <xf numFmtId="3" fontId="27" fillId="0" borderId="179" xfId="0" applyNumberFormat="1" applyFont="1" applyFill="1" applyBorder="1" applyAlignment="1">
      <alignment vertical="center"/>
    </xf>
    <xf numFmtId="3" fontId="27" fillId="0" borderId="182" xfId="0" applyNumberFormat="1" applyFont="1" applyFill="1" applyBorder="1" applyAlignment="1">
      <alignment vertical="center"/>
    </xf>
    <xf numFmtId="0" fontId="26" fillId="0" borderId="25" xfId="0" applyFont="1" applyBorder="1" applyAlignment="1">
      <alignment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left" vertical="center" wrapText="1"/>
    </xf>
    <xf numFmtId="3" fontId="26" fillId="0" borderId="183" xfId="0" applyNumberFormat="1" applyFont="1" applyFill="1" applyBorder="1" applyAlignment="1">
      <alignment vertical="center"/>
    </xf>
    <xf numFmtId="49" fontId="26" fillId="0" borderId="38" xfId="0" applyNumberFormat="1" applyFont="1" applyBorder="1" applyAlignment="1">
      <alignment horizontal="left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left" vertical="center"/>
    </xf>
    <xf numFmtId="3" fontId="26" fillId="0" borderId="184" xfId="0" applyNumberFormat="1" applyFont="1" applyFill="1" applyBorder="1" applyAlignment="1">
      <alignment vertical="center"/>
    </xf>
    <xf numFmtId="0" fontId="28" fillId="1" borderId="185" xfId="95" applyFont="1" applyFill="1" applyBorder="1" applyAlignment="1">
      <alignment horizontal="center" vertical="center" wrapText="1"/>
      <protection/>
    </xf>
    <xf numFmtId="3" fontId="26" fillId="0" borderId="186" xfId="95" applyNumberFormat="1" applyFont="1" applyFill="1" applyBorder="1" applyAlignment="1">
      <alignment horizontal="right" vertical="center"/>
      <protection/>
    </xf>
    <xf numFmtId="3" fontId="26" fillId="0" borderId="187" xfId="95" applyNumberFormat="1" applyFont="1" applyFill="1" applyBorder="1" applyAlignment="1">
      <alignment horizontal="right" vertical="center"/>
      <protection/>
    </xf>
    <xf numFmtId="3" fontId="26" fillId="0" borderId="187" xfId="95" applyNumberFormat="1" applyFont="1" applyBorder="1" applyAlignment="1">
      <alignment horizontal="right" vertical="center"/>
      <protection/>
    </xf>
    <xf numFmtId="3" fontId="26" fillId="0" borderId="188" xfId="95" applyNumberFormat="1" applyFont="1" applyBorder="1" applyAlignment="1">
      <alignment horizontal="right" vertical="center"/>
      <protection/>
    </xf>
    <xf numFmtId="3" fontId="26" fillId="0" borderId="188" xfId="95" applyNumberFormat="1" applyFont="1" applyFill="1" applyBorder="1" applyAlignment="1">
      <alignment horizontal="right" vertical="center"/>
      <protection/>
    </xf>
    <xf numFmtId="3" fontId="27" fillId="0" borderId="185" xfId="95" applyNumberFormat="1" applyFont="1" applyBorder="1" applyAlignment="1">
      <alignment vertical="center"/>
      <protection/>
    </xf>
    <xf numFmtId="0" fontId="28" fillId="1" borderId="113" xfId="95" applyFont="1" applyFill="1" applyBorder="1" applyAlignment="1">
      <alignment horizontal="center" vertical="center" wrapText="1"/>
      <protection/>
    </xf>
    <xf numFmtId="3" fontId="26" fillId="0" borderId="135" xfId="95" applyNumberFormat="1" applyFont="1" applyFill="1" applyBorder="1" applyAlignment="1">
      <alignment horizontal="right" vertical="center"/>
      <protection/>
    </xf>
    <xf numFmtId="3" fontId="26" fillId="0" borderId="108" xfId="95" applyNumberFormat="1" applyFont="1" applyFill="1" applyBorder="1" applyAlignment="1">
      <alignment horizontal="right" vertical="center"/>
      <protection/>
    </xf>
    <xf numFmtId="3" fontId="26" fillId="0" borderId="129" xfId="95" applyNumberFormat="1" applyFont="1" applyFill="1" applyBorder="1" applyAlignment="1">
      <alignment horizontal="right" vertical="center"/>
      <protection/>
    </xf>
    <xf numFmtId="3" fontId="26" fillId="0" borderId="177" xfId="95" applyNumberFormat="1" applyFont="1" applyFill="1" applyBorder="1" applyAlignment="1">
      <alignment horizontal="right" vertical="center"/>
      <protection/>
    </xf>
    <xf numFmtId="3" fontId="26" fillId="0" borderId="129" xfId="95" applyNumberFormat="1" applyFont="1" applyBorder="1" applyAlignment="1">
      <alignment horizontal="right" vertical="center"/>
      <protection/>
    </xf>
    <xf numFmtId="3" fontId="26" fillId="0" borderId="177" xfId="95" applyNumberFormat="1" applyFont="1" applyBorder="1" applyAlignment="1">
      <alignment horizontal="right" vertical="center"/>
      <protection/>
    </xf>
    <xf numFmtId="3" fontId="26" fillId="0" borderId="130" xfId="95" applyNumberFormat="1" applyFont="1" applyBorder="1" applyAlignment="1">
      <alignment horizontal="right" vertical="center"/>
      <protection/>
    </xf>
    <xf numFmtId="3" fontId="26" fillId="0" borderId="109" xfId="95" applyNumberFormat="1" applyFont="1" applyBorder="1" applyAlignment="1">
      <alignment horizontal="right" vertical="center"/>
      <protection/>
    </xf>
    <xf numFmtId="3" fontId="26" fillId="0" borderId="130" xfId="95" applyNumberFormat="1" applyFont="1" applyFill="1" applyBorder="1" applyAlignment="1">
      <alignment horizontal="right" vertical="center"/>
      <protection/>
    </xf>
    <xf numFmtId="3" fontId="26" fillId="0" borderId="109" xfId="95" applyNumberFormat="1" applyFont="1" applyFill="1" applyBorder="1" applyAlignment="1">
      <alignment horizontal="right" vertical="center"/>
      <protection/>
    </xf>
    <xf numFmtId="3" fontId="27" fillId="0" borderId="121" xfId="95" applyNumberFormat="1" applyFont="1" applyBorder="1" applyAlignment="1">
      <alignment vertical="center"/>
      <protection/>
    </xf>
    <xf numFmtId="3" fontId="27" fillId="0" borderId="113" xfId="95" applyNumberFormat="1" applyFont="1" applyBorder="1" applyAlignment="1">
      <alignment vertical="center"/>
      <protection/>
    </xf>
    <xf numFmtId="3" fontId="1" fillId="0" borderId="0" xfId="93" applyNumberFormat="1" applyAlignment="1">
      <alignment vertical="center" wrapText="1"/>
      <protection/>
    </xf>
    <xf numFmtId="3" fontId="1" fillId="0" borderId="0" xfId="93" applyNumberFormat="1" applyAlignment="1">
      <alignment vertical="center"/>
      <protection/>
    </xf>
    <xf numFmtId="3" fontId="1" fillId="0" borderId="0" xfId="93" applyNumberFormat="1" applyFont="1" applyAlignment="1">
      <alignment horizontal="right" vertical="center"/>
      <protection/>
    </xf>
    <xf numFmtId="3" fontId="110" fillId="0" borderId="41" xfId="93" applyNumberFormat="1" applyFont="1" applyFill="1" applyBorder="1" applyAlignment="1">
      <alignment horizontal="center" vertical="center"/>
      <protection/>
    </xf>
    <xf numFmtId="3" fontId="110" fillId="0" borderId="63" xfId="93" applyNumberFormat="1" applyFont="1" applyFill="1" applyBorder="1" applyAlignment="1">
      <alignment horizontal="center" vertical="center"/>
      <protection/>
    </xf>
    <xf numFmtId="3" fontId="110" fillId="0" borderId="54" xfId="93" applyNumberFormat="1" applyFont="1" applyFill="1" applyBorder="1" applyAlignment="1">
      <alignment horizontal="center" vertical="center"/>
      <protection/>
    </xf>
    <xf numFmtId="3" fontId="68" fillId="0" borderId="46" xfId="93" applyNumberFormat="1" applyFont="1" applyBorder="1" applyAlignment="1">
      <alignment vertical="center" wrapText="1"/>
      <protection/>
    </xf>
    <xf numFmtId="3" fontId="68" fillId="0" borderId="30" xfId="93" applyNumberFormat="1" applyFont="1" applyBorder="1" applyAlignment="1">
      <alignment vertical="center"/>
      <protection/>
    </xf>
    <xf numFmtId="3" fontId="68" fillId="0" borderId="30" xfId="93" applyNumberFormat="1" applyFont="1" applyBorder="1" applyAlignment="1">
      <alignment horizontal="right" vertical="center"/>
      <protection/>
    </xf>
    <xf numFmtId="3" fontId="68" fillId="0" borderId="76" xfId="93" applyNumberFormat="1" applyFont="1" applyBorder="1" applyAlignment="1">
      <alignment horizontal="right" vertical="center"/>
      <protection/>
    </xf>
    <xf numFmtId="3" fontId="68" fillId="0" borderId="34" xfId="93" applyNumberFormat="1" applyFont="1" applyBorder="1" applyAlignment="1">
      <alignment vertical="center" wrapText="1"/>
      <protection/>
    </xf>
    <xf numFmtId="3" fontId="68" fillId="0" borderId="35" xfId="93" applyNumberFormat="1" applyFont="1" applyBorder="1" applyAlignment="1">
      <alignment vertical="center"/>
      <protection/>
    </xf>
    <xf numFmtId="3" fontId="68" fillId="0" borderId="35" xfId="93" applyNumberFormat="1" applyFont="1" applyBorder="1" applyAlignment="1">
      <alignment horizontal="right" vertical="center"/>
      <protection/>
    </xf>
    <xf numFmtId="3" fontId="68" fillId="0" borderId="49" xfId="93" applyNumberFormat="1" applyFont="1" applyBorder="1" applyAlignment="1">
      <alignment horizontal="right" vertical="center"/>
      <protection/>
    </xf>
    <xf numFmtId="3" fontId="68" fillId="0" borderId="50" xfId="93" applyNumberFormat="1" applyFont="1" applyBorder="1" applyAlignment="1">
      <alignment vertical="center" wrapText="1"/>
      <protection/>
    </xf>
    <xf numFmtId="3" fontId="68" fillId="0" borderId="36" xfId="93" applyNumberFormat="1" applyFont="1" applyBorder="1" applyAlignment="1">
      <alignment vertical="center"/>
      <protection/>
    </xf>
    <xf numFmtId="3" fontId="68" fillId="0" borderId="36" xfId="93" applyNumberFormat="1" applyFont="1" applyBorder="1" applyAlignment="1">
      <alignment horizontal="right" vertical="center"/>
      <protection/>
    </xf>
    <xf numFmtId="3" fontId="68" fillId="0" borderId="42" xfId="93" applyNumberFormat="1" applyFont="1" applyBorder="1" applyAlignment="1">
      <alignment vertical="center" wrapText="1"/>
      <protection/>
    </xf>
    <xf numFmtId="3" fontId="68" fillId="0" borderId="41" xfId="93" applyNumberFormat="1" applyFont="1" applyBorder="1" applyAlignment="1">
      <alignment vertical="center"/>
      <protection/>
    </xf>
    <xf numFmtId="3" fontId="68" fillId="0" borderId="41" xfId="93" applyNumberFormat="1" applyFont="1" applyBorder="1" applyAlignment="1">
      <alignment horizontal="right" vertical="center"/>
      <protection/>
    </xf>
    <xf numFmtId="3" fontId="68" fillId="0" borderId="54" xfId="93" applyNumberFormat="1" applyFont="1" applyBorder="1" applyAlignment="1">
      <alignment horizontal="right" vertical="center"/>
      <protection/>
    </xf>
    <xf numFmtId="3" fontId="67" fillId="0" borderId="64" xfId="93" applyNumberFormat="1" applyFont="1" applyBorder="1" applyAlignment="1">
      <alignment vertical="center" wrapText="1"/>
      <protection/>
    </xf>
    <xf numFmtId="3" fontId="67" fillId="0" borderId="61" xfId="93" applyNumberFormat="1" applyFont="1" applyBorder="1" applyAlignment="1">
      <alignment vertical="center"/>
      <protection/>
    </xf>
    <xf numFmtId="3" fontId="67" fillId="0" borderId="75" xfId="93" applyNumberFormat="1" applyFont="1" applyBorder="1" applyAlignment="1">
      <alignment vertical="center"/>
      <protection/>
    </xf>
    <xf numFmtId="3" fontId="1" fillId="0" borderId="28" xfId="93" applyNumberFormat="1" applyFont="1" applyBorder="1" applyAlignment="1">
      <alignment vertical="center" wrapText="1"/>
      <protection/>
    </xf>
    <xf numFmtId="3" fontId="15" fillId="0" borderId="29" xfId="93" applyNumberFormat="1" applyFont="1" applyFill="1" applyBorder="1" applyAlignment="1">
      <alignment horizontal="center" vertical="center" wrapText="1"/>
      <protection/>
    </xf>
    <xf numFmtId="0" fontId="47" fillId="0" borderId="29" xfId="93" applyFont="1" applyFill="1" applyBorder="1" applyAlignment="1">
      <alignment horizontal="center" vertical="center" wrapText="1"/>
      <protection/>
    </xf>
    <xf numFmtId="3" fontId="47" fillId="0" borderId="29" xfId="93" applyNumberFormat="1" applyFont="1" applyFill="1" applyBorder="1" applyAlignment="1">
      <alignment horizontal="center" vertical="center" wrapText="1"/>
      <protection/>
    </xf>
    <xf numFmtId="3" fontId="1" fillId="0" borderId="29" xfId="93" applyNumberFormat="1" applyBorder="1" applyAlignment="1">
      <alignment vertical="center"/>
      <protection/>
    </xf>
    <xf numFmtId="3" fontId="1" fillId="0" borderId="73" xfId="93" applyNumberFormat="1" applyBorder="1" applyAlignment="1">
      <alignment vertical="center"/>
      <protection/>
    </xf>
    <xf numFmtId="3" fontId="1" fillId="0" borderId="50" xfId="93" applyNumberFormat="1" applyFont="1" applyBorder="1" applyAlignment="1">
      <alignment vertical="center" wrapText="1"/>
      <protection/>
    </xf>
    <xf numFmtId="3" fontId="15" fillId="0" borderId="36" xfId="93" applyNumberFormat="1" applyFont="1" applyFill="1" applyBorder="1" applyAlignment="1">
      <alignment horizontal="center" vertical="center"/>
      <protection/>
    </xf>
    <xf numFmtId="3" fontId="68" fillId="0" borderId="36" xfId="93" applyNumberFormat="1" applyFont="1" applyFill="1" applyBorder="1" applyAlignment="1">
      <alignment horizontal="right" vertical="center"/>
      <protection/>
    </xf>
    <xf numFmtId="3" fontId="47" fillId="0" borderId="36" xfId="93" applyNumberFormat="1" applyFont="1" applyFill="1" applyBorder="1" applyAlignment="1">
      <alignment horizontal="center" vertical="center"/>
      <protection/>
    </xf>
    <xf numFmtId="3" fontId="1" fillId="0" borderId="36" xfId="93" applyNumberFormat="1" applyBorder="1" applyAlignment="1">
      <alignment vertical="center"/>
      <protection/>
    </xf>
    <xf numFmtId="3" fontId="1" fillId="0" borderId="83" xfId="93" applyNumberFormat="1" applyBorder="1" applyAlignment="1">
      <alignment vertical="center"/>
      <protection/>
    </xf>
    <xf numFmtId="3" fontId="1" fillId="0" borderId="22" xfId="93" applyNumberFormat="1" applyFont="1" applyBorder="1" applyAlignment="1">
      <alignment vertical="center" wrapText="1"/>
      <protection/>
    </xf>
    <xf numFmtId="3" fontId="47" fillId="0" borderId="23" xfId="93" applyNumberFormat="1" applyFont="1" applyFill="1" applyBorder="1" applyAlignment="1">
      <alignment horizontal="center" vertical="center"/>
      <protection/>
    </xf>
    <xf numFmtId="3" fontId="1" fillId="0" borderId="23" xfId="93" applyNumberFormat="1" applyBorder="1" applyAlignment="1">
      <alignment vertical="center"/>
      <protection/>
    </xf>
    <xf numFmtId="3" fontId="1" fillId="0" borderId="24" xfId="93" applyNumberFormat="1" applyBorder="1" applyAlignment="1">
      <alignment vertical="center"/>
      <protection/>
    </xf>
    <xf numFmtId="3" fontId="28" fillId="0" borderId="0" xfId="93" applyNumberFormat="1" applyFont="1" applyAlignment="1">
      <alignment vertical="center"/>
      <protection/>
    </xf>
    <xf numFmtId="0" fontId="73" fillId="0" borderId="0" xfId="0" applyFont="1" applyAlignment="1">
      <alignment horizontal="center"/>
    </xf>
    <xf numFmtId="0" fontId="5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5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164" fontId="0" fillId="0" borderId="30" xfId="0" applyNumberFormat="1" applyBorder="1" applyAlignment="1" applyProtection="1">
      <alignment/>
      <protection locked="0"/>
    </xf>
    <xf numFmtId="164" fontId="0" fillId="0" borderId="76" xfId="0" applyNumberFormat="1" applyBorder="1" applyAlignment="1">
      <alignment/>
    </xf>
    <xf numFmtId="0" fontId="6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164" fontId="0" fillId="0" borderId="35" xfId="0" applyNumberFormat="1" applyBorder="1" applyAlignment="1" applyProtection="1">
      <alignment/>
      <protection locked="0"/>
    </xf>
    <xf numFmtId="164" fontId="0" fillId="0" borderId="49" xfId="0" applyNumberFormat="1" applyBorder="1" applyAlignment="1">
      <alignment/>
    </xf>
    <xf numFmtId="0" fontId="61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164" fontId="0" fillId="0" borderId="36" xfId="0" applyNumberFormat="1" applyBorder="1" applyAlignment="1" applyProtection="1">
      <alignment/>
      <protection locked="0"/>
    </xf>
    <xf numFmtId="164" fontId="0" fillId="0" borderId="83" xfId="0" applyNumberFormat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vertical="center" wrapText="1"/>
    </xf>
    <xf numFmtId="164" fontId="55" fillId="0" borderId="23" xfId="0" applyNumberFormat="1" applyFont="1" applyBorder="1" applyAlignment="1">
      <alignment/>
    </xf>
    <xf numFmtId="164" fontId="55" fillId="0" borderId="24" xfId="0" applyNumberFormat="1" applyFont="1" applyBorder="1" applyAlignment="1">
      <alignment/>
    </xf>
    <xf numFmtId="0" fontId="0" fillId="0" borderId="189" xfId="0" applyBorder="1" applyAlignment="1">
      <alignment/>
    </xf>
    <xf numFmtId="0" fontId="56" fillId="0" borderId="189" xfId="0" applyFont="1" applyBorder="1" applyAlignment="1">
      <alignment horizontal="center"/>
    </xf>
    <xf numFmtId="0" fontId="27" fillId="0" borderId="20" xfId="0" applyFont="1" applyFill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98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left" wrapText="1"/>
    </xf>
    <xf numFmtId="0" fontId="26" fillId="0" borderId="39" xfId="0" applyFont="1" applyBorder="1" applyAlignment="1">
      <alignment horizontal="left" wrapText="1"/>
    </xf>
    <xf numFmtId="0" fontId="40" fillId="0" borderId="130" xfId="98" applyFont="1" applyFill="1" applyBorder="1" applyAlignment="1">
      <alignment horizontal="left"/>
      <protection/>
    </xf>
    <xf numFmtId="0" fontId="41" fillId="0" borderId="130" xfId="98" applyFont="1" applyFill="1" applyBorder="1" applyAlignment="1">
      <alignment horizontal="left"/>
      <protection/>
    </xf>
    <xf numFmtId="0" fontId="41" fillId="0" borderId="137" xfId="98" applyFont="1" applyFill="1" applyBorder="1" applyAlignment="1">
      <alignment horizontal="left"/>
      <protection/>
    </xf>
    <xf numFmtId="0" fontId="40" fillId="0" borderId="125" xfId="98" applyFont="1" applyFill="1" applyBorder="1" applyAlignment="1" applyProtection="1">
      <alignment horizontal="left" vertical="center" wrapText="1"/>
      <protection/>
    </xf>
    <xf numFmtId="0" fontId="40" fillId="0" borderId="190" xfId="98" applyFont="1" applyFill="1" applyBorder="1" applyAlignment="1" applyProtection="1">
      <alignment horizontal="left" vertical="center" wrapText="1"/>
      <protection/>
    </xf>
    <xf numFmtId="0" fontId="40" fillId="0" borderId="186" xfId="98" applyFont="1" applyFill="1" applyBorder="1" applyAlignment="1" applyProtection="1">
      <alignment horizontal="left" vertical="center" wrapText="1"/>
      <protection/>
    </xf>
    <xf numFmtId="0" fontId="40" fillId="0" borderId="132" xfId="98" applyFont="1" applyFill="1" applyBorder="1" applyAlignment="1" applyProtection="1">
      <alignment horizontal="left" vertical="center" wrapText="1"/>
      <protection/>
    </xf>
    <xf numFmtId="0" fontId="40" fillId="0" borderId="191" xfId="98" applyFont="1" applyFill="1" applyBorder="1" applyAlignment="1" applyProtection="1">
      <alignment horizontal="left" vertical="center" wrapText="1"/>
      <protection/>
    </xf>
    <xf numFmtId="0" fontId="40" fillId="0" borderId="188" xfId="98" applyFont="1" applyFill="1" applyBorder="1" applyAlignment="1" applyProtection="1">
      <alignment horizontal="left" vertical="center" wrapText="1"/>
      <protection/>
    </xf>
    <xf numFmtId="0" fontId="40" fillId="0" borderId="192" xfId="98" applyFont="1" applyFill="1" applyBorder="1" applyAlignment="1" applyProtection="1">
      <alignment horizontal="left" vertical="center" wrapText="1"/>
      <protection/>
    </xf>
    <xf numFmtId="0" fontId="40" fillId="0" borderId="193" xfId="98" applyFont="1" applyFill="1" applyBorder="1" applyAlignment="1" applyProtection="1">
      <alignment horizontal="left" vertical="center" wrapText="1"/>
      <protection/>
    </xf>
    <xf numFmtId="0" fontId="40" fillId="0" borderId="194" xfId="98" applyFont="1" applyFill="1" applyBorder="1" applyAlignment="1" applyProtection="1">
      <alignment horizontal="left" vertical="center" wrapText="1"/>
      <protection/>
    </xf>
    <xf numFmtId="0" fontId="31" fillId="0" borderId="0" xfId="98" applyFont="1" applyFill="1" applyBorder="1" applyAlignment="1">
      <alignment horizontal="center" wrapText="1"/>
      <protection/>
    </xf>
    <xf numFmtId="0" fontId="52" fillId="0" borderId="0" xfId="98" applyFont="1" applyFill="1" applyBorder="1" applyAlignment="1">
      <alignment horizontal="left"/>
      <protection/>
    </xf>
    <xf numFmtId="0" fontId="31" fillId="0" borderId="29" xfId="98" applyFont="1" applyFill="1" applyBorder="1" applyAlignment="1">
      <alignment horizontal="left" vertical="center"/>
      <protection/>
    </xf>
    <xf numFmtId="0" fontId="40" fillId="0" borderId="195" xfId="98" applyFont="1" applyFill="1" applyBorder="1" applyAlignment="1" applyProtection="1">
      <alignment horizontal="left" vertical="center" wrapText="1"/>
      <protection/>
    </xf>
    <xf numFmtId="0" fontId="40" fillId="0" borderId="119" xfId="98" applyFont="1" applyFill="1" applyBorder="1" applyAlignment="1" applyProtection="1">
      <alignment horizontal="left" vertical="center" wrapText="1"/>
      <protection/>
    </xf>
    <xf numFmtId="0" fontId="40" fillId="0" borderId="196" xfId="98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>
      <alignment horizontal="left" vertical="center"/>
    </xf>
    <xf numFmtId="164" fontId="52" fillId="0" borderId="60" xfId="98" applyNumberFormat="1" applyFont="1" applyFill="1" applyBorder="1" applyAlignment="1" applyProtection="1">
      <alignment horizontal="left" vertical="center"/>
      <protection/>
    </xf>
    <xf numFmtId="49" fontId="27" fillId="0" borderId="55" xfId="0" applyNumberFormat="1" applyFont="1" applyBorder="1" applyAlignment="1">
      <alignment horizontal="center" vertical="center"/>
    </xf>
    <xf numFmtId="49" fontId="26" fillId="0" borderId="96" xfId="0" applyNumberFormat="1" applyFont="1" applyBorder="1" applyAlignment="1">
      <alignment horizontal="left" vertical="center"/>
    </xf>
    <xf numFmtId="0" fontId="31" fillId="0" borderId="0" xfId="98" applyFont="1" applyFill="1" applyBorder="1" applyAlignment="1">
      <alignment horizontal="center"/>
      <protection/>
    </xf>
    <xf numFmtId="0" fontId="31" fillId="0" borderId="23" xfId="98" applyFont="1" applyFill="1" applyBorder="1" applyAlignment="1" applyProtection="1">
      <alignment horizontal="left" vertical="center" wrapText="1"/>
      <protection/>
    </xf>
    <xf numFmtId="164" fontId="52" fillId="0" borderId="0" xfId="98" applyNumberFormat="1" applyFont="1" applyFill="1" applyBorder="1" applyAlignment="1" applyProtection="1">
      <alignment horizontal="left" vertical="center"/>
      <protection/>
    </xf>
    <xf numFmtId="49" fontId="26" fillId="0" borderId="48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left" vertical="center"/>
    </xf>
    <xf numFmtId="49" fontId="26" fillId="0" borderId="44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/>
    </xf>
    <xf numFmtId="49" fontId="27" fillId="0" borderId="20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164" fontId="29" fillId="0" borderId="0" xfId="98" applyNumberFormat="1" applyFont="1" applyFill="1" applyBorder="1" applyAlignment="1" applyProtection="1">
      <alignment horizontal="left" vertical="center"/>
      <protection/>
    </xf>
    <xf numFmtId="164" fontId="31" fillId="0" borderId="0" xfId="98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42" fillId="0" borderId="0" xfId="94" applyFont="1" applyBorder="1" applyAlignment="1">
      <alignment horizontal="right" vertical="center"/>
      <protection/>
    </xf>
    <xf numFmtId="0" fontId="43" fillId="0" borderId="0" xfId="94" applyFont="1" applyBorder="1" applyAlignment="1">
      <alignment horizontal="center" vertical="center"/>
      <protection/>
    </xf>
    <xf numFmtId="0" fontId="44" fillId="0" borderId="60" xfId="94" applyFont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left" vertical="center" wrapText="1"/>
    </xf>
    <xf numFmtId="0" fontId="26" fillId="0" borderId="197" xfId="0" applyFont="1" applyBorder="1" applyAlignment="1">
      <alignment horizontal="left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97" xfId="0" applyFont="1" applyFill="1" applyBorder="1" applyAlignment="1">
      <alignment horizontal="left" vertical="center" wrapText="1"/>
    </xf>
    <xf numFmtId="0" fontId="26" fillId="0" borderId="81" xfId="0" applyFont="1" applyBorder="1" applyAlignment="1">
      <alignment horizontal="left" wrapText="1"/>
    </xf>
    <xf numFmtId="0" fontId="26" fillId="0" borderId="101" xfId="0" applyFont="1" applyBorder="1" applyAlignment="1">
      <alignment wrapText="1"/>
    </xf>
    <xf numFmtId="0" fontId="26" fillId="0" borderId="26" xfId="0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7" fillId="0" borderId="198" xfId="0" applyFont="1" applyFill="1" applyBorder="1" applyAlignment="1">
      <alignment horizontal="center" vertical="center" wrapText="1"/>
    </xf>
    <xf numFmtId="0" fontId="27" fillId="0" borderId="199" xfId="0" applyFont="1" applyFill="1" applyBorder="1" applyAlignment="1">
      <alignment horizontal="center" vertical="center" wrapText="1"/>
    </xf>
    <xf numFmtId="0" fontId="27" fillId="0" borderId="200" xfId="0" applyFont="1" applyFill="1" applyBorder="1" applyAlignment="1">
      <alignment horizontal="center" vertical="center" wrapText="1"/>
    </xf>
    <xf numFmtId="0" fontId="27" fillId="0" borderId="201" xfId="0" applyFont="1" applyFill="1" applyBorder="1" applyAlignment="1">
      <alignment horizontal="center" vertical="center" wrapText="1"/>
    </xf>
    <xf numFmtId="0" fontId="27" fillId="0" borderId="202" xfId="0" applyFont="1" applyFill="1" applyBorder="1" applyAlignment="1">
      <alignment horizontal="center" vertical="center" wrapText="1"/>
    </xf>
    <xf numFmtId="0" fontId="27" fillId="0" borderId="15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 applyProtection="1">
      <alignment horizontal="center" vertical="center" wrapText="1"/>
      <protection/>
    </xf>
    <xf numFmtId="164" fontId="36" fillId="0" borderId="20" xfId="0" applyNumberFormat="1" applyFont="1" applyFill="1" applyBorder="1" applyAlignment="1" applyProtection="1">
      <alignment horizontal="center" vertical="center" wrapText="1"/>
      <protection/>
    </xf>
    <xf numFmtId="164" fontId="36" fillId="0" borderId="69" xfId="0" applyNumberFormat="1" applyFont="1" applyFill="1" applyBorder="1" applyAlignment="1" applyProtection="1">
      <alignment horizontal="center" vertical="center" wrapText="1"/>
      <protection/>
    </xf>
    <xf numFmtId="164" fontId="36" fillId="0" borderId="203" xfId="0" applyNumberFormat="1" applyFont="1" applyFill="1" applyBorder="1" applyAlignment="1" applyProtection="1">
      <alignment horizontal="center" vertical="center" wrapText="1"/>
      <protection/>
    </xf>
    <xf numFmtId="0" fontId="67" fillId="0" borderId="19" xfId="96" applyFont="1" applyBorder="1" applyAlignment="1">
      <alignment horizontal="center" vertical="center"/>
      <protection/>
    </xf>
    <xf numFmtId="0" fontId="67" fillId="0" borderId="20" xfId="96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64" fillId="0" borderId="0" xfId="96" applyFont="1" applyBorder="1" applyAlignment="1">
      <alignment horizontal="right" vertical="center"/>
      <protection/>
    </xf>
    <xf numFmtId="0" fontId="65" fillId="0" borderId="0" xfId="96" applyFont="1" applyBorder="1" applyAlignment="1">
      <alignment horizontal="center" vertical="center"/>
      <protection/>
    </xf>
    <xf numFmtId="165" fontId="65" fillId="0" borderId="0" xfId="96" applyNumberFormat="1" applyFont="1" applyBorder="1" applyAlignment="1">
      <alignment horizontal="center" vertical="center" wrapText="1"/>
      <protection/>
    </xf>
    <xf numFmtId="0" fontId="66" fillId="0" borderId="0" xfId="96" applyFont="1" applyBorder="1" applyAlignment="1">
      <alignment horizontal="center" vertical="center"/>
      <protection/>
    </xf>
    <xf numFmtId="0" fontId="67" fillId="0" borderId="22" xfId="96" applyFont="1" applyBorder="1" applyAlignment="1">
      <alignment horizontal="center" vertical="center" wrapText="1"/>
      <protection/>
    </xf>
    <xf numFmtId="0" fontId="67" fillId="0" borderId="73" xfId="96" applyFont="1" applyFill="1" applyBorder="1" applyAlignment="1">
      <alignment horizontal="center" vertical="center" wrapText="1"/>
      <protection/>
    </xf>
    <xf numFmtId="0" fontId="67" fillId="0" borderId="27" xfId="96" applyFont="1" applyFill="1" applyBorder="1" applyAlignment="1">
      <alignment horizontal="center" vertical="center" wrapText="1"/>
      <protection/>
    </xf>
    <xf numFmtId="0" fontId="66" fillId="0" borderId="27" xfId="96" applyFont="1" applyBorder="1" applyAlignment="1">
      <alignment horizontal="center" vertical="center" wrapText="1"/>
      <protection/>
    </xf>
    <xf numFmtId="0" fontId="108" fillId="0" borderId="0" xfId="96" applyFont="1" applyAlignment="1">
      <alignment horizontal="right" vertical="center"/>
      <protection/>
    </xf>
    <xf numFmtId="0" fontId="77" fillId="0" borderId="60" xfId="97" applyFont="1" applyBorder="1" applyAlignment="1">
      <alignment horizontal="center" vertical="center" wrapText="1"/>
      <protection/>
    </xf>
    <xf numFmtId="166" fontId="75" fillId="0" borderId="21" xfId="97" applyNumberFormat="1" applyFont="1" applyBorder="1" applyAlignment="1">
      <alignment horizontal="left" wrapText="1"/>
      <protection/>
    </xf>
    <xf numFmtId="0" fontId="75" fillId="0" borderId="21" xfId="97" applyFont="1" applyFill="1" applyBorder="1" applyAlignment="1">
      <alignment horizontal="left"/>
      <protection/>
    </xf>
    <xf numFmtId="166" fontId="75" fillId="0" borderId="21" xfId="97" applyNumberFormat="1" applyFont="1" applyBorder="1" applyAlignment="1">
      <alignment horizontal="left" vertical="center" wrapText="1"/>
      <protection/>
    </xf>
    <xf numFmtId="0" fontId="14" fillId="0" borderId="19" xfId="94" applyFont="1" applyBorder="1" applyAlignment="1">
      <alignment/>
      <protection/>
    </xf>
    <xf numFmtId="0" fontId="0" fillId="0" borderId="20" xfId="0" applyBorder="1" applyAlignment="1">
      <alignment/>
    </xf>
    <xf numFmtId="3" fontId="46" fillId="0" borderId="0" xfId="94" applyNumberFormat="1" applyFont="1" applyBorder="1" applyAlignment="1">
      <alignment horizontal="right"/>
      <protection/>
    </xf>
    <xf numFmtId="0" fontId="72" fillId="0" borderId="0" xfId="94" applyFont="1" applyBorder="1" applyAlignment="1">
      <alignment horizontal="center"/>
      <protection/>
    </xf>
    <xf numFmtId="0" fontId="73" fillId="0" borderId="0" xfId="94" applyFont="1" applyBorder="1" applyAlignment="1">
      <alignment horizontal="center"/>
      <protection/>
    </xf>
    <xf numFmtId="0" fontId="15" fillId="0" borderId="0" xfId="94" applyFont="1" applyBorder="1" applyAlignment="1">
      <alignment horizontal="center"/>
      <protection/>
    </xf>
    <xf numFmtId="166" fontId="75" fillId="0" borderId="67" xfId="97" applyNumberFormat="1" applyFont="1" applyBorder="1" applyAlignment="1">
      <alignment horizontal="left" vertical="center" wrapText="1"/>
      <protection/>
    </xf>
    <xf numFmtId="166" fontId="75" fillId="0" borderId="69" xfId="97" applyNumberFormat="1" applyFont="1" applyBorder="1" applyAlignment="1">
      <alignment horizontal="left" vertical="center" wrapText="1"/>
      <protection/>
    </xf>
    <xf numFmtId="166" fontId="74" fillId="0" borderId="20" xfId="97" applyNumberFormat="1" applyFont="1" applyBorder="1" applyAlignment="1">
      <alignment horizontal="center" vertical="center" wrapText="1"/>
      <protection/>
    </xf>
    <xf numFmtId="0" fontId="75" fillId="0" borderId="21" xfId="97" applyFont="1" applyFill="1" applyBorder="1" applyAlignment="1">
      <alignment horizontal="left" vertical="center" wrapText="1"/>
      <protection/>
    </xf>
    <xf numFmtId="3" fontId="74" fillId="0" borderId="19" xfId="97" applyNumberFormat="1" applyFont="1" applyBorder="1" applyAlignment="1">
      <alignment horizontal="center" vertical="center" wrapText="1"/>
      <protection/>
    </xf>
    <xf numFmtId="3" fontId="74" fillId="0" borderId="20" xfId="97" applyNumberFormat="1" applyFont="1" applyBorder="1" applyAlignment="1">
      <alignment horizontal="center" vertical="center" wrapText="1"/>
      <protection/>
    </xf>
    <xf numFmtId="3" fontId="74" fillId="0" borderId="69" xfId="97" applyNumberFormat="1" applyFont="1" applyBorder="1" applyAlignment="1">
      <alignment horizontal="center" vertical="center" wrapText="1"/>
      <protection/>
    </xf>
    <xf numFmtId="0" fontId="81" fillId="11" borderId="204" xfId="94" applyFont="1" applyFill="1" applyBorder="1" applyAlignment="1">
      <alignment horizontal="center" vertical="center" wrapText="1"/>
      <protection/>
    </xf>
    <xf numFmtId="0" fontId="58" fillId="11" borderId="205" xfId="94" applyFont="1" applyFill="1" applyBorder="1" applyAlignment="1">
      <alignment horizontal="center" vertical="center" wrapText="1"/>
      <protection/>
    </xf>
    <xf numFmtId="0" fontId="78" fillId="0" borderId="0" xfId="94" applyFont="1" applyBorder="1" applyAlignment="1">
      <alignment horizontal="center" vertical="center" wrapText="1"/>
      <protection/>
    </xf>
    <xf numFmtId="3" fontId="81" fillId="11" borderId="65" xfId="94" applyNumberFormat="1" applyFont="1" applyFill="1" applyBorder="1" applyAlignment="1">
      <alignment horizontal="center" vertical="center" wrapText="1"/>
      <protection/>
    </xf>
    <xf numFmtId="3" fontId="81" fillId="11" borderId="55" xfId="94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3" fontId="81" fillId="11" borderId="93" xfId="94" applyNumberFormat="1" applyFont="1" applyFill="1" applyBorder="1" applyAlignment="1">
      <alignment horizontal="center" vertical="center" wrapText="1"/>
      <protection/>
    </xf>
    <xf numFmtId="3" fontId="81" fillId="11" borderId="0" xfId="94" applyNumberFormat="1" applyFont="1" applyFill="1" applyBorder="1" applyAlignment="1">
      <alignment horizontal="center" vertical="center" wrapText="1"/>
      <protection/>
    </xf>
    <xf numFmtId="0" fontId="0" fillId="0" borderId="92" xfId="0" applyBorder="1" applyAlignment="1">
      <alignment horizontal="center" vertical="center" wrapText="1"/>
    </xf>
    <xf numFmtId="3" fontId="81" fillId="11" borderId="206" xfId="94" applyNumberFormat="1" applyFont="1" applyFill="1" applyBorder="1" applyAlignment="1">
      <alignment horizontal="center" vertical="center" wrapText="1"/>
      <protection/>
    </xf>
    <xf numFmtId="3" fontId="81" fillId="11" borderId="141" xfId="94" applyNumberFormat="1" applyFont="1" applyFill="1" applyBorder="1" applyAlignment="1">
      <alignment horizontal="center" vertical="center" wrapText="1"/>
      <protection/>
    </xf>
    <xf numFmtId="0" fontId="0" fillId="0" borderId="207" xfId="0" applyBorder="1" applyAlignment="1">
      <alignment horizontal="center" vertical="center" wrapText="1"/>
    </xf>
    <xf numFmtId="3" fontId="81" fillId="11" borderId="208" xfId="94" applyNumberFormat="1" applyFont="1" applyFill="1" applyBorder="1" applyAlignment="1">
      <alignment horizontal="center" vertical="center" wrapText="1"/>
      <protection/>
    </xf>
    <xf numFmtId="3" fontId="81" fillId="11" borderId="209" xfId="94" applyNumberFormat="1" applyFont="1" applyFill="1" applyBorder="1" applyAlignment="1">
      <alignment horizontal="center" vertical="center" wrapText="1"/>
      <protection/>
    </xf>
    <xf numFmtId="3" fontId="81" fillId="11" borderId="210" xfId="94" applyNumberFormat="1" applyFont="1" applyFill="1" applyBorder="1" applyAlignment="1">
      <alignment horizontal="center" vertical="center" wrapText="1"/>
      <protection/>
    </xf>
    <xf numFmtId="3" fontId="81" fillId="11" borderId="211" xfId="94" applyNumberFormat="1" applyFont="1" applyFill="1" applyBorder="1" applyAlignment="1">
      <alignment horizontal="center" vertical="center" wrapText="1"/>
      <protection/>
    </xf>
    <xf numFmtId="3" fontId="81" fillId="11" borderId="212" xfId="94" applyNumberFormat="1" applyFont="1" applyFill="1" applyBorder="1" applyAlignment="1">
      <alignment horizontal="center" vertical="center" wrapText="1"/>
      <protection/>
    </xf>
    <xf numFmtId="3" fontId="81" fillId="11" borderId="146" xfId="94" applyNumberFormat="1" applyFont="1" applyFill="1" applyBorder="1" applyAlignment="1">
      <alignment horizontal="center" vertical="center" wrapText="1"/>
      <protection/>
    </xf>
    <xf numFmtId="3" fontId="81" fillId="11" borderId="84" xfId="94" applyNumberFormat="1" applyFont="1" applyFill="1" applyBorder="1" applyAlignment="1">
      <alignment horizontal="center" vertical="center" wrapText="1"/>
      <protection/>
    </xf>
    <xf numFmtId="3" fontId="81" fillId="11" borderId="92" xfId="94" applyNumberFormat="1" applyFont="1" applyFill="1" applyBorder="1" applyAlignment="1">
      <alignment horizontal="center" vertical="center" wrapText="1"/>
      <protection/>
    </xf>
    <xf numFmtId="3" fontId="81" fillId="11" borderId="207" xfId="94" applyNumberFormat="1" applyFont="1" applyFill="1" applyBorder="1" applyAlignment="1">
      <alignment horizontal="center" vertical="center" wrapText="1"/>
      <protection/>
    </xf>
    <xf numFmtId="0" fontId="0" fillId="0" borderId="9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213" xfId="0" applyBorder="1" applyAlignment="1">
      <alignment vertical="center"/>
    </xf>
    <xf numFmtId="3" fontId="46" fillId="0" borderId="0" xfId="94" applyNumberFormat="1" applyFont="1" applyBorder="1" applyAlignment="1">
      <alignment horizontal="right" vertical="center"/>
      <protection/>
    </xf>
    <xf numFmtId="0" fontId="79" fillId="0" borderId="0" xfId="94" applyFont="1" applyFill="1" applyBorder="1" applyAlignment="1">
      <alignment horizontal="center" vertical="center"/>
      <protection/>
    </xf>
    <xf numFmtId="0" fontId="76" fillId="0" borderId="0" xfId="94" applyFont="1" applyBorder="1" applyAlignment="1">
      <alignment horizontal="center" vertical="center"/>
      <protection/>
    </xf>
    <xf numFmtId="0" fontId="79" fillId="49" borderId="29" xfId="94" applyFont="1" applyFill="1" applyBorder="1" applyAlignment="1">
      <alignment horizontal="center" vertical="center"/>
      <protection/>
    </xf>
    <xf numFmtId="0" fontId="79" fillId="49" borderId="28" xfId="94" applyFont="1" applyFill="1" applyBorder="1" applyAlignment="1">
      <alignment horizontal="center" vertical="center" wrapText="1"/>
      <protection/>
    </xf>
    <xf numFmtId="0" fontId="79" fillId="49" borderId="34" xfId="94" applyFont="1" applyFill="1" applyBorder="1" applyAlignment="1">
      <alignment horizontal="center" vertical="center" wrapText="1"/>
      <protection/>
    </xf>
    <xf numFmtId="0" fontId="79" fillId="49" borderId="35" xfId="94" applyFont="1" applyFill="1" applyBorder="1" applyAlignment="1">
      <alignment horizontal="center" vertical="center"/>
      <protection/>
    </xf>
    <xf numFmtId="0" fontId="79" fillId="49" borderId="71" xfId="94" applyFont="1" applyFill="1" applyBorder="1" applyAlignment="1">
      <alignment horizontal="center" vertical="center"/>
      <protection/>
    </xf>
    <xf numFmtId="0" fontId="79" fillId="49" borderId="32" xfId="94" applyFont="1" applyFill="1" applyBorder="1" applyAlignment="1">
      <alignment horizontal="center" vertical="center"/>
      <protection/>
    </xf>
    <xf numFmtId="0" fontId="79" fillId="49" borderId="62" xfId="94" applyFont="1" applyFill="1" applyBorder="1" applyAlignment="1">
      <alignment horizontal="center" vertical="center"/>
      <protection/>
    </xf>
    <xf numFmtId="0" fontId="79" fillId="49" borderId="73" xfId="94" applyFont="1" applyFill="1" applyBorder="1" applyAlignment="1">
      <alignment horizontal="center" vertical="center"/>
      <protection/>
    </xf>
    <xf numFmtId="0" fontId="79" fillId="49" borderId="49" xfId="94" applyFont="1" applyFill="1" applyBorder="1" applyAlignment="1">
      <alignment horizontal="center" vertical="center"/>
      <protection/>
    </xf>
    <xf numFmtId="0" fontId="84" fillId="0" borderId="0" xfId="94" applyFont="1" applyBorder="1" applyAlignment="1">
      <alignment horizontal="right"/>
      <protection/>
    </xf>
    <xf numFmtId="0" fontId="85" fillId="0" borderId="0" xfId="94" applyFont="1" applyBorder="1" applyAlignment="1">
      <alignment horizontal="center"/>
      <protection/>
    </xf>
    <xf numFmtId="0" fontId="79" fillId="0" borderId="0" xfId="94" applyFont="1" applyBorder="1" applyAlignment="1">
      <alignment horizontal="center"/>
      <protection/>
    </xf>
    <xf numFmtId="0" fontId="86" fillId="0" borderId="0" xfId="94" applyFont="1" applyBorder="1" applyAlignment="1">
      <alignment horizontal="center"/>
      <protection/>
    </xf>
    <xf numFmtId="0" fontId="86" fillId="0" borderId="0" xfId="94" applyFont="1" applyBorder="1" applyAlignment="1">
      <alignment horizontal="center" wrapText="1"/>
      <protection/>
    </xf>
    <xf numFmtId="0" fontId="79" fillId="0" borderId="0" xfId="94" applyFont="1" applyBorder="1" applyAlignment="1">
      <alignment horizontal="left"/>
      <protection/>
    </xf>
    <xf numFmtId="0" fontId="45" fillId="0" borderId="0" xfId="94" applyFont="1" applyBorder="1" applyAlignment="1">
      <alignment horizontal="center" vertical="center"/>
      <protection/>
    </xf>
    <xf numFmtId="0" fontId="86" fillId="0" borderId="0" xfId="94" applyFont="1" applyBorder="1" applyAlignment="1">
      <alignment horizontal="center" vertical="center"/>
      <protection/>
    </xf>
    <xf numFmtId="0" fontId="79" fillId="35" borderId="22" xfId="94" applyFont="1" applyFill="1" applyBorder="1" applyAlignment="1">
      <alignment horizontal="center" vertical="center"/>
      <protection/>
    </xf>
    <xf numFmtId="0" fontId="79" fillId="35" borderId="23" xfId="94" applyFont="1" applyFill="1" applyBorder="1" applyAlignment="1">
      <alignment horizontal="center" vertical="center"/>
      <protection/>
    </xf>
    <xf numFmtId="0" fontId="79" fillId="35" borderId="24" xfId="94" applyFont="1" applyFill="1" applyBorder="1" applyAlignment="1">
      <alignment horizontal="center" vertical="center"/>
      <protection/>
    </xf>
    <xf numFmtId="3" fontId="79" fillId="35" borderId="22" xfId="94" applyNumberFormat="1" applyFont="1" applyFill="1" applyBorder="1" applyAlignment="1">
      <alignment horizontal="center" vertical="center"/>
      <protection/>
    </xf>
    <xf numFmtId="3" fontId="79" fillId="35" borderId="23" xfId="94" applyNumberFormat="1" applyFont="1" applyFill="1" applyBorder="1" applyAlignment="1">
      <alignment horizontal="center" vertical="center"/>
      <protection/>
    </xf>
    <xf numFmtId="3" fontId="79" fillId="35" borderId="24" xfId="94" applyNumberFormat="1" applyFont="1" applyFill="1" applyBorder="1" applyAlignment="1">
      <alignment horizontal="center" vertical="center"/>
      <protection/>
    </xf>
    <xf numFmtId="0" fontId="79" fillId="0" borderId="22" xfId="94" applyFont="1" applyBorder="1" applyAlignment="1">
      <alignment horizontal="center" vertical="center"/>
      <protection/>
    </xf>
    <xf numFmtId="0" fontId="79" fillId="0" borderId="19" xfId="94" applyFont="1" applyBorder="1" applyAlignment="1">
      <alignment horizontal="center" vertical="center"/>
      <protection/>
    </xf>
    <xf numFmtId="3" fontId="103" fillId="35" borderId="21" xfId="94" applyNumberFormat="1" applyFont="1" applyFill="1" applyBorder="1" applyAlignment="1">
      <alignment horizontal="center" vertical="center"/>
      <protection/>
    </xf>
    <xf numFmtId="3" fontId="103" fillId="35" borderId="20" xfId="94" applyNumberFormat="1" applyFont="1" applyFill="1" applyBorder="1" applyAlignment="1">
      <alignment horizontal="center" vertical="center"/>
      <protection/>
    </xf>
    <xf numFmtId="0" fontId="103" fillId="35" borderId="19" xfId="94" applyFont="1" applyFill="1" applyBorder="1" applyAlignment="1">
      <alignment horizontal="center" vertical="center"/>
      <protection/>
    </xf>
    <xf numFmtId="0" fontId="103" fillId="35" borderId="20" xfId="94" applyFont="1" applyFill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46" fillId="0" borderId="0" xfId="95" applyFont="1" applyAlignment="1">
      <alignment horizontal="center"/>
      <protection/>
    </xf>
    <xf numFmtId="0" fontId="89" fillId="0" borderId="0" xfId="95" applyFont="1" applyBorder="1" applyAlignment="1">
      <alignment horizontal="center"/>
      <protection/>
    </xf>
    <xf numFmtId="0" fontId="79" fillId="0" borderId="0" xfId="95" applyFont="1" applyBorder="1" applyAlignment="1">
      <alignment horizontal="center"/>
      <protection/>
    </xf>
    <xf numFmtId="0" fontId="27" fillId="0" borderId="120" xfId="95" applyFont="1" applyFill="1" applyBorder="1" applyAlignment="1">
      <alignment horizontal="center" vertical="center"/>
      <protection/>
    </xf>
    <xf numFmtId="0" fontId="27" fillId="0" borderId="185" xfId="95" applyFont="1" applyFill="1" applyBorder="1" applyAlignment="1">
      <alignment horizontal="center" vertical="center"/>
      <protection/>
    </xf>
    <xf numFmtId="3" fontId="39" fillId="0" borderId="24" xfId="99" applyNumberFormat="1" applyFont="1" applyFill="1" applyBorder="1" applyAlignment="1" applyProtection="1">
      <alignment horizontal="left" vertical="center" indent="1"/>
      <protection/>
    </xf>
    <xf numFmtId="3" fontId="91" fillId="0" borderId="0" xfId="99" applyNumberFormat="1" applyFont="1" applyFill="1" applyBorder="1" applyAlignment="1" applyProtection="1">
      <alignment horizontal="center"/>
      <protection locked="0"/>
    </xf>
    <xf numFmtId="3" fontId="31" fillId="0" borderId="0" xfId="99" applyNumberFormat="1" applyFont="1" applyFill="1" applyBorder="1" applyAlignment="1" applyProtection="1">
      <alignment horizontal="center" wrapText="1"/>
      <protection/>
    </xf>
    <xf numFmtId="0" fontId="25" fillId="0" borderId="60" xfId="0" applyFont="1" applyBorder="1" applyAlignment="1">
      <alignment horizontal="center" vertical="center" wrapText="1"/>
    </xf>
    <xf numFmtId="0" fontId="31" fillId="0" borderId="22" xfId="98" applyFont="1" applyFill="1" applyBorder="1" applyAlignment="1" applyProtection="1">
      <alignment horizontal="left" vertical="center"/>
      <protection/>
    </xf>
    <xf numFmtId="0" fontId="92" fillId="0" borderId="214" xfId="98" applyFont="1" applyFill="1" applyBorder="1" applyAlignment="1">
      <alignment horizontal="justify" vertical="center" wrapText="1"/>
      <protection/>
    </xf>
    <xf numFmtId="0" fontId="92" fillId="0" borderId="215" xfId="98" applyFont="1" applyFill="1" applyBorder="1" applyAlignment="1">
      <alignment horizontal="justify" vertical="center" wrapText="1"/>
      <protection/>
    </xf>
    <xf numFmtId="164" fontId="92" fillId="0" borderId="0" xfId="98" applyNumberFormat="1" applyFont="1" applyFill="1" applyBorder="1" applyAlignment="1" applyProtection="1">
      <alignment horizontal="center" vertical="center" wrapText="1"/>
      <protection/>
    </xf>
    <xf numFmtId="3" fontId="1" fillId="0" borderId="78" xfId="92" applyNumberFormat="1" applyFont="1" applyFill="1" applyBorder="1" applyAlignment="1">
      <alignment horizontal="center"/>
      <protection/>
    </xf>
    <xf numFmtId="0" fontId="107" fillId="0" borderId="60" xfId="92" applyFont="1" applyFill="1" applyBorder="1" applyAlignment="1">
      <alignment horizontal="right"/>
      <protection/>
    </xf>
    <xf numFmtId="0" fontId="81" fillId="0" borderId="0" xfId="92" applyFont="1" applyFill="1" applyBorder="1" applyAlignment="1" applyProtection="1">
      <alignment horizontal="center" vertical="center" wrapText="1"/>
      <protection/>
    </xf>
    <xf numFmtId="0" fontId="93" fillId="0" borderId="0" xfId="92" applyFont="1" applyFill="1" applyBorder="1" applyAlignment="1">
      <alignment horizontal="right" vertical="center"/>
      <protection/>
    </xf>
    <xf numFmtId="3" fontId="110" fillId="0" borderId="29" xfId="93" applyNumberFormat="1" applyFont="1" applyFill="1" applyBorder="1" applyAlignment="1">
      <alignment horizontal="center" vertical="center"/>
      <protection/>
    </xf>
    <xf numFmtId="3" fontId="110" fillId="0" borderId="197" xfId="93" applyNumberFormat="1" applyFont="1" applyFill="1" applyBorder="1" applyAlignment="1">
      <alignment horizontal="center" vertical="center"/>
      <protection/>
    </xf>
    <xf numFmtId="3" fontId="109" fillId="0" borderId="0" xfId="93" applyNumberFormat="1" applyFont="1" applyFill="1" applyBorder="1" applyAlignment="1">
      <alignment horizontal="center" vertical="center"/>
      <protection/>
    </xf>
    <xf numFmtId="3" fontId="110" fillId="0" borderId="22" xfId="93" applyNumberFormat="1" applyFont="1" applyFill="1" applyBorder="1" applyAlignment="1">
      <alignment horizontal="center" vertical="center" wrapText="1"/>
      <protection/>
    </xf>
    <xf numFmtId="3" fontId="42" fillId="0" borderId="0" xfId="93" applyNumberFormat="1" applyFont="1" applyBorder="1" applyAlignment="1">
      <alignment horizontal="center" vertical="center"/>
      <protection/>
    </xf>
    <xf numFmtId="3" fontId="72" fillId="0" borderId="0" xfId="93" applyNumberFormat="1" applyFont="1" applyBorder="1" applyAlignment="1">
      <alignment horizontal="center" vertical="center"/>
      <protection/>
    </xf>
    <xf numFmtId="0" fontId="109" fillId="0" borderId="0" xfId="93" applyNumberFormat="1" applyFont="1" applyBorder="1" applyAlignment="1">
      <alignment horizontal="center" vertical="center"/>
      <protection/>
    </xf>
    <xf numFmtId="3" fontId="109" fillId="0" borderId="0" xfId="93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right"/>
    </xf>
    <xf numFmtId="0" fontId="109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</cellXfs>
  <cellStyles count="9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_1_-_II_Tajekoztato_tablak" xfId="92"/>
    <cellStyle name="Normál_1_-_II_Tajekoztato_tablak 2" xfId="93"/>
    <cellStyle name="Normál_2007. év költségvetés terv 1.mellékletek" xfId="94"/>
    <cellStyle name="Normál_2007. év költségvetés terv 1.mellékletek 2" xfId="95"/>
    <cellStyle name="Normál_2008. év költségvetés terv 1. sz. melléklet" xfId="96"/>
    <cellStyle name="Normál_Dologi kiadás" xfId="97"/>
    <cellStyle name="Normál_KVRENMUNKA" xfId="98"/>
    <cellStyle name="Normál_SEGEDLETEK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Reni\2016\D&#233;nesfa\K&#246;lts&#233;gvet&#233;s\Rendelet\M&#225;solat%20eredetijeD&#233;nesfa%202016%20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 .sz.m. Létszám"/>
      <sheetName val="6.sz.m.Dologi kiadás"/>
      <sheetName val="7.sz.m.szociális kiadások"/>
      <sheetName val="8.sz.m.átadott pe"/>
      <sheetName val="9. saját bevételek"/>
      <sheetName val="10. sz.m. előir felh terv"/>
      <sheetName val="11.sz.m. állami támogatás "/>
      <sheetName val="12. sz.m. közvetett tám."/>
      <sheetName val="üres lap"/>
      <sheetName val="üres lap2"/>
      <sheetName val="üres lap3"/>
      <sheetName val="üres lap4"/>
      <sheetName val="üres lap5"/>
      <sheetName val="üres lap6"/>
    </sheetNames>
    <sheetDataSet>
      <sheetData sheetId="0">
        <row r="59">
          <cell r="G59">
            <v>0</v>
          </cell>
          <cell r="H59" t="e">
            <v>#DIV/0!</v>
          </cell>
          <cell r="I59">
            <v>0</v>
          </cell>
          <cell r="J59">
            <v>0</v>
          </cell>
          <cell r="K59">
            <v>41639216</v>
          </cell>
          <cell r="N59" t="e">
            <v>#DIV/0!</v>
          </cell>
          <cell r="O59">
            <v>0</v>
          </cell>
          <cell r="P59">
            <v>0</v>
          </cell>
          <cell r="Q59">
            <v>2886422</v>
          </cell>
          <cell r="R59">
            <v>0</v>
          </cell>
          <cell r="U59" t="e">
            <v>#REF!</v>
          </cell>
          <cell r="V59" t="e">
            <v>#REF!</v>
          </cell>
        </row>
        <row r="61">
          <cell r="H6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zoomScale="70" zoomScaleNormal="70" zoomScalePageLayoutView="0" workbookViewId="0" topLeftCell="A16">
      <selection activeCell="M69" sqref="M69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17.57421875" style="3" customWidth="1"/>
    <col min="7" max="11" width="0" style="3" hidden="1" customWidth="1"/>
    <col min="12" max="13" width="14.8515625" style="3" customWidth="1"/>
    <col min="14" max="14" width="16.421875" style="4" customWidth="1"/>
    <col min="15" max="19" width="0" style="4" hidden="1" customWidth="1"/>
    <col min="20" max="21" width="18.00390625" style="4" customWidth="1"/>
    <col min="22" max="22" width="15.421875" style="5" customWidth="1"/>
    <col min="23" max="25" width="0" style="4" hidden="1" customWidth="1"/>
    <col min="26" max="27" width="0" style="5" hidden="1" customWidth="1"/>
    <col min="28" max="29" width="17.28125" style="5" customWidth="1"/>
    <col min="30" max="30" width="11.7109375" style="5" customWidth="1"/>
    <col min="31" max="31" width="10.28125" style="5" bestFit="1" customWidth="1"/>
    <col min="32" max="16384" width="9.140625" style="5" customWidth="1"/>
  </cols>
  <sheetData>
    <row r="1" spans="1:22" ht="12.75">
      <c r="A1" s="6"/>
      <c r="B1" s="6"/>
      <c r="C1" s="6"/>
      <c r="D1" s="7"/>
      <c r="E1" s="7"/>
      <c r="V1" s="8" t="s">
        <v>0</v>
      </c>
    </row>
    <row r="2" spans="1:25" s="11" customFormat="1" ht="34.5" customHeight="1">
      <c r="A2" s="1427" t="s">
        <v>599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1427"/>
      <c r="R2" s="1427"/>
      <c r="S2" s="1427"/>
      <c r="T2" s="1427"/>
      <c r="U2" s="1427"/>
      <c r="V2" s="1427"/>
      <c r="W2" s="9"/>
      <c r="X2" s="10"/>
      <c r="Y2" s="10"/>
    </row>
    <row r="3" spans="1:22" ht="13.5" thickBot="1">
      <c r="A3" s="12"/>
      <c r="B3" s="12"/>
      <c r="C3" s="12"/>
      <c r="D3" s="13"/>
      <c r="E3" s="14"/>
      <c r="N3" s="15"/>
      <c r="O3" s="15"/>
      <c r="P3" s="15"/>
      <c r="Q3" s="15"/>
      <c r="R3" s="15"/>
      <c r="S3" s="15"/>
      <c r="T3" s="15"/>
      <c r="U3" s="15"/>
      <c r="V3" s="16" t="s">
        <v>481</v>
      </c>
    </row>
    <row r="4" spans="1:30" ht="45.75" customHeight="1" thickBot="1">
      <c r="A4" s="1428" t="s">
        <v>2</v>
      </c>
      <c r="B4" s="1428"/>
      <c r="C4" s="1428"/>
      <c r="D4" s="18" t="s">
        <v>3</v>
      </c>
      <c r="E4" s="19" t="s">
        <v>4</v>
      </c>
      <c r="F4" s="1433" t="s">
        <v>5</v>
      </c>
      <c r="G4" s="1434"/>
      <c r="H4" s="1434"/>
      <c r="I4" s="1434"/>
      <c r="J4" s="1434"/>
      <c r="K4" s="1434"/>
      <c r="L4" s="1434"/>
      <c r="M4" s="1435"/>
      <c r="N4" s="1433" t="s">
        <v>6</v>
      </c>
      <c r="O4" s="1434"/>
      <c r="P4" s="1434"/>
      <c r="Q4" s="1434"/>
      <c r="R4" s="1434"/>
      <c r="S4" s="1434"/>
      <c r="T4" s="1434"/>
      <c r="U4" s="1435"/>
      <c r="V4" s="1433" t="s">
        <v>7</v>
      </c>
      <c r="W4" s="1434"/>
      <c r="X4" s="1434"/>
      <c r="Y4" s="1434"/>
      <c r="Z4" s="1434"/>
      <c r="AA4" s="1434"/>
      <c r="AB4" s="1434"/>
      <c r="AC4" s="1435"/>
      <c r="AD4" s="1196" t="s">
        <v>8</v>
      </c>
    </row>
    <row r="5" spans="1:30" ht="36.75" customHeight="1" thickBot="1">
      <c r="A5" s="17"/>
      <c r="B5" s="20"/>
      <c r="C5" s="20"/>
      <c r="D5" s="18"/>
      <c r="E5" s="19"/>
      <c r="F5" s="21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22" t="s">
        <v>143</v>
      </c>
      <c r="M5" s="23" t="s">
        <v>144</v>
      </c>
      <c r="N5" s="21" t="s">
        <v>9</v>
      </c>
      <c r="O5" s="22" t="s">
        <v>10</v>
      </c>
      <c r="P5" s="22" t="s">
        <v>11</v>
      </c>
      <c r="Q5" s="22" t="s">
        <v>12</v>
      </c>
      <c r="R5" s="22" t="s">
        <v>13</v>
      </c>
      <c r="S5" s="22" t="s">
        <v>14</v>
      </c>
      <c r="T5" s="22" t="s">
        <v>143</v>
      </c>
      <c r="U5" s="23" t="s">
        <v>144</v>
      </c>
      <c r="V5" s="21" t="s">
        <v>9</v>
      </c>
      <c r="W5" s="22" t="s">
        <v>10</v>
      </c>
      <c r="X5" s="22" t="s">
        <v>11</v>
      </c>
      <c r="Y5" s="22" t="s">
        <v>12</v>
      </c>
      <c r="Z5" s="22" t="s">
        <v>13</v>
      </c>
      <c r="AA5" s="22" t="s">
        <v>14</v>
      </c>
      <c r="AB5" s="22" t="s">
        <v>504</v>
      </c>
      <c r="AC5" s="23" t="s">
        <v>144</v>
      </c>
      <c r="AD5" s="23" t="s">
        <v>597</v>
      </c>
    </row>
    <row r="6" spans="1:30" s="28" customFormat="1" ht="21.75" customHeight="1" thickBot="1">
      <c r="A6" s="24"/>
      <c r="B6" s="1415"/>
      <c r="C6" s="1415"/>
      <c r="D6" s="1415"/>
      <c r="E6" s="25"/>
      <c r="F6" s="26"/>
      <c r="G6" s="27"/>
      <c r="H6" s="27"/>
      <c r="I6" s="27"/>
      <c r="J6" s="27"/>
      <c r="K6" s="27"/>
      <c r="L6" s="27"/>
      <c r="M6" s="1157"/>
      <c r="N6" s="26"/>
      <c r="O6" s="27"/>
      <c r="P6" s="27"/>
      <c r="Q6" s="27"/>
      <c r="R6" s="27"/>
      <c r="S6" s="27"/>
      <c r="T6" s="27"/>
      <c r="U6" s="1157"/>
      <c r="V6" s="26"/>
      <c r="W6" s="27"/>
      <c r="X6" s="27"/>
      <c r="Y6" s="27"/>
      <c r="Z6" s="27"/>
      <c r="AA6" s="27"/>
      <c r="AB6" s="27"/>
      <c r="AC6" s="1157"/>
      <c r="AD6" s="1157"/>
    </row>
    <row r="7" spans="1:30" s="28" customFormat="1" ht="21.75" customHeight="1" thickBot="1">
      <c r="A7" s="24" t="s">
        <v>15</v>
      </c>
      <c r="B7" s="1415" t="s">
        <v>16</v>
      </c>
      <c r="C7" s="1415"/>
      <c r="D7" s="1415"/>
      <c r="E7" s="29" t="s">
        <v>17</v>
      </c>
      <c r="F7" s="867">
        <f aca="true" t="shared" si="0" ref="F7:AD7">F8+F13+F16+F17+F20</f>
        <v>18900000</v>
      </c>
      <c r="G7" s="1197">
        <f t="shared" si="0"/>
        <v>0</v>
      </c>
      <c r="H7" s="1197">
        <f t="shared" si="0"/>
        <v>0</v>
      </c>
      <c r="I7" s="1197">
        <f t="shared" si="0"/>
        <v>0</v>
      </c>
      <c r="J7" s="1197">
        <f t="shared" si="0"/>
        <v>0</v>
      </c>
      <c r="K7" s="1197">
        <f t="shared" si="0"/>
        <v>0</v>
      </c>
      <c r="L7" s="1197">
        <f>L8+L13+L16+L17+L20</f>
        <v>18930000</v>
      </c>
      <c r="M7" s="1198">
        <f>M8+M13+M16+M17+M20</f>
        <v>18930000</v>
      </c>
      <c r="N7" s="867">
        <f t="shared" si="0"/>
        <v>15841584</v>
      </c>
      <c r="O7" s="1197">
        <f t="shared" si="0"/>
        <v>0</v>
      </c>
      <c r="P7" s="1197">
        <f t="shared" si="0"/>
        <v>0</v>
      </c>
      <c r="Q7" s="1197">
        <f t="shared" si="0"/>
        <v>0</v>
      </c>
      <c r="R7" s="1197">
        <f t="shared" si="0"/>
        <v>0</v>
      </c>
      <c r="S7" s="1197">
        <f t="shared" si="0"/>
        <v>0</v>
      </c>
      <c r="T7" s="1197">
        <f>L7-AB7</f>
        <v>15820404</v>
      </c>
      <c r="U7" s="1198">
        <f>M7-AC7</f>
        <v>15467246</v>
      </c>
      <c r="V7" s="867">
        <f t="shared" si="0"/>
        <v>3058416</v>
      </c>
      <c r="W7" s="1197">
        <f t="shared" si="0"/>
        <v>0</v>
      </c>
      <c r="X7" s="1197">
        <f t="shared" si="0"/>
        <v>0</v>
      </c>
      <c r="Y7" s="1197">
        <f t="shared" si="0"/>
        <v>0</v>
      </c>
      <c r="Z7" s="1197">
        <f t="shared" si="0"/>
        <v>0</v>
      </c>
      <c r="AA7" s="1197">
        <f t="shared" si="0"/>
        <v>0</v>
      </c>
      <c r="AB7" s="1197">
        <v>3109596</v>
      </c>
      <c r="AC7" s="1198">
        <f>AC8+AC13+AC16+AC17+AC20</f>
        <v>3462754</v>
      </c>
      <c r="AD7" s="1198">
        <f t="shared" si="0"/>
        <v>0</v>
      </c>
    </row>
    <row r="8" spans="1:30" ht="21.75" customHeight="1">
      <c r="A8" s="30"/>
      <c r="B8" s="31" t="s">
        <v>18</v>
      </c>
      <c r="C8" s="1429" t="s">
        <v>19</v>
      </c>
      <c r="D8" s="1429"/>
      <c r="E8" s="32" t="s">
        <v>20</v>
      </c>
      <c r="F8" s="868">
        <v>2000000</v>
      </c>
      <c r="G8" s="869"/>
      <c r="H8" s="869"/>
      <c r="I8" s="869"/>
      <c r="J8" s="869"/>
      <c r="K8" s="869"/>
      <c r="L8" s="869">
        <v>2000000</v>
      </c>
      <c r="M8" s="1199">
        <f>'3.sz.m Önk  bev.'!M8</f>
        <v>2000000</v>
      </c>
      <c r="N8" s="868">
        <v>2000000</v>
      </c>
      <c r="O8" s="869"/>
      <c r="P8" s="869"/>
      <c r="Q8" s="869"/>
      <c r="R8" s="869"/>
      <c r="S8" s="869"/>
      <c r="T8" s="869">
        <f aca="true" t="shared" si="1" ref="T8:U63">L8-AB8</f>
        <v>2000000</v>
      </c>
      <c r="U8" s="1199">
        <f t="shared" si="1"/>
        <v>2000000</v>
      </c>
      <c r="V8" s="868"/>
      <c r="W8" s="870"/>
      <c r="X8" s="870"/>
      <c r="Y8" s="870"/>
      <c r="Z8" s="870"/>
      <c r="AA8" s="870"/>
      <c r="AB8" s="869"/>
      <c r="AC8" s="1199"/>
      <c r="AD8" s="1199"/>
    </row>
    <row r="9" spans="1:30" ht="21.75" customHeight="1">
      <c r="A9" s="36"/>
      <c r="B9" s="37"/>
      <c r="C9" s="37" t="s">
        <v>21</v>
      </c>
      <c r="D9" s="38" t="s">
        <v>22</v>
      </c>
      <c r="E9" s="39"/>
      <c r="F9" s="871"/>
      <c r="G9" s="872"/>
      <c r="H9" s="872"/>
      <c r="I9" s="872"/>
      <c r="J9" s="872"/>
      <c r="K9" s="872"/>
      <c r="L9" s="872"/>
      <c r="M9" s="1200"/>
      <c r="N9" s="871"/>
      <c r="O9" s="872"/>
      <c r="P9" s="872"/>
      <c r="Q9" s="872"/>
      <c r="R9" s="872"/>
      <c r="S9" s="872"/>
      <c r="T9" s="872">
        <f t="shared" si="1"/>
        <v>0</v>
      </c>
      <c r="U9" s="1200">
        <f t="shared" si="1"/>
        <v>0</v>
      </c>
      <c r="V9" s="871"/>
      <c r="W9" s="872"/>
      <c r="X9" s="872"/>
      <c r="Y9" s="872"/>
      <c r="Z9" s="872"/>
      <c r="AA9" s="872"/>
      <c r="AB9" s="872"/>
      <c r="AC9" s="1200"/>
      <c r="AD9" s="1200"/>
    </row>
    <row r="10" spans="1:30" ht="21.75" customHeight="1">
      <c r="A10" s="36"/>
      <c r="B10" s="37"/>
      <c r="C10" s="37" t="s">
        <v>23</v>
      </c>
      <c r="D10" s="38" t="s">
        <v>24</v>
      </c>
      <c r="E10" s="39"/>
      <c r="F10" s="871">
        <v>2000000</v>
      </c>
      <c r="G10" s="872"/>
      <c r="H10" s="872"/>
      <c r="I10" s="872"/>
      <c r="J10" s="872"/>
      <c r="K10" s="872"/>
      <c r="L10" s="872">
        <v>2000000</v>
      </c>
      <c r="M10" s="1200">
        <f>'3.sz.m Önk  bev.'!M10</f>
        <v>2000000</v>
      </c>
      <c r="N10" s="871">
        <v>2000000</v>
      </c>
      <c r="O10" s="872"/>
      <c r="P10" s="872"/>
      <c r="Q10" s="872"/>
      <c r="R10" s="872"/>
      <c r="S10" s="872"/>
      <c r="T10" s="872">
        <f t="shared" si="1"/>
        <v>2000000</v>
      </c>
      <c r="U10" s="1200">
        <f t="shared" si="1"/>
        <v>2000000</v>
      </c>
      <c r="V10" s="871"/>
      <c r="W10" s="872"/>
      <c r="X10" s="872"/>
      <c r="Y10" s="872"/>
      <c r="Z10" s="872"/>
      <c r="AA10" s="872"/>
      <c r="AB10" s="872"/>
      <c r="AC10" s="1200"/>
      <c r="AD10" s="1200"/>
    </row>
    <row r="11" spans="1:30" ht="21.75" customHeight="1">
      <c r="A11" s="36"/>
      <c r="B11" s="37"/>
      <c r="C11" s="37" t="s">
        <v>25</v>
      </c>
      <c r="D11" s="38" t="s">
        <v>26</v>
      </c>
      <c r="E11" s="39"/>
      <c r="F11" s="871"/>
      <c r="G11" s="872"/>
      <c r="H11" s="872"/>
      <c r="I11" s="872"/>
      <c r="J11" s="872"/>
      <c r="K11" s="872"/>
      <c r="L11" s="872"/>
      <c r="M11" s="1200">
        <f>'3.sz.m Önk  bev.'!M11</f>
        <v>0</v>
      </c>
      <c r="N11" s="871"/>
      <c r="O11" s="872"/>
      <c r="P11" s="872"/>
      <c r="Q11" s="872"/>
      <c r="R11" s="872"/>
      <c r="S11" s="872"/>
      <c r="T11" s="872">
        <f t="shared" si="1"/>
        <v>0</v>
      </c>
      <c r="U11" s="1200">
        <f t="shared" si="1"/>
        <v>0</v>
      </c>
      <c r="V11" s="871"/>
      <c r="W11" s="872"/>
      <c r="X11" s="872"/>
      <c r="Y11" s="872"/>
      <c r="Z11" s="872"/>
      <c r="AA11" s="872"/>
      <c r="AB11" s="872"/>
      <c r="AC11" s="1200"/>
      <c r="AD11" s="1200"/>
    </row>
    <row r="12" spans="1:39" ht="21.75" customHeight="1" hidden="1">
      <c r="A12" s="36"/>
      <c r="B12" s="37"/>
      <c r="C12" s="37"/>
      <c r="D12" s="38"/>
      <c r="E12" s="39"/>
      <c r="F12" s="871"/>
      <c r="G12" s="872"/>
      <c r="H12" s="872"/>
      <c r="I12" s="872"/>
      <c r="J12" s="872"/>
      <c r="K12" s="872"/>
      <c r="L12" s="872"/>
      <c r="M12" s="1200">
        <f>'3.sz.m Önk  bev.'!M12</f>
        <v>0</v>
      </c>
      <c r="N12" s="871"/>
      <c r="O12" s="872"/>
      <c r="P12" s="872"/>
      <c r="Q12" s="872"/>
      <c r="R12" s="872"/>
      <c r="S12" s="872"/>
      <c r="T12" s="872">
        <f t="shared" si="1"/>
        <v>0</v>
      </c>
      <c r="U12" s="1200">
        <f t="shared" si="1"/>
        <v>0</v>
      </c>
      <c r="V12" s="871"/>
      <c r="W12" s="872"/>
      <c r="X12" s="872"/>
      <c r="Y12" s="872"/>
      <c r="Z12" s="872"/>
      <c r="AA12" s="872"/>
      <c r="AB12" s="872"/>
      <c r="AC12" s="1200"/>
      <c r="AD12" s="1200"/>
      <c r="AM12" s="5" t="s">
        <v>27</v>
      </c>
    </row>
    <row r="13" spans="1:30" ht="21.75" customHeight="1">
      <c r="A13" s="36"/>
      <c r="B13" s="37" t="s">
        <v>28</v>
      </c>
      <c r="C13" s="1436" t="s">
        <v>29</v>
      </c>
      <c r="D13" s="1436"/>
      <c r="E13" s="43" t="s">
        <v>30</v>
      </c>
      <c r="F13" s="871">
        <v>15000000</v>
      </c>
      <c r="G13" s="872"/>
      <c r="H13" s="872"/>
      <c r="I13" s="872"/>
      <c r="J13" s="872"/>
      <c r="K13" s="872"/>
      <c r="L13" s="872">
        <v>15000000</v>
      </c>
      <c r="M13" s="1200">
        <f>'3.sz.m Önk  bev.'!M13</f>
        <v>15000000</v>
      </c>
      <c r="N13" s="871">
        <v>11941584</v>
      </c>
      <c r="O13" s="872"/>
      <c r="P13" s="872"/>
      <c r="Q13" s="872"/>
      <c r="R13" s="872"/>
      <c r="S13" s="872"/>
      <c r="T13" s="872">
        <v>11881744</v>
      </c>
      <c r="U13" s="1200">
        <f>SUM(U14:U15)</f>
        <v>11537246</v>
      </c>
      <c r="V13" s="871">
        <v>3058416</v>
      </c>
      <c r="W13" s="872"/>
      <c r="X13" s="872"/>
      <c r="Y13" s="872"/>
      <c r="Z13" s="872"/>
      <c r="AA13" s="872"/>
      <c r="AB13" s="872">
        <v>3109596</v>
      </c>
      <c r="AC13" s="1200">
        <f>SUM(AC14:AC15)</f>
        <v>3462754</v>
      </c>
      <c r="AD13" s="1200"/>
    </row>
    <row r="14" spans="1:30" ht="21.75" customHeight="1">
      <c r="A14" s="36"/>
      <c r="B14" s="37"/>
      <c r="C14" s="37" t="s">
        <v>31</v>
      </c>
      <c r="D14" s="42" t="s">
        <v>32</v>
      </c>
      <c r="E14" s="43"/>
      <c r="F14" s="871">
        <v>15000000</v>
      </c>
      <c r="G14" s="872"/>
      <c r="H14" s="872"/>
      <c r="I14" s="872"/>
      <c r="J14" s="872"/>
      <c r="K14" s="872"/>
      <c r="L14" s="872">
        <v>15000000</v>
      </c>
      <c r="M14" s="1200">
        <f>'3.sz.m Önk  bev.'!M14</f>
        <v>15000000</v>
      </c>
      <c r="N14" s="871">
        <v>15000000</v>
      </c>
      <c r="O14" s="872"/>
      <c r="P14" s="872"/>
      <c r="Q14" s="872"/>
      <c r="R14" s="872"/>
      <c r="S14" s="872"/>
      <c r="T14" s="872">
        <f>L14-AB14</f>
        <v>15000000</v>
      </c>
      <c r="U14" s="1200">
        <f>M14-AC14</f>
        <v>11537246</v>
      </c>
      <c r="V14" s="871"/>
      <c r="W14" s="873"/>
      <c r="X14" s="873"/>
      <c r="Y14" s="873"/>
      <c r="Z14" s="873"/>
      <c r="AA14" s="873"/>
      <c r="AB14" s="872"/>
      <c r="AC14" s="1200">
        <f>'3.sz.m Önk  bev.'!AC14</f>
        <v>3462754</v>
      </c>
      <c r="AD14" s="1200"/>
    </row>
    <row r="15" spans="1:30" ht="21.75" customHeight="1">
      <c r="A15" s="36"/>
      <c r="B15" s="37"/>
      <c r="C15" s="37" t="s">
        <v>33</v>
      </c>
      <c r="D15" s="42" t="s">
        <v>34</v>
      </c>
      <c r="E15" s="43"/>
      <c r="F15" s="871"/>
      <c r="G15" s="872"/>
      <c r="H15" s="872"/>
      <c r="I15" s="872"/>
      <c r="J15" s="872"/>
      <c r="K15" s="872"/>
      <c r="L15" s="872"/>
      <c r="M15" s="1200">
        <f>'3.sz.m Önk  bev.'!M15</f>
        <v>0</v>
      </c>
      <c r="N15" s="871"/>
      <c r="O15" s="872"/>
      <c r="P15" s="872"/>
      <c r="Q15" s="872"/>
      <c r="R15" s="872"/>
      <c r="S15" s="872"/>
      <c r="T15" s="872">
        <f t="shared" si="1"/>
        <v>0</v>
      </c>
      <c r="U15" s="1200">
        <f t="shared" si="1"/>
        <v>0</v>
      </c>
      <c r="V15" s="871"/>
      <c r="W15" s="873"/>
      <c r="X15" s="873"/>
      <c r="Y15" s="873"/>
      <c r="Z15" s="873"/>
      <c r="AA15" s="873"/>
      <c r="AB15" s="872"/>
      <c r="AC15" s="1200"/>
      <c r="AD15" s="1200"/>
    </row>
    <row r="16" spans="1:30" ht="29.25" customHeight="1">
      <c r="A16" s="36"/>
      <c r="B16" s="37" t="s">
        <v>35</v>
      </c>
      <c r="C16" s="1436" t="s">
        <v>36</v>
      </c>
      <c r="D16" s="1436"/>
      <c r="E16" s="43" t="s">
        <v>37</v>
      </c>
      <c r="F16" s="871">
        <v>1500000</v>
      </c>
      <c r="G16" s="872"/>
      <c r="H16" s="872"/>
      <c r="I16" s="874"/>
      <c r="J16" s="874"/>
      <c r="K16" s="874"/>
      <c r="L16" s="874">
        <v>1500000</v>
      </c>
      <c r="M16" s="1200">
        <f>'3.sz.m Önk  bev.'!M16</f>
        <v>1500000</v>
      </c>
      <c r="N16" s="871">
        <v>1500000</v>
      </c>
      <c r="O16" s="872"/>
      <c r="P16" s="872"/>
      <c r="Q16" s="874"/>
      <c r="R16" s="874"/>
      <c r="S16" s="874"/>
      <c r="T16" s="872">
        <f t="shared" si="1"/>
        <v>1500000</v>
      </c>
      <c r="U16" s="1200">
        <f t="shared" si="1"/>
        <v>1500000</v>
      </c>
      <c r="V16" s="871"/>
      <c r="W16" s="873"/>
      <c r="X16" s="873"/>
      <c r="Y16" s="875"/>
      <c r="Z16" s="875"/>
      <c r="AA16" s="875"/>
      <c r="AB16" s="872"/>
      <c r="AC16" s="1200"/>
      <c r="AD16" s="1200"/>
    </row>
    <row r="17" spans="1:30" ht="29.25" customHeight="1">
      <c r="A17" s="36"/>
      <c r="B17" s="37" t="s">
        <v>38</v>
      </c>
      <c r="C17" s="1430" t="s">
        <v>39</v>
      </c>
      <c r="D17" s="1430"/>
      <c r="E17" s="47" t="s">
        <v>40</v>
      </c>
      <c r="F17" s="871">
        <v>300000</v>
      </c>
      <c r="G17" s="872"/>
      <c r="H17" s="872"/>
      <c r="I17" s="874"/>
      <c r="J17" s="874"/>
      <c r="K17" s="874"/>
      <c r="L17" s="874">
        <v>300000</v>
      </c>
      <c r="M17" s="1200">
        <f>'3.sz.m Önk  bev.'!M17</f>
        <v>300000</v>
      </c>
      <c r="N17" s="871">
        <v>300000</v>
      </c>
      <c r="O17" s="872"/>
      <c r="P17" s="872"/>
      <c r="Q17" s="874"/>
      <c r="R17" s="874"/>
      <c r="S17" s="874"/>
      <c r="T17" s="872">
        <f t="shared" si="1"/>
        <v>300000</v>
      </c>
      <c r="U17" s="1200">
        <f t="shared" si="1"/>
        <v>300000</v>
      </c>
      <c r="V17" s="871"/>
      <c r="W17" s="876"/>
      <c r="X17" s="876"/>
      <c r="Y17" s="877"/>
      <c r="Z17" s="877"/>
      <c r="AA17" s="877"/>
      <c r="AB17" s="872"/>
      <c r="AC17" s="1200"/>
      <c r="AD17" s="1200"/>
    </row>
    <row r="18" spans="1:30" ht="31.5" customHeight="1">
      <c r="A18" s="36"/>
      <c r="B18" s="37"/>
      <c r="C18" s="37" t="s">
        <v>41</v>
      </c>
      <c r="D18" s="42" t="s">
        <v>42</v>
      </c>
      <c r="E18" s="43"/>
      <c r="F18" s="871"/>
      <c r="G18" s="872"/>
      <c r="H18" s="872"/>
      <c r="I18" s="874"/>
      <c r="J18" s="874"/>
      <c r="K18" s="874"/>
      <c r="L18" s="874"/>
      <c r="M18" s="1200">
        <f>'3.sz.m Önk  bev.'!M18</f>
        <v>0</v>
      </c>
      <c r="N18" s="871"/>
      <c r="O18" s="872"/>
      <c r="P18" s="872"/>
      <c r="Q18" s="874"/>
      <c r="R18" s="874"/>
      <c r="S18" s="874"/>
      <c r="T18" s="872">
        <f t="shared" si="1"/>
        <v>0</v>
      </c>
      <c r="U18" s="1200">
        <f t="shared" si="1"/>
        <v>0</v>
      </c>
      <c r="V18" s="871"/>
      <c r="W18" s="876"/>
      <c r="X18" s="876"/>
      <c r="Y18" s="877"/>
      <c r="Z18" s="877"/>
      <c r="AA18" s="877"/>
      <c r="AB18" s="872"/>
      <c r="AC18" s="1200"/>
      <c r="AD18" s="1200"/>
    </row>
    <row r="19" spans="1:30" ht="21.75" customHeight="1">
      <c r="A19" s="36"/>
      <c r="B19" s="37"/>
      <c r="C19" s="37" t="s">
        <v>43</v>
      </c>
      <c r="D19" s="42" t="s">
        <v>44</v>
      </c>
      <c r="E19" s="43"/>
      <c r="F19" s="871">
        <v>300000</v>
      </c>
      <c r="G19" s="872"/>
      <c r="H19" s="872"/>
      <c r="I19" s="874"/>
      <c r="J19" s="874"/>
      <c r="K19" s="874"/>
      <c r="L19" s="874">
        <v>300000</v>
      </c>
      <c r="M19" s="1200">
        <f>'3.sz.m Önk  bev.'!M19</f>
        <v>300000</v>
      </c>
      <c r="N19" s="871">
        <v>300000</v>
      </c>
      <c r="O19" s="872"/>
      <c r="P19" s="872"/>
      <c r="Q19" s="874"/>
      <c r="R19" s="874"/>
      <c r="S19" s="874"/>
      <c r="T19" s="872">
        <f t="shared" si="1"/>
        <v>300000</v>
      </c>
      <c r="U19" s="1200">
        <f t="shared" si="1"/>
        <v>300000</v>
      </c>
      <c r="V19" s="871"/>
      <c r="W19" s="876"/>
      <c r="X19" s="876"/>
      <c r="Y19" s="877"/>
      <c r="Z19" s="877"/>
      <c r="AA19" s="877"/>
      <c r="AB19" s="872"/>
      <c r="AC19" s="1200"/>
      <c r="AD19" s="1200"/>
    </row>
    <row r="20" spans="1:30" ht="21.75" customHeight="1" thickBot="1">
      <c r="A20" s="50"/>
      <c r="B20" s="51" t="s">
        <v>45</v>
      </c>
      <c r="C20" s="1437" t="s">
        <v>46</v>
      </c>
      <c r="D20" s="1437"/>
      <c r="E20" s="52" t="s">
        <v>47</v>
      </c>
      <c r="F20" s="871">
        <v>100000</v>
      </c>
      <c r="G20" s="878"/>
      <c r="H20" s="878"/>
      <c r="I20" s="879"/>
      <c r="J20" s="879"/>
      <c r="K20" s="879"/>
      <c r="L20" s="875">
        <v>130000</v>
      </c>
      <c r="M20" s="1200">
        <f>'3.sz.m Önk  bev.'!M20</f>
        <v>130000</v>
      </c>
      <c r="N20" s="871">
        <v>100000</v>
      </c>
      <c r="O20" s="878"/>
      <c r="P20" s="878"/>
      <c r="Q20" s="879"/>
      <c r="R20" s="879"/>
      <c r="S20" s="879"/>
      <c r="T20" s="878">
        <f t="shared" si="1"/>
        <v>130000</v>
      </c>
      <c r="U20" s="1208">
        <f t="shared" si="1"/>
        <v>130000</v>
      </c>
      <c r="V20" s="880"/>
      <c r="W20" s="876"/>
      <c r="X20" s="876"/>
      <c r="Y20" s="877"/>
      <c r="Z20" s="877"/>
      <c r="AA20" s="877"/>
      <c r="AB20" s="878"/>
      <c r="AC20" s="1208"/>
      <c r="AD20" s="1208"/>
    </row>
    <row r="21" spans="1:30" ht="21.75" customHeight="1" thickBot="1">
      <c r="A21" s="24" t="s">
        <v>48</v>
      </c>
      <c r="B21" s="1415" t="s">
        <v>49</v>
      </c>
      <c r="C21" s="1415"/>
      <c r="D21" s="1415"/>
      <c r="E21" s="25" t="s">
        <v>50</v>
      </c>
      <c r="F21" s="867">
        <f aca="true" t="shared" si="2" ref="F21:AD21">F25+F26+F27+F31+F32+F33+F34</f>
        <v>11059355</v>
      </c>
      <c r="G21" s="1197">
        <f t="shared" si="2"/>
        <v>0</v>
      </c>
      <c r="H21" s="1197">
        <f t="shared" si="2"/>
        <v>0</v>
      </c>
      <c r="I21" s="1197">
        <f t="shared" si="2"/>
        <v>0</v>
      </c>
      <c r="J21" s="1197">
        <f t="shared" si="2"/>
        <v>0</v>
      </c>
      <c r="K21" s="1197">
        <f t="shared" si="2"/>
        <v>0</v>
      </c>
      <c r="L21" s="1197">
        <f>L22+L25+L26+L27+L33+L34+L35+L23</f>
        <v>11391160</v>
      </c>
      <c r="M21" s="1198">
        <f>M22+M25+M26+M27+M33+M34+M35+M23</f>
        <v>13189917</v>
      </c>
      <c r="N21" s="867">
        <f t="shared" si="2"/>
        <v>7281675</v>
      </c>
      <c r="O21" s="1197">
        <f t="shared" si="2"/>
        <v>0</v>
      </c>
      <c r="P21" s="1197">
        <f t="shared" si="2"/>
        <v>0</v>
      </c>
      <c r="Q21" s="1197">
        <f t="shared" si="2"/>
        <v>0</v>
      </c>
      <c r="R21" s="1197">
        <f t="shared" si="2"/>
        <v>0</v>
      </c>
      <c r="S21" s="1197">
        <f t="shared" si="2"/>
        <v>0</v>
      </c>
      <c r="T21" s="1197">
        <f>T22+T25+T26+T27+T33+T34+T35+T23</f>
        <v>7613480</v>
      </c>
      <c r="U21" s="1198">
        <f>U22+U25+U26+U27+U33+U34+U35+U23</f>
        <v>9412237</v>
      </c>
      <c r="V21" s="867">
        <f t="shared" si="2"/>
        <v>3777680</v>
      </c>
      <c r="W21" s="1197">
        <f t="shared" si="2"/>
        <v>0</v>
      </c>
      <c r="X21" s="1197">
        <f t="shared" si="2"/>
        <v>0</v>
      </c>
      <c r="Y21" s="1197">
        <f t="shared" si="2"/>
        <v>0</v>
      </c>
      <c r="Z21" s="1197">
        <f t="shared" si="2"/>
        <v>0</v>
      </c>
      <c r="AA21" s="1197">
        <f t="shared" si="2"/>
        <v>870</v>
      </c>
      <c r="AB21" s="1197">
        <v>3777680</v>
      </c>
      <c r="AC21" s="1198">
        <v>3777680</v>
      </c>
      <c r="AD21" s="1198">
        <f t="shared" si="2"/>
        <v>0</v>
      </c>
    </row>
    <row r="22" spans="1:30" ht="21.75" customHeight="1">
      <c r="A22" s="925"/>
      <c r="B22" s="37" t="s">
        <v>51</v>
      </c>
      <c r="C22" s="1431" t="s">
        <v>512</v>
      </c>
      <c r="D22" s="1432"/>
      <c r="E22" s="32" t="s">
        <v>515</v>
      </c>
      <c r="F22" s="868"/>
      <c r="G22" s="869"/>
      <c r="H22" s="869"/>
      <c r="I22" s="869"/>
      <c r="J22" s="869"/>
      <c r="K22" s="869"/>
      <c r="L22" s="869">
        <v>10000</v>
      </c>
      <c r="M22" s="1200">
        <f>'3.sz.m Önk  bev.'!M22</f>
        <v>86385</v>
      </c>
      <c r="N22" s="868"/>
      <c r="O22" s="869"/>
      <c r="P22" s="869"/>
      <c r="Q22" s="869"/>
      <c r="R22" s="869"/>
      <c r="S22" s="869"/>
      <c r="T22" s="869">
        <f t="shared" si="1"/>
        <v>10000</v>
      </c>
      <c r="U22" s="1199">
        <f t="shared" si="1"/>
        <v>86385</v>
      </c>
      <c r="V22" s="868"/>
      <c r="W22" s="869"/>
      <c r="X22" s="869"/>
      <c r="Y22" s="869"/>
      <c r="Z22" s="869"/>
      <c r="AA22" s="869"/>
      <c r="AB22" s="869"/>
      <c r="AC22" s="1199"/>
      <c r="AD22" s="1199"/>
    </row>
    <row r="23" spans="1:30" ht="21.75" customHeight="1">
      <c r="A23" s="36"/>
      <c r="B23" s="37" t="s">
        <v>54</v>
      </c>
      <c r="C23" s="1419" t="s">
        <v>526</v>
      </c>
      <c r="D23" s="1419"/>
      <c r="E23" s="59"/>
      <c r="F23" s="926"/>
      <c r="G23" s="870"/>
      <c r="H23" s="870"/>
      <c r="I23" s="870"/>
      <c r="J23" s="870"/>
      <c r="K23" s="870"/>
      <c r="L23" s="870">
        <f>'5. sz. m óvoda'!P11</f>
        <v>324817</v>
      </c>
      <c r="M23" s="1201">
        <f>'5. sz. m óvoda'!Q11</f>
        <v>324817</v>
      </c>
      <c r="N23" s="926"/>
      <c r="O23" s="870"/>
      <c r="P23" s="870"/>
      <c r="Q23" s="870"/>
      <c r="R23" s="870"/>
      <c r="S23" s="870"/>
      <c r="T23" s="870">
        <f>'5. sz. m óvoda'!V11</f>
        <v>324817</v>
      </c>
      <c r="U23" s="1201">
        <f>'5. sz. m óvoda'!W11</f>
        <v>324817</v>
      </c>
      <c r="V23" s="926"/>
      <c r="W23" s="870"/>
      <c r="X23" s="870"/>
      <c r="Y23" s="870"/>
      <c r="Z23" s="870"/>
      <c r="AA23" s="870"/>
      <c r="AB23" s="870"/>
      <c r="AC23" s="1201"/>
      <c r="AD23" s="1201"/>
    </row>
    <row r="24" spans="1:30" ht="21.75" customHeight="1" hidden="1">
      <c r="A24" s="925"/>
      <c r="B24" s="924"/>
      <c r="C24" s="924"/>
      <c r="D24" s="924"/>
      <c r="E24" s="59"/>
      <c r="F24" s="926"/>
      <c r="G24" s="870"/>
      <c r="H24" s="870"/>
      <c r="I24" s="870"/>
      <c r="J24" s="870"/>
      <c r="K24" s="870"/>
      <c r="L24" s="870"/>
      <c r="M24" s="1201"/>
      <c r="N24" s="926"/>
      <c r="O24" s="870"/>
      <c r="P24" s="870"/>
      <c r="Q24" s="870"/>
      <c r="R24" s="870"/>
      <c r="S24" s="870"/>
      <c r="T24" s="870"/>
      <c r="U24" s="1201"/>
      <c r="V24" s="926"/>
      <c r="W24" s="870"/>
      <c r="X24" s="870"/>
      <c r="Y24" s="870"/>
      <c r="Z24" s="870"/>
      <c r="AA24" s="870"/>
      <c r="AB24" s="870"/>
      <c r="AC24" s="1201"/>
      <c r="AD24" s="1201"/>
    </row>
    <row r="25" spans="1:30" ht="21.75" customHeight="1">
      <c r="A25" s="56"/>
      <c r="B25" s="57" t="s">
        <v>57</v>
      </c>
      <c r="C25" s="1421" t="s">
        <v>52</v>
      </c>
      <c r="D25" s="1421"/>
      <c r="E25" s="59" t="s">
        <v>53</v>
      </c>
      <c r="F25" s="926">
        <v>8075297</v>
      </c>
      <c r="G25" s="870"/>
      <c r="H25" s="870"/>
      <c r="I25" s="927"/>
      <c r="J25" s="927"/>
      <c r="K25" s="927"/>
      <c r="L25" s="927">
        <f>'3.sz.m Önk  bev.'!L23+'5. sz. m óvoda'!P10</f>
        <v>7750480</v>
      </c>
      <c r="M25" s="1202">
        <f>'3.sz.m Önk  bev.'!M23+'5. sz. m óvoda'!Q10</f>
        <v>7750480</v>
      </c>
      <c r="N25" s="926">
        <v>4297617</v>
      </c>
      <c r="O25" s="870"/>
      <c r="P25" s="870"/>
      <c r="Q25" s="927"/>
      <c r="R25" s="927"/>
      <c r="S25" s="927"/>
      <c r="T25" s="927">
        <f>'3.sz.m Önk  bev.'!T23+'5. sz. m óvoda'!V10</f>
        <v>3972800</v>
      </c>
      <c r="U25" s="1202">
        <f>'3.sz.m Önk  bev.'!U23+'5. sz. m óvoda'!W10</f>
        <v>3972800</v>
      </c>
      <c r="V25" s="926">
        <v>3777680</v>
      </c>
      <c r="W25" s="870"/>
      <c r="X25" s="870"/>
      <c r="Y25" s="927"/>
      <c r="Z25" s="927"/>
      <c r="AA25" s="927">
        <v>600</v>
      </c>
      <c r="AB25" s="870">
        <v>3777680</v>
      </c>
      <c r="AC25" s="1201">
        <f>'3.sz.m Önk  bev.'!AC23</f>
        <v>3777680</v>
      </c>
      <c r="AD25" s="1201"/>
    </row>
    <row r="26" spans="1:30" ht="21.75" customHeight="1">
      <c r="A26" s="36"/>
      <c r="B26" s="37" t="s">
        <v>66</v>
      </c>
      <c r="C26" s="1419" t="s">
        <v>55</v>
      </c>
      <c r="D26" s="1419"/>
      <c r="E26" s="39" t="s">
        <v>56</v>
      </c>
      <c r="F26" s="881"/>
      <c r="G26" s="882"/>
      <c r="H26" s="882"/>
      <c r="I26" s="882"/>
      <c r="J26" s="882"/>
      <c r="K26" s="882"/>
      <c r="L26" s="882">
        <v>5195</v>
      </c>
      <c r="M26" s="893">
        <f>'3.sz.m Önk  bev.'!M24</f>
        <v>5195</v>
      </c>
      <c r="N26" s="881"/>
      <c r="O26" s="882"/>
      <c r="P26" s="882"/>
      <c r="Q26" s="882"/>
      <c r="R26" s="882"/>
      <c r="S26" s="882"/>
      <c r="T26" s="872">
        <f t="shared" si="1"/>
        <v>5195</v>
      </c>
      <c r="U26" s="1200">
        <f t="shared" si="1"/>
        <v>5195</v>
      </c>
      <c r="V26" s="881"/>
      <c r="W26" s="882"/>
      <c r="X26" s="882"/>
      <c r="Y26" s="882"/>
      <c r="Z26" s="882"/>
      <c r="AA26" s="882"/>
      <c r="AB26" s="882"/>
      <c r="AC26" s="893"/>
      <c r="AD26" s="893"/>
    </row>
    <row r="27" spans="1:30" ht="21.75" customHeight="1">
      <c r="A27" s="36"/>
      <c r="B27" s="37" t="s">
        <v>68</v>
      </c>
      <c r="C27" s="1419" t="s">
        <v>58</v>
      </c>
      <c r="D27" s="1419"/>
      <c r="E27" s="39" t="s">
        <v>59</v>
      </c>
      <c r="F27" s="881">
        <v>2884058</v>
      </c>
      <c r="G27" s="882"/>
      <c r="H27" s="882"/>
      <c r="I27" s="882"/>
      <c r="J27" s="882"/>
      <c r="K27" s="882"/>
      <c r="L27" s="882">
        <v>3184058</v>
      </c>
      <c r="M27" s="893">
        <f>SUM(M28:M30)</f>
        <v>4898330</v>
      </c>
      <c r="N27" s="881">
        <v>2884058</v>
      </c>
      <c r="O27" s="882"/>
      <c r="P27" s="882"/>
      <c r="Q27" s="882"/>
      <c r="R27" s="882"/>
      <c r="S27" s="882"/>
      <c r="T27" s="872">
        <f t="shared" si="1"/>
        <v>3184058</v>
      </c>
      <c r="U27" s="1200">
        <f t="shared" si="1"/>
        <v>4898330</v>
      </c>
      <c r="V27" s="881"/>
      <c r="W27" s="882"/>
      <c r="X27" s="882"/>
      <c r="Y27" s="882"/>
      <c r="Z27" s="882"/>
      <c r="AA27" s="882"/>
      <c r="AB27" s="882"/>
      <c r="AC27" s="893"/>
      <c r="AD27" s="893"/>
    </row>
    <row r="28" spans="1:30" ht="31.5" customHeight="1">
      <c r="A28" s="36"/>
      <c r="B28" s="37"/>
      <c r="C28" s="37" t="s">
        <v>531</v>
      </c>
      <c r="D28" s="38" t="s">
        <v>61</v>
      </c>
      <c r="E28" s="39"/>
      <c r="F28" s="881">
        <v>2884058</v>
      </c>
      <c r="G28" s="882"/>
      <c r="H28" s="882"/>
      <c r="I28" s="882"/>
      <c r="J28" s="882"/>
      <c r="K28" s="882"/>
      <c r="L28" s="882">
        <v>3184058</v>
      </c>
      <c r="M28" s="893">
        <f>'3.sz.m Önk  bev.'!M26</f>
        <v>4840796</v>
      </c>
      <c r="N28" s="881">
        <v>2884058</v>
      </c>
      <c r="O28" s="882"/>
      <c r="P28" s="882"/>
      <c r="Q28" s="882"/>
      <c r="R28" s="882"/>
      <c r="S28" s="882"/>
      <c r="T28" s="872">
        <f t="shared" si="1"/>
        <v>3184058</v>
      </c>
      <c r="U28" s="1200">
        <f t="shared" si="1"/>
        <v>4840796</v>
      </c>
      <c r="V28" s="881"/>
      <c r="W28" s="882"/>
      <c r="X28" s="882"/>
      <c r="Y28" s="882"/>
      <c r="Z28" s="882"/>
      <c r="AA28" s="882"/>
      <c r="AB28" s="882"/>
      <c r="AC28" s="893"/>
      <c r="AD28" s="893"/>
    </row>
    <row r="29" spans="1:30" ht="41.25" customHeight="1">
      <c r="A29" s="36"/>
      <c r="B29" s="37"/>
      <c r="C29" s="37" t="s">
        <v>532</v>
      </c>
      <c r="D29" s="38" t="s">
        <v>63</v>
      </c>
      <c r="E29" s="39"/>
      <c r="F29" s="881"/>
      <c r="G29" s="882"/>
      <c r="H29" s="882"/>
      <c r="I29" s="882"/>
      <c r="J29" s="882"/>
      <c r="K29" s="882"/>
      <c r="L29" s="882"/>
      <c r="M29" s="893">
        <f>'3.sz.m Önk  bev.'!M27</f>
        <v>0</v>
      </c>
      <c r="N29" s="881"/>
      <c r="O29" s="882"/>
      <c r="P29" s="882"/>
      <c r="Q29" s="882"/>
      <c r="R29" s="882"/>
      <c r="S29" s="882"/>
      <c r="T29" s="872">
        <f t="shared" si="1"/>
        <v>0</v>
      </c>
      <c r="U29" s="1200">
        <f t="shared" si="1"/>
        <v>0</v>
      </c>
      <c r="V29" s="881"/>
      <c r="W29" s="882"/>
      <c r="X29" s="882"/>
      <c r="Y29" s="882"/>
      <c r="Z29" s="882"/>
      <c r="AA29" s="882"/>
      <c r="AB29" s="882"/>
      <c r="AC29" s="893"/>
      <c r="AD29" s="893"/>
    </row>
    <row r="30" spans="1:30" ht="21.75" customHeight="1">
      <c r="A30" s="36"/>
      <c r="B30" s="37"/>
      <c r="C30" s="37" t="s">
        <v>533</v>
      </c>
      <c r="D30" s="38" t="s">
        <v>65</v>
      </c>
      <c r="E30" s="39"/>
      <c r="F30" s="881"/>
      <c r="G30" s="882"/>
      <c r="H30" s="882"/>
      <c r="I30" s="882"/>
      <c r="J30" s="882"/>
      <c r="K30" s="882"/>
      <c r="L30" s="882"/>
      <c r="M30" s="893">
        <f>'3.sz.m Önk  bev.'!M28</f>
        <v>57534</v>
      </c>
      <c r="N30" s="881"/>
      <c r="O30" s="882"/>
      <c r="P30" s="882"/>
      <c r="Q30" s="882"/>
      <c r="R30" s="882"/>
      <c r="S30" s="882"/>
      <c r="T30" s="872">
        <f t="shared" si="1"/>
        <v>0</v>
      </c>
      <c r="U30" s="1200">
        <f t="shared" si="1"/>
        <v>57534</v>
      </c>
      <c r="V30" s="881"/>
      <c r="W30" s="882"/>
      <c r="X30" s="882"/>
      <c r="Y30" s="882"/>
      <c r="Z30" s="882"/>
      <c r="AA30" s="882"/>
      <c r="AB30" s="882"/>
      <c r="AC30" s="893"/>
      <c r="AD30" s="893"/>
    </row>
    <row r="31" spans="1:30" ht="21.75" customHeight="1">
      <c r="A31" s="36"/>
      <c r="B31" s="37" t="s">
        <v>70</v>
      </c>
      <c r="C31" s="1419" t="s">
        <v>67</v>
      </c>
      <c r="D31" s="1419"/>
      <c r="E31" s="39"/>
      <c r="F31" s="881"/>
      <c r="G31" s="882"/>
      <c r="H31" s="882"/>
      <c r="I31" s="882"/>
      <c r="J31" s="882"/>
      <c r="K31" s="882"/>
      <c r="L31" s="882"/>
      <c r="M31" s="893"/>
      <c r="N31" s="881"/>
      <c r="O31" s="882"/>
      <c r="P31" s="882"/>
      <c r="Q31" s="882"/>
      <c r="R31" s="882"/>
      <c r="S31" s="882"/>
      <c r="T31" s="872">
        <f t="shared" si="1"/>
        <v>0</v>
      </c>
      <c r="U31" s="1200">
        <f t="shared" si="1"/>
        <v>0</v>
      </c>
      <c r="V31" s="881"/>
      <c r="W31" s="882"/>
      <c r="X31" s="882"/>
      <c r="Y31" s="882"/>
      <c r="Z31" s="882"/>
      <c r="AA31" s="882">
        <v>270</v>
      </c>
      <c r="AB31" s="882"/>
      <c r="AC31" s="893"/>
      <c r="AD31" s="893"/>
    </row>
    <row r="32" spans="1:30" ht="21.75" customHeight="1">
      <c r="A32" s="64"/>
      <c r="B32" s="65" t="s">
        <v>527</v>
      </c>
      <c r="C32" s="1419" t="s">
        <v>69</v>
      </c>
      <c r="D32" s="1419"/>
      <c r="E32" s="39"/>
      <c r="F32" s="881"/>
      <c r="G32" s="882"/>
      <c r="H32" s="882"/>
      <c r="I32" s="882"/>
      <c r="J32" s="882"/>
      <c r="K32" s="882"/>
      <c r="L32" s="882"/>
      <c r="M32" s="893"/>
      <c r="N32" s="881"/>
      <c r="O32" s="882"/>
      <c r="P32" s="882"/>
      <c r="Q32" s="882"/>
      <c r="R32" s="882"/>
      <c r="S32" s="882"/>
      <c r="T32" s="872">
        <f t="shared" si="1"/>
        <v>0</v>
      </c>
      <c r="U32" s="1200">
        <f t="shared" si="1"/>
        <v>0</v>
      </c>
      <c r="V32" s="881"/>
      <c r="W32" s="882"/>
      <c r="X32" s="882"/>
      <c r="Y32" s="882"/>
      <c r="Z32" s="882"/>
      <c r="AA32" s="882"/>
      <c r="AB32" s="882"/>
      <c r="AC32" s="893"/>
      <c r="AD32" s="893"/>
    </row>
    <row r="33" spans="1:30" ht="21.75" customHeight="1">
      <c r="A33" s="64"/>
      <c r="B33" s="65" t="s">
        <v>528</v>
      </c>
      <c r="C33" s="1419" t="s">
        <v>71</v>
      </c>
      <c r="D33" s="1419"/>
      <c r="E33" s="39" t="s">
        <v>72</v>
      </c>
      <c r="F33" s="881"/>
      <c r="G33" s="882"/>
      <c r="H33" s="882"/>
      <c r="I33" s="882"/>
      <c r="J33" s="882"/>
      <c r="K33" s="882"/>
      <c r="L33" s="882">
        <f>'3.sz.m Önk  bev.'!L31+'5. sz. m óvoda'!P12</f>
        <v>10100</v>
      </c>
      <c r="M33" s="893">
        <f>'3.sz.m Önk  bev.'!M31+'5. sz. m óvoda'!Q12</f>
        <v>18200</v>
      </c>
      <c r="N33" s="881"/>
      <c r="O33" s="882"/>
      <c r="P33" s="882"/>
      <c r="Q33" s="882"/>
      <c r="R33" s="882"/>
      <c r="S33" s="882"/>
      <c r="T33" s="872">
        <f t="shared" si="1"/>
        <v>10100</v>
      </c>
      <c r="U33" s="1200">
        <f t="shared" si="1"/>
        <v>18200</v>
      </c>
      <c r="V33" s="881"/>
      <c r="W33" s="882"/>
      <c r="X33" s="882"/>
      <c r="Y33" s="882"/>
      <c r="Z33" s="882"/>
      <c r="AA33" s="882"/>
      <c r="AB33" s="882"/>
      <c r="AC33" s="893"/>
      <c r="AD33" s="893"/>
    </row>
    <row r="34" spans="1:30" ht="21.75" customHeight="1">
      <c r="A34" s="64"/>
      <c r="B34" s="65" t="s">
        <v>529</v>
      </c>
      <c r="C34" s="1418" t="s">
        <v>74</v>
      </c>
      <c r="D34" s="1418"/>
      <c r="E34" s="66" t="s">
        <v>511</v>
      </c>
      <c r="F34" s="881">
        <v>100000</v>
      </c>
      <c r="G34" s="882"/>
      <c r="H34" s="882"/>
      <c r="I34" s="882"/>
      <c r="J34" s="882"/>
      <c r="K34" s="882"/>
      <c r="L34" s="882">
        <f>'3.sz.m Önk  bev.'!L32+'5. sz. m óvoda'!P13</f>
        <v>100010</v>
      </c>
      <c r="M34" s="893">
        <f>'3.sz.m Önk  bev.'!M32+'5. sz. m óvoda'!Q13</f>
        <v>100010</v>
      </c>
      <c r="N34" s="881">
        <v>100000</v>
      </c>
      <c r="O34" s="882"/>
      <c r="P34" s="882"/>
      <c r="Q34" s="882"/>
      <c r="R34" s="882"/>
      <c r="S34" s="882"/>
      <c r="T34" s="872">
        <f t="shared" si="1"/>
        <v>100010</v>
      </c>
      <c r="U34" s="1200">
        <f t="shared" si="1"/>
        <v>100010</v>
      </c>
      <c r="V34" s="881"/>
      <c r="W34" s="882"/>
      <c r="X34" s="882"/>
      <c r="Y34" s="882"/>
      <c r="Z34" s="882"/>
      <c r="AA34" s="882"/>
      <c r="AB34" s="882"/>
      <c r="AC34" s="893"/>
      <c r="AD34" s="893"/>
    </row>
    <row r="35" spans="1:30" ht="21.75" customHeight="1" thickBot="1">
      <c r="A35" s="50"/>
      <c r="B35" s="51" t="s">
        <v>530</v>
      </c>
      <c r="C35" s="1422" t="s">
        <v>510</v>
      </c>
      <c r="D35" s="1423"/>
      <c r="E35" s="87" t="s">
        <v>511</v>
      </c>
      <c r="F35" s="897"/>
      <c r="G35" s="898"/>
      <c r="H35" s="898"/>
      <c r="I35" s="898"/>
      <c r="J35" s="898"/>
      <c r="K35" s="898"/>
      <c r="L35" s="898">
        <v>6500</v>
      </c>
      <c r="M35" s="1203">
        <f>'3.sz.m Önk  bev.'!M33</f>
        <v>6500</v>
      </c>
      <c r="N35" s="897"/>
      <c r="O35" s="898"/>
      <c r="P35" s="898"/>
      <c r="Q35" s="898"/>
      <c r="R35" s="898"/>
      <c r="S35" s="898"/>
      <c r="T35" s="878">
        <f t="shared" si="1"/>
        <v>6500</v>
      </c>
      <c r="U35" s="1208">
        <f t="shared" si="1"/>
        <v>6500</v>
      </c>
      <c r="V35" s="897"/>
      <c r="W35" s="898"/>
      <c r="X35" s="898"/>
      <c r="Y35" s="898"/>
      <c r="Z35" s="898"/>
      <c r="AA35" s="898"/>
      <c r="AB35" s="898"/>
      <c r="AC35" s="1203"/>
      <c r="AD35" s="1203"/>
    </row>
    <row r="36" spans="1:30" ht="30.75" customHeight="1" thickBot="1">
      <c r="A36" s="67" t="s">
        <v>75</v>
      </c>
      <c r="B36" s="1415" t="s">
        <v>76</v>
      </c>
      <c r="C36" s="1415"/>
      <c r="D36" s="1415"/>
      <c r="E36" s="25" t="s">
        <v>77</v>
      </c>
      <c r="F36" s="883">
        <f aca="true" t="shared" si="3" ref="F36:AD36">F37+F38+F39+F40</f>
        <v>33306320</v>
      </c>
      <c r="G36" s="886">
        <f t="shared" si="3"/>
        <v>0</v>
      </c>
      <c r="H36" s="886">
        <f t="shared" si="3"/>
        <v>0</v>
      </c>
      <c r="I36" s="886">
        <f t="shared" si="3"/>
        <v>0</v>
      </c>
      <c r="J36" s="886">
        <f t="shared" si="3"/>
        <v>0</v>
      </c>
      <c r="K36" s="886">
        <f t="shared" si="3"/>
        <v>0</v>
      </c>
      <c r="L36" s="886">
        <f>L37+L40+L38</f>
        <v>33959244</v>
      </c>
      <c r="M36" s="1188">
        <f>M37+M40+M38</f>
        <v>34375307</v>
      </c>
      <c r="N36" s="883">
        <f t="shared" si="3"/>
        <v>33286127</v>
      </c>
      <c r="O36" s="886">
        <f t="shared" si="3"/>
        <v>0</v>
      </c>
      <c r="P36" s="886">
        <f t="shared" si="3"/>
        <v>0</v>
      </c>
      <c r="Q36" s="886">
        <f t="shared" si="3"/>
        <v>0</v>
      </c>
      <c r="R36" s="886">
        <f t="shared" si="3"/>
        <v>0</v>
      </c>
      <c r="S36" s="886">
        <f t="shared" si="3"/>
        <v>0</v>
      </c>
      <c r="T36" s="1197">
        <f t="shared" si="1"/>
        <v>33838086</v>
      </c>
      <c r="U36" s="1198">
        <f t="shared" si="1"/>
        <v>34375307</v>
      </c>
      <c r="V36" s="883">
        <f t="shared" si="3"/>
        <v>20193</v>
      </c>
      <c r="W36" s="886">
        <f t="shared" si="3"/>
        <v>0</v>
      </c>
      <c r="X36" s="886">
        <f t="shared" si="3"/>
        <v>0</v>
      </c>
      <c r="Y36" s="886">
        <f t="shared" si="3"/>
        <v>0</v>
      </c>
      <c r="Z36" s="886">
        <f t="shared" si="3"/>
        <v>0</v>
      </c>
      <c r="AA36" s="886">
        <f t="shared" si="3"/>
        <v>0</v>
      </c>
      <c r="AB36" s="886">
        <v>121158</v>
      </c>
      <c r="AC36" s="1188">
        <f>SUM(AC37:AC40)</f>
        <v>0</v>
      </c>
      <c r="AD36" s="1188">
        <f t="shared" si="3"/>
        <v>0</v>
      </c>
    </row>
    <row r="37" spans="1:30" ht="21.75" customHeight="1" thickBot="1">
      <c r="A37" s="56"/>
      <c r="B37" s="65" t="s">
        <v>78</v>
      </c>
      <c r="C37" s="1426" t="s">
        <v>79</v>
      </c>
      <c r="D37" s="1426"/>
      <c r="E37" s="69" t="s">
        <v>80</v>
      </c>
      <c r="F37" s="881">
        <v>18542240</v>
      </c>
      <c r="G37" s="884"/>
      <c r="H37" s="884"/>
      <c r="I37" s="884"/>
      <c r="J37" s="884"/>
      <c r="K37" s="884"/>
      <c r="L37" s="891">
        <f>'3.sz.m Önk  bev.'!L35</f>
        <v>18542240</v>
      </c>
      <c r="M37" s="1204">
        <f>'3.sz.m Önk  bev.'!M35</f>
        <v>18542240</v>
      </c>
      <c r="N37" s="881">
        <v>18522047</v>
      </c>
      <c r="O37" s="884"/>
      <c r="P37" s="884"/>
      <c r="Q37" s="884"/>
      <c r="R37" s="884"/>
      <c r="S37" s="884"/>
      <c r="T37" s="869">
        <f t="shared" si="1"/>
        <v>18421082</v>
      </c>
      <c r="U37" s="1199">
        <f t="shared" si="1"/>
        <v>18542240</v>
      </c>
      <c r="V37" s="885">
        <v>20193</v>
      </c>
      <c r="W37" s="886"/>
      <c r="X37" s="886"/>
      <c r="Y37" s="886"/>
      <c r="Z37" s="886"/>
      <c r="AA37" s="886"/>
      <c r="AB37" s="1209">
        <v>121158</v>
      </c>
      <c r="AC37" s="1210">
        <f>'3.sz.m Önk  bev.'!AC35</f>
        <v>0</v>
      </c>
      <c r="AD37" s="1210"/>
    </row>
    <row r="38" spans="1:30" ht="21.75" customHeight="1" thickBot="1">
      <c r="A38" s="36"/>
      <c r="B38" s="65" t="s">
        <v>81</v>
      </c>
      <c r="C38" s="1419" t="s">
        <v>82</v>
      </c>
      <c r="D38" s="1419"/>
      <c r="E38" s="39"/>
      <c r="F38" s="881"/>
      <c r="G38" s="887"/>
      <c r="H38" s="887"/>
      <c r="I38" s="887"/>
      <c r="J38" s="887"/>
      <c r="K38" s="887"/>
      <c r="L38" s="882">
        <f>'3.sz.m Önk  bev.'!L36</f>
        <v>652924</v>
      </c>
      <c r="M38" s="893">
        <f>'3.sz.m Önk  bev.'!M36</f>
        <v>1007254</v>
      </c>
      <c r="N38" s="881"/>
      <c r="O38" s="887"/>
      <c r="P38" s="887"/>
      <c r="Q38" s="887"/>
      <c r="R38" s="887"/>
      <c r="S38" s="887"/>
      <c r="T38" s="872">
        <f t="shared" si="1"/>
        <v>652924</v>
      </c>
      <c r="U38" s="1200">
        <f t="shared" si="1"/>
        <v>1007254</v>
      </c>
      <c r="V38" s="888"/>
      <c r="W38" s="886"/>
      <c r="X38" s="886"/>
      <c r="Y38" s="886"/>
      <c r="Z38" s="886"/>
      <c r="AA38" s="886"/>
      <c r="AB38" s="1211"/>
      <c r="AC38" s="1212"/>
      <c r="AD38" s="1212"/>
    </row>
    <row r="39" spans="1:30" ht="21.75" customHeight="1" thickBot="1">
      <c r="A39" s="36"/>
      <c r="B39" s="65" t="s">
        <v>83</v>
      </c>
      <c r="C39" s="1419" t="s">
        <v>84</v>
      </c>
      <c r="D39" s="1419"/>
      <c r="E39" s="39"/>
      <c r="F39" s="881"/>
      <c r="G39" s="887"/>
      <c r="H39" s="887"/>
      <c r="I39" s="887"/>
      <c r="J39" s="887"/>
      <c r="K39" s="887"/>
      <c r="L39" s="887"/>
      <c r="M39" s="1205"/>
      <c r="N39" s="881"/>
      <c r="O39" s="887"/>
      <c r="P39" s="887"/>
      <c r="Q39" s="887"/>
      <c r="R39" s="887"/>
      <c r="S39" s="887"/>
      <c r="T39" s="872">
        <f t="shared" si="1"/>
        <v>0</v>
      </c>
      <c r="U39" s="1200">
        <f t="shared" si="1"/>
        <v>0</v>
      </c>
      <c r="V39" s="888"/>
      <c r="W39" s="886"/>
      <c r="X39" s="886"/>
      <c r="Y39" s="886"/>
      <c r="Z39" s="886"/>
      <c r="AA39" s="886"/>
      <c r="AB39" s="1211"/>
      <c r="AC39" s="1212"/>
      <c r="AD39" s="1212"/>
    </row>
    <row r="40" spans="1:31" ht="33.75" customHeight="1" thickBot="1">
      <c r="A40" s="36"/>
      <c r="B40" s="65" t="s">
        <v>85</v>
      </c>
      <c r="C40" s="1419" t="s">
        <v>86</v>
      </c>
      <c r="D40" s="1419"/>
      <c r="E40" s="39" t="s">
        <v>87</v>
      </c>
      <c r="F40" s="881">
        <v>14764080</v>
      </c>
      <c r="G40" s="887"/>
      <c r="H40" s="887"/>
      <c r="I40" s="887"/>
      <c r="J40" s="887"/>
      <c r="K40" s="887"/>
      <c r="L40" s="882">
        <v>14764080</v>
      </c>
      <c r="M40" s="893">
        <f>SUM(M41:M43)</f>
        <v>14825813</v>
      </c>
      <c r="N40" s="881">
        <v>14764080</v>
      </c>
      <c r="O40" s="887"/>
      <c r="P40" s="887"/>
      <c r="Q40" s="887"/>
      <c r="R40" s="887"/>
      <c r="S40" s="887"/>
      <c r="T40" s="872">
        <f t="shared" si="1"/>
        <v>14764080</v>
      </c>
      <c r="U40" s="1200">
        <f t="shared" si="1"/>
        <v>14825813</v>
      </c>
      <c r="V40" s="888"/>
      <c r="W40" s="886"/>
      <c r="X40" s="886"/>
      <c r="Y40" s="886"/>
      <c r="Z40" s="886"/>
      <c r="AA40" s="886"/>
      <c r="AB40" s="1211"/>
      <c r="AC40" s="1212"/>
      <c r="AD40" s="1212"/>
      <c r="AE40" s="4"/>
    </row>
    <row r="41" spans="1:31" ht="32.25" thickBot="1">
      <c r="A41" s="36"/>
      <c r="B41" s="65"/>
      <c r="C41" s="57" t="s">
        <v>88</v>
      </c>
      <c r="D41" s="58" t="s">
        <v>89</v>
      </c>
      <c r="E41" s="59"/>
      <c r="F41" s="881">
        <v>9207400</v>
      </c>
      <c r="G41" s="887"/>
      <c r="H41" s="887"/>
      <c r="I41" s="887"/>
      <c r="J41" s="887"/>
      <c r="K41" s="887"/>
      <c r="L41" s="882">
        <v>9207400</v>
      </c>
      <c r="M41" s="893">
        <f>'3.sz.m Önk  bev.'!M39</f>
        <v>9207400</v>
      </c>
      <c r="N41" s="881">
        <v>9207400</v>
      </c>
      <c r="O41" s="887"/>
      <c r="P41" s="887"/>
      <c r="Q41" s="887"/>
      <c r="R41" s="887"/>
      <c r="S41" s="887"/>
      <c r="T41" s="872">
        <f t="shared" si="1"/>
        <v>9207400</v>
      </c>
      <c r="U41" s="1200">
        <f t="shared" si="1"/>
        <v>9207400</v>
      </c>
      <c r="V41" s="888"/>
      <c r="W41" s="886"/>
      <c r="X41" s="886"/>
      <c r="Y41" s="886"/>
      <c r="Z41" s="886"/>
      <c r="AA41" s="886"/>
      <c r="AB41" s="1211"/>
      <c r="AC41" s="1212"/>
      <c r="AD41" s="1212"/>
      <c r="AE41" s="4"/>
    </row>
    <row r="42" spans="1:30" ht="21.75" customHeight="1" thickBot="1">
      <c r="A42" s="36"/>
      <c r="B42" s="65"/>
      <c r="C42" s="37" t="s">
        <v>90</v>
      </c>
      <c r="D42" s="38" t="s">
        <v>91</v>
      </c>
      <c r="E42" s="39"/>
      <c r="F42" s="881"/>
      <c r="G42" s="887"/>
      <c r="H42" s="887"/>
      <c r="I42" s="887"/>
      <c r="J42" s="887"/>
      <c r="K42" s="887"/>
      <c r="L42" s="882"/>
      <c r="M42" s="893"/>
      <c r="N42" s="881"/>
      <c r="O42" s="887"/>
      <c r="P42" s="887"/>
      <c r="Q42" s="887"/>
      <c r="R42" s="887"/>
      <c r="S42" s="887"/>
      <c r="T42" s="872">
        <f t="shared" si="1"/>
        <v>0</v>
      </c>
      <c r="U42" s="1200">
        <f t="shared" si="1"/>
        <v>0</v>
      </c>
      <c r="V42" s="888"/>
      <c r="W42" s="886"/>
      <c r="X42" s="886"/>
      <c r="Y42" s="886"/>
      <c r="Z42" s="886"/>
      <c r="AA42" s="886"/>
      <c r="AB42" s="1211"/>
      <c r="AC42" s="1212"/>
      <c r="AD42" s="1212"/>
    </row>
    <row r="43" spans="1:30" ht="45.75" customHeight="1" thickBot="1">
      <c r="A43" s="36"/>
      <c r="B43" s="65"/>
      <c r="C43" s="37" t="s">
        <v>92</v>
      </c>
      <c r="D43" s="38" t="s">
        <v>93</v>
      </c>
      <c r="E43" s="39"/>
      <c r="F43" s="881">
        <v>4551412</v>
      </c>
      <c r="G43" s="889"/>
      <c r="H43" s="889"/>
      <c r="I43" s="889"/>
      <c r="J43" s="889"/>
      <c r="K43" s="889"/>
      <c r="L43" s="882">
        <v>4551412</v>
      </c>
      <c r="M43" s="893">
        <f>'3.sz.m Önk  bev.'!M41+'5. sz. m óvoda'!Q15</f>
        <v>5618413</v>
      </c>
      <c r="N43" s="881">
        <v>5556680</v>
      </c>
      <c r="O43" s="889"/>
      <c r="P43" s="889"/>
      <c r="Q43" s="889"/>
      <c r="R43" s="889"/>
      <c r="S43" s="889"/>
      <c r="T43" s="878">
        <f t="shared" si="1"/>
        <v>4551412</v>
      </c>
      <c r="U43" s="1208">
        <f t="shared" si="1"/>
        <v>5618413</v>
      </c>
      <c r="V43" s="890"/>
      <c r="W43" s="886"/>
      <c r="X43" s="886"/>
      <c r="Y43" s="886"/>
      <c r="Z43" s="886"/>
      <c r="AA43" s="886"/>
      <c r="AB43" s="1213"/>
      <c r="AC43" s="1214"/>
      <c r="AD43" s="1214"/>
    </row>
    <row r="44" spans="1:30" ht="32.25" customHeight="1" thickBot="1">
      <c r="A44" s="67" t="s">
        <v>94</v>
      </c>
      <c r="B44" s="1420" t="s">
        <v>95</v>
      </c>
      <c r="C44" s="1420"/>
      <c r="D44" s="1420"/>
      <c r="E44" s="76" t="s">
        <v>96</v>
      </c>
      <c r="F44" s="883">
        <f aca="true" t="shared" si="4" ref="F44:AD44">F45+F46</f>
        <v>0</v>
      </c>
      <c r="G44" s="886">
        <f t="shared" si="4"/>
        <v>0</v>
      </c>
      <c r="H44" s="886">
        <f t="shared" si="4"/>
        <v>0</v>
      </c>
      <c r="I44" s="886">
        <f t="shared" si="4"/>
        <v>0</v>
      </c>
      <c r="J44" s="886">
        <f t="shared" si="4"/>
        <v>0</v>
      </c>
      <c r="K44" s="886">
        <f t="shared" si="4"/>
        <v>0</v>
      </c>
      <c r="L44" s="886"/>
      <c r="M44" s="1188"/>
      <c r="N44" s="883">
        <f t="shared" si="4"/>
        <v>0</v>
      </c>
      <c r="O44" s="886">
        <f t="shared" si="4"/>
        <v>0</v>
      </c>
      <c r="P44" s="886">
        <f t="shared" si="4"/>
        <v>0</v>
      </c>
      <c r="Q44" s="886">
        <f t="shared" si="4"/>
        <v>0</v>
      </c>
      <c r="R44" s="886">
        <f t="shared" si="4"/>
        <v>0</v>
      </c>
      <c r="S44" s="886">
        <f t="shared" si="4"/>
        <v>0</v>
      </c>
      <c r="T44" s="1197">
        <f t="shared" si="1"/>
        <v>0</v>
      </c>
      <c r="U44" s="1198">
        <f t="shared" si="1"/>
        <v>0</v>
      </c>
      <c r="V44" s="883">
        <f t="shared" si="4"/>
        <v>0</v>
      </c>
      <c r="W44" s="886">
        <f t="shared" si="4"/>
        <v>0</v>
      </c>
      <c r="X44" s="886">
        <f t="shared" si="4"/>
        <v>0</v>
      </c>
      <c r="Y44" s="886">
        <f t="shared" si="4"/>
        <v>0</v>
      </c>
      <c r="Z44" s="886">
        <f t="shared" si="4"/>
        <v>0</v>
      </c>
      <c r="AA44" s="886">
        <f t="shared" si="4"/>
        <v>0</v>
      </c>
      <c r="AB44" s="886"/>
      <c r="AC44" s="1188"/>
      <c r="AD44" s="1188">
        <f t="shared" si="4"/>
        <v>0</v>
      </c>
    </row>
    <row r="45" spans="1:30" ht="21.75" customHeight="1">
      <c r="A45" s="56"/>
      <c r="B45" s="77" t="s">
        <v>97</v>
      </c>
      <c r="C45" s="1421" t="s">
        <v>98</v>
      </c>
      <c r="D45" s="1421"/>
      <c r="E45" s="59" t="s">
        <v>99</v>
      </c>
      <c r="F45" s="881"/>
      <c r="G45" s="891"/>
      <c r="H45" s="891"/>
      <c r="I45" s="891"/>
      <c r="J45" s="891"/>
      <c r="K45" s="891"/>
      <c r="L45" s="891"/>
      <c r="M45" s="1204"/>
      <c r="N45" s="892"/>
      <c r="O45" s="891"/>
      <c r="P45" s="891"/>
      <c r="Q45" s="891"/>
      <c r="R45" s="891"/>
      <c r="S45" s="891"/>
      <c r="T45" s="869">
        <f t="shared" si="1"/>
        <v>0</v>
      </c>
      <c r="U45" s="1199">
        <f t="shared" si="1"/>
        <v>0</v>
      </c>
      <c r="V45" s="892"/>
      <c r="W45" s="891"/>
      <c r="X45" s="891"/>
      <c r="Y45" s="891"/>
      <c r="Z45" s="891"/>
      <c r="AA45" s="891"/>
      <c r="AB45" s="891"/>
      <c r="AC45" s="1204"/>
      <c r="AD45" s="1204"/>
    </row>
    <row r="46" spans="1:30" ht="36" customHeight="1">
      <c r="A46" s="36"/>
      <c r="B46" s="80" t="s">
        <v>100</v>
      </c>
      <c r="C46" s="1419" t="s">
        <v>101</v>
      </c>
      <c r="D46" s="1419"/>
      <c r="E46" s="39" t="s">
        <v>102</v>
      </c>
      <c r="F46" s="881"/>
      <c r="G46" s="882"/>
      <c r="H46" s="882"/>
      <c r="I46" s="882"/>
      <c r="J46" s="882"/>
      <c r="K46" s="882"/>
      <c r="L46" s="882"/>
      <c r="M46" s="893"/>
      <c r="N46" s="881"/>
      <c r="O46" s="882"/>
      <c r="P46" s="882"/>
      <c r="Q46" s="882"/>
      <c r="R46" s="882"/>
      <c r="S46" s="882"/>
      <c r="T46" s="872">
        <f t="shared" si="1"/>
        <v>0</v>
      </c>
      <c r="U46" s="1200">
        <f t="shared" si="1"/>
        <v>0</v>
      </c>
      <c r="V46" s="881"/>
      <c r="W46" s="882"/>
      <c r="X46" s="882"/>
      <c r="Y46" s="882"/>
      <c r="Z46" s="882"/>
      <c r="AA46" s="882"/>
      <c r="AB46" s="882"/>
      <c r="AC46" s="893"/>
      <c r="AD46" s="893"/>
    </row>
    <row r="47" spans="1:30" ht="33.75" customHeight="1">
      <c r="A47" s="36"/>
      <c r="B47" s="77"/>
      <c r="C47" s="57" t="s">
        <v>103</v>
      </c>
      <c r="D47" s="58" t="s">
        <v>89</v>
      </c>
      <c r="E47" s="59"/>
      <c r="F47" s="881"/>
      <c r="G47" s="882"/>
      <c r="H47" s="882"/>
      <c r="I47" s="882"/>
      <c r="J47" s="882"/>
      <c r="K47" s="882"/>
      <c r="L47" s="882"/>
      <c r="M47" s="893"/>
      <c r="N47" s="881"/>
      <c r="O47" s="882"/>
      <c r="P47" s="882"/>
      <c r="Q47" s="882"/>
      <c r="R47" s="882"/>
      <c r="S47" s="882"/>
      <c r="T47" s="872">
        <f t="shared" si="1"/>
        <v>0</v>
      </c>
      <c r="U47" s="1200">
        <f t="shared" si="1"/>
        <v>0</v>
      </c>
      <c r="V47" s="881"/>
      <c r="W47" s="882"/>
      <c r="X47" s="882"/>
      <c r="Y47" s="882"/>
      <c r="Z47" s="882"/>
      <c r="AA47" s="882"/>
      <c r="AB47" s="882"/>
      <c r="AC47" s="893"/>
      <c r="AD47" s="893"/>
    </row>
    <row r="48" spans="1:30" ht="21.75" customHeight="1">
      <c r="A48" s="36"/>
      <c r="B48" s="80"/>
      <c r="C48" s="37" t="s">
        <v>104</v>
      </c>
      <c r="D48" s="58" t="s">
        <v>91</v>
      </c>
      <c r="E48" s="59"/>
      <c r="F48" s="881"/>
      <c r="G48" s="882"/>
      <c r="H48" s="882"/>
      <c r="I48" s="882"/>
      <c r="J48" s="882"/>
      <c r="K48" s="882"/>
      <c r="L48" s="882"/>
      <c r="M48" s="893"/>
      <c r="N48" s="881"/>
      <c r="O48" s="882"/>
      <c r="P48" s="882"/>
      <c r="Q48" s="882"/>
      <c r="R48" s="882"/>
      <c r="S48" s="882"/>
      <c r="T48" s="872">
        <f t="shared" si="1"/>
        <v>0</v>
      </c>
      <c r="U48" s="1200">
        <f t="shared" si="1"/>
        <v>0</v>
      </c>
      <c r="V48" s="881"/>
      <c r="W48" s="882"/>
      <c r="X48" s="882"/>
      <c r="Y48" s="882"/>
      <c r="Z48" s="882"/>
      <c r="AA48" s="882"/>
      <c r="AB48" s="882"/>
      <c r="AC48" s="893"/>
      <c r="AD48" s="893"/>
    </row>
    <row r="49" spans="1:30" ht="21.75" customHeight="1" thickBot="1">
      <c r="A49" s="64"/>
      <c r="B49" s="77"/>
      <c r="C49" s="57" t="s">
        <v>105</v>
      </c>
      <c r="D49" s="58" t="s">
        <v>106</v>
      </c>
      <c r="E49" s="59"/>
      <c r="F49" s="881"/>
      <c r="G49" s="882"/>
      <c r="H49" s="882"/>
      <c r="I49" s="882"/>
      <c r="J49" s="882"/>
      <c r="K49" s="882"/>
      <c r="L49" s="882"/>
      <c r="M49" s="893"/>
      <c r="N49" s="881"/>
      <c r="O49" s="882"/>
      <c r="P49" s="882"/>
      <c r="Q49" s="882"/>
      <c r="R49" s="882"/>
      <c r="S49" s="882"/>
      <c r="T49" s="878">
        <f t="shared" si="1"/>
        <v>0</v>
      </c>
      <c r="U49" s="1208">
        <f t="shared" si="1"/>
        <v>0</v>
      </c>
      <c r="V49" s="894"/>
      <c r="W49" s="895"/>
      <c r="X49" s="895"/>
      <c r="Y49" s="895"/>
      <c r="Z49" s="895"/>
      <c r="AA49" s="895"/>
      <c r="AB49" s="895"/>
      <c r="AC49" s="1215"/>
      <c r="AD49" s="1215"/>
    </row>
    <row r="50" spans="1:30" ht="21.75" customHeight="1" hidden="1">
      <c r="A50" s="84"/>
      <c r="B50" s="80"/>
      <c r="C50" s="1419"/>
      <c r="D50" s="1419"/>
      <c r="E50" s="39"/>
      <c r="F50" s="881"/>
      <c r="G50" s="882"/>
      <c r="H50" s="882"/>
      <c r="I50" s="882"/>
      <c r="J50" s="882"/>
      <c r="K50" s="882"/>
      <c r="L50" s="882"/>
      <c r="M50" s="893"/>
      <c r="N50" s="881"/>
      <c r="O50" s="882"/>
      <c r="P50" s="882"/>
      <c r="Q50" s="882"/>
      <c r="R50" s="882"/>
      <c r="S50" s="882"/>
      <c r="T50" s="1197">
        <f t="shared" si="1"/>
        <v>0</v>
      </c>
      <c r="U50" s="1198">
        <f t="shared" si="1"/>
        <v>0</v>
      </c>
      <c r="V50" s="897"/>
      <c r="W50" s="898"/>
      <c r="X50" s="898"/>
      <c r="Y50" s="898"/>
      <c r="Z50" s="898"/>
      <c r="AA50" s="898"/>
      <c r="AB50" s="898"/>
      <c r="AC50" s="1203"/>
      <c r="AD50" s="1203"/>
    </row>
    <row r="51" spans="1:30" ht="21.75" customHeight="1" hidden="1">
      <c r="A51" s="84"/>
      <c r="B51" s="77"/>
      <c r="C51" s="1422"/>
      <c r="D51" s="1422"/>
      <c r="E51" s="87"/>
      <c r="F51" s="899"/>
      <c r="G51" s="900"/>
      <c r="H51" s="900"/>
      <c r="I51" s="900"/>
      <c r="J51" s="900"/>
      <c r="K51" s="900"/>
      <c r="L51" s="900"/>
      <c r="M51" s="901"/>
      <c r="N51" s="899"/>
      <c r="O51" s="900"/>
      <c r="P51" s="900"/>
      <c r="Q51" s="900"/>
      <c r="R51" s="900"/>
      <c r="S51" s="900"/>
      <c r="T51" s="1197">
        <f t="shared" si="1"/>
        <v>0</v>
      </c>
      <c r="U51" s="1198">
        <f t="shared" si="1"/>
        <v>0</v>
      </c>
      <c r="V51" s="897"/>
      <c r="W51" s="898"/>
      <c r="X51" s="898"/>
      <c r="Y51" s="898"/>
      <c r="Z51" s="898"/>
      <c r="AA51" s="898"/>
      <c r="AB51" s="898"/>
      <c r="AC51" s="1203"/>
      <c r="AD51" s="1203"/>
    </row>
    <row r="52" spans="1:30" ht="21.75" customHeight="1" thickBot="1">
      <c r="A52" s="67" t="s">
        <v>107</v>
      </c>
      <c r="B52" s="1415" t="s">
        <v>108</v>
      </c>
      <c r="C52" s="1415"/>
      <c r="D52" s="1415"/>
      <c r="E52" s="25"/>
      <c r="F52" s="883">
        <f aca="true" t="shared" si="5" ref="F52:AD52">F53+F54</f>
        <v>540000</v>
      </c>
      <c r="G52" s="886">
        <f t="shared" si="5"/>
        <v>0</v>
      </c>
      <c r="H52" s="886">
        <f t="shared" si="5"/>
        <v>0</v>
      </c>
      <c r="I52" s="886">
        <f t="shared" si="5"/>
        <v>0</v>
      </c>
      <c r="J52" s="886">
        <f t="shared" si="5"/>
        <v>0</v>
      </c>
      <c r="K52" s="886">
        <f t="shared" si="5"/>
        <v>0</v>
      </c>
      <c r="L52" s="886">
        <f>L53+L54</f>
        <v>580000</v>
      </c>
      <c r="M52" s="1188">
        <f>SUM(M53:M54)</f>
        <v>1480000</v>
      </c>
      <c r="N52" s="883">
        <f t="shared" si="5"/>
        <v>540000</v>
      </c>
      <c r="O52" s="886">
        <f t="shared" si="5"/>
        <v>0</v>
      </c>
      <c r="P52" s="886">
        <f t="shared" si="5"/>
        <v>0</v>
      </c>
      <c r="Q52" s="886">
        <f t="shared" si="5"/>
        <v>0</v>
      </c>
      <c r="R52" s="886">
        <f t="shared" si="5"/>
        <v>0</v>
      </c>
      <c r="S52" s="886">
        <f t="shared" si="5"/>
        <v>0</v>
      </c>
      <c r="T52" s="1197">
        <f t="shared" si="1"/>
        <v>580000</v>
      </c>
      <c r="U52" s="1198">
        <f t="shared" si="1"/>
        <v>1480000</v>
      </c>
      <c r="V52" s="883">
        <f t="shared" si="5"/>
        <v>0</v>
      </c>
      <c r="W52" s="886" t="e">
        <f t="shared" si="5"/>
        <v>#REF!</v>
      </c>
      <c r="X52" s="886" t="e">
        <f t="shared" si="5"/>
        <v>#REF!</v>
      </c>
      <c r="Y52" s="886" t="e">
        <f t="shared" si="5"/>
        <v>#REF!</v>
      </c>
      <c r="Z52" s="886" t="e">
        <f t="shared" si="5"/>
        <v>#REF!</v>
      </c>
      <c r="AA52" s="886" t="e">
        <f t="shared" si="5"/>
        <v>#REF!</v>
      </c>
      <c r="AB52" s="886"/>
      <c r="AC52" s="1188"/>
      <c r="AD52" s="1188">
        <f t="shared" si="5"/>
        <v>0</v>
      </c>
    </row>
    <row r="53" spans="1:30" s="28" customFormat="1" ht="21.75" customHeight="1">
      <c r="A53" s="91"/>
      <c r="B53" s="77" t="s">
        <v>109</v>
      </c>
      <c r="C53" s="1421" t="s">
        <v>513</v>
      </c>
      <c r="D53" s="1421"/>
      <c r="E53" s="59" t="s">
        <v>111</v>
      </c>
      <c r="F53" s="881">
        <v>540000</v>
      </c>
      <c r="G53" s="902"/>
      <c r="H53" s="902"/>
      <c r="I53" s="902"/>
      <c r="J53" s="902"/>
      <c r="K53" s="902"/>
      <c r="L53" s="891">
        <v>565000</v>
      </c>
      <c r="M53" s="1204">
        <f>'3.sz.m Önk  bev.'!M51</f>
        <v>1465000</v>
      </c>
      <c r="N53" s="892">
        <v>540000</v>
      </c>
      <c r="O53" s="902"/>
      <c r="P53" s="902"/>
      <c r="Q53" s="902"/>
      <c r="R53" s="902"/>
      <c r="S53" s="902"/>
      <c r="T53" s="869">
        <f t="shared" si="1"/>
        <v>565000</v>
      </c>
      <c r="U53" s="1199">
        <f t="shared" si="1"/>
        <v>1465000</v>
      </c>
      <c r="V53" s="903"/>
      <c r="W53" s="902" t="e">
        <f>SUM(#REF!)</f>
        <v>#REF!</v>
      </c>
      <c r="X53" s="902" t="e">
        <f>SUM(#REF!)</f>
        <v>#REF!</v>
      </c>
      <c r="Y53" s="902" t="e">
        <f>SUM(#REF!)</f>
        <v>#REF!</v>
      </c>
      <c r="Z53" s="902" t="e">
        <f>SUM(#REF!)</f>
        <v>#REF!</v>
      </c>
      <c r="AA53" s="902" t="e">
        <f>SUM(#REF!)</f>
        <v>#REF!</v>
      </c>
      <c r="AB53" s="902"/>
      <c r="AC53" s="1216"/>
      <c r="AD53" s="1216"/>
    </row>
    <row r="54" spans="1:30" ht="21.75" customHeight="1" thickBot="1">
      <c r="A54" s="36"/>
      <c r="B54" s="37" t="s">
        <v>112</v>
      </c>
      <c r="C54" s="1419" t="s">
        <v>514</v>
      </c>
      <c r="D54" s="1419"/>
      <c r="E54" s="39" t="s">
        <v>114</v>
      </c>
      <c r="F54" s="881"/>
      <c r="G54" s="904"/>
      <c r="H54" s="904"/>
      <c r="I54" s="904"/>
      <c r="J54" s="904"/>
      <c r="K54" s="904"/>
      <c r="L54" s="911">
        <v>15000</v>
      </c>
      <c r="M54" s="1204">
        <f>'3.sz.m Önk  bev.'!M52</f>
        <v>15000</v>
      </c>
      <c r="N54" s="905"/>
      <c r="O54" s="904"/>
      <c r="P54" s="904"/>
      <c r="Q54" s="904"/>
      <c r="R54" s="904"/>
      <c r="S54" s="904"/>
      <c r="T54" s="878">
        <f t="shared" si="1"/>
        <v>15000</v>
      </c>
      <c r="U54" s="1208">
        <f t="shared" si="1"/>
        <v>15000</v>
      </c>
      <c r="V54" s="905"/>
      <c r="W54" s="904" t="e">
        <f>SUM(#REF!)</f>
        <v>#REF!</v>
      </c>
      <c r="X54" s="904" t="e">
        <f>SUM(#REF!)</f>
        <v>#REF!</v>
      </c>
      <c r="Y54" s="904" t="e">
        <f>SUM(#REF!)</f>
        <v>#REF!</v>
      </c>
      <c r="Z54" s="904" t="e">
        <f>SUM(#REF!)</f>
        <v>#REF!</v>
      </c>
      <c r="AA54" s="904" t="e">
        <f>SUM(#REF!)</f>
        <v>#REF!</v>
      </c>
      <c r="AB54" s="1217"/>
      <c r="AC54" s="1218"/>
      <c r="AD54" s="1218"/>
    </row>
    <row r="55" spans="1:30" ht="21.75" customHeight="1" thickBot="1">
      <c r="A55" s="67" t="s">
        <v>115</v>
      </c>
      <c r="B55" s="1415" t="s">
        <v>116</v>
      </c>
      <c r="C55" s="1415"/>
      <c r="D55" s="1415"/>
      <c r="E55" s="25" t="s">
        <v>117</v>
      </c>
      <c r="F55" s="906">
        <f aca="true" t="shared" si="6" ref="F55:AD55">F56+F57</f>
        <v>0</v>
      </c>
      <c r="G55" s="916">
        <f t="shared" si="6"/>
        <v>0</v>
      </c>
      <c r="H55" s="916">
        <f t="shared" si="6"/>
        <v>0</v>
      </c>
      <c r="I55" s="916">
        <f t="shared" si="6"/>
        <v>0</v>
      </c>
      <c r="J55" s="916">
        <f t="shared" si="6"/>
        <v>0</v>
      </c>
      <c r="K55" s="916">
        <f t="shared" si="6"/>
        <v>0</v>
      </c>
      <c r="L55" s="916">
        <v>400000</v>
      </c>
      <c r="M55" s="1184">
        <v>400000</v>
      </c>
      <c r="N55" s="906">
        <f t="shared" si="6"/>
        <v>0</v>
      </c>
      <c r="O55" s="916">
        <f t="shared" si="6"/>
        <v>0</v>
      </c>
      <c r="P55" s="916">
        <f t="shared" si="6"/>
        <v>0</v>
      </c>
      <c r="Q55" s="916">
        <f t="shared" si="6"/>
        <v>0</v>
      </c>
      <c r="R55" s="916">
        <f t="shared" si="6"/>
        <v>0</v>
      </c>
      <c r="S55" s="916">
        <f t="shared" si="6"/>
        <v>0</v>
      </c>
      <c r="T55" s="1197">
        <f t="shared" si="1"/>
        <v>400000</v>
      </c>
      <c r="U55" s="1198">
        <f t="shared" si="1"/>
        <v>400000</v>
      </c>
      <c r="V55" s="906">
        <f t="shared" si="6"/>
        <v>0</v>
      </c>
      <c r="W55" s="916">
        <f t="shared" si="6"/>
        <v>0</v>
      </c>
      <c r="X55" s="916">
        <f t="shared" si="6"/>
        <v>0</v>
      </c>
      <c r="Y55" s="916">
        <f t="shared" si="6"/>
        <v>0</v>
      </c>
      <c r="Z55" s="916">
        <f t="shared" si="6"/>
        <v>0</v>
      </c>
      <c r="AA55" s="916">
        <f t="shared" si="6"/>
        <v>0</v>
      </c>
      <c r="AB55" s="916"/>
      <c r="AC55" s="1184"/>
      <c r="AD55" s="1184">
        <f t="shared" si="6"/>
        <v>0</v>
      </c>
    </row>
    <row r="56" spans="1:30" s="28" customFormat="1" ht="21.75" customHeight="1">
      <c r="A56" s="91"/>
      <c r="B56" s="57" t="s">
        <v>118</v>
      </c>
      <c r="C56" s="1421" t="s">
        <v>119</v>
      </c>
      <c r="D56" s="1421"/>
      <c r="E56" s="59" t="s">
        <v>120</v>
      </c>
      <c r="F56" s="907"/>
      <c r="G56" s="908"/>
      <c r="H56" s="908"/>
      <c r="I56" s="908"/>
      <c r="J56" s="908"/>
      <c r="K56" s="908"/>
      <c r="L56" s="915">
        <v>400000</v>
      </c>
      <c r="M56" s="1185">
        <v>400000</v>
      </c>
      <c r="N56" s="907"/>
      <c r="O56" s="908"/>
      <c r="P56" s="908"/>
      <c r="Q56" s="908"/>
      <c r="R56" s="908"/>
      <c r="S56" s="908"/>
      <c r="T56" s="869">
        <f t="shared" si="1"/>
        <v>400000</v>
      </c>
      <c r="U56" s="1199">
        <f t="shared" si="1"/>
        <v>400000</v>
      </c>
      <c r="V56" s="907"/>
      <c r="W56" s="908"/>
      <c r="X56" s="908"/>
      <c r="Y56" s="908"/>
      <c r="Z56" s="908"/>
      <c r="AA56" s="908"/>
      <c r="AB56" s="908"/>
      <c r="AC56" s="1207"/>
      <c r="AD56" s="1207"/>
    </row>
    <row r="57" spans="1:30" ht="21.75" customHeight="1" thickBot="1">
      <c r="A57" s="64"/>
      <c r="B57" s="65" t="s">
        <v>121</v>
      </c>
      <c r="C57" s="1418" t="s">
        <v>122</v>
      </c>
      <c r="D57" s="1418"/>
      <c r="E57" s="66" t="s">
        <v>123</v>
      </c>
      <c r="F57" s="909"/>
      <c r="G57" s="910"/>
      <c r="H57" s="910"/>
      <c r="I57" s="910"/>
      <c r="J57" s="910"/>
      <c r="K57" s="910"/>
      <c r="L57" s="910"/>
      <c r="M57" s="1206"/>
      <c r="N57" s="909"/>
      <c r="O57" s="910"/>
      <c r="P57" s="910"/>
      <c r="Q57" s="910"/>
      <c r="R57" s="910"/>
      <c r="S57" s="910"/>
      <c r="T57" s="878">
        <f t="shared" si="1"/>
        <v>0</v>
      </c>
      <c r="U57" s="1208">
        <f t="shared" si="1"/>
        <v>0</v>
      </c>
      <c r="V57" s="909"/>
      <c r="W57" s="910"/>
      <c r="X57" s="910"/>
      <c r="Y57" s="910"/>
      <c r="Z57" s="910"/>
      <c r="AA57" s="910"/>
      <c r="AB57" s="910"/>
      <c r="AC57" s="1206"/>
      <c r="AD57" s="1206"/>
    </row>
    <row r="58" spans="1:30" ht="21.75" customHeight="1" thickBot="1">
      <c r="A58" s="67" t="s">
        <v>124</v>
      </c>
      <c r="B58" s="1425" t="s">
        <v>125</v>
      </c>
      <c r="C58" s="1425"/>
      <c r="D58" s="1425"/>
      <c r="E58" s="101"/>
      <c r="F58" s="906">
        <f aca="true" t="shared" si="7" ref="F58:AD58">F7+F21+F36+F44+F52+F55</f>
        <v>63805675</v>
      </c>
      <c r="G58" s="916">
        <f t="shared" si="7"/>
        <v>0</v>
      </c>
      <c r="H58" s="916">
        <f t="shared" si="7"/>
        <v>0</v>
      </c>
      <c r="I58" s="916">
        <f t="shared" si="7"/>
        <v>0</v>
      </c>
      <c r="J58" s="916">
        <f t="shared" si="7"/>
        <v>0</v>
      </c>
      <c r="K58" s="916">
        <f t="shared" si="7"/>
        <v>0</v>
      </c>
      <c r="L58" s="916">
        <f>L7+L21+L36+L52+L55</f>
        <v>65260404</v>
      </c>
      <c r="M58" s="1184">
        <f>M7+M21+M36+M52+M55</f>
        <v>68375224</v>
      </c>
      <c r="N58" s="906">
        <f t="shared" si="7"/>
        <v>56949386</v>
      </c>
      <c r="O58" s="916">
        <f t="shared" si="7"/>
        <v>0</v>
      </c>
      <c r="P58" s="916">
        <f t="shared" si="7"/>
        <v>0</v>
      </c>
      <c r="Q58" s="916">
        <f t="shared" si="7"/>
        <v>0</v>
      </c>
      <c r="R58" s="916">
        <f t="shared" si="7"/>
        <v>0</v>
      </c>
      <c r="S58" s="916">
        <f t="shared" si="7"/>
        <v>0</v>
      </c>
      <c r="T58" s="1197">
        <f t="shared" si="1"/>
        <v>58251970</v>
      </c>
      <c r="U58" s="1184">
        <f>U7+U21+U36+U52+U55</f>
        <v>61134790</v>
      </c>
      <c r="V58" s="906">
        <f t="shared" si="7"/>
        <v>6856289</v>
      </c>
      <c r="W58" s="916" t="e">
        <f t="shared" si="7"/>
        <v>#REF!</v>
      </c>
      <c r="X58" s="916" t="e">
        <f t="shared" si="7"/>
        <v>#REF!</v>
      </c>
      <c r="Y58" s="916" t="e">
        <f t="shared" si="7"/>
        <v>#REF!</v>
      </c>
      <c r="Z58" s="916" t="e">
        <f t="shared" si="7"/>
        <v>#REF!</v>
      </c>
      <c r="AA58" s="916" t="e">
        <f t="shared" si="7"/>
        <v>#REF!</v>
      </c>
      <c r="AB58" s="916">
        <f>AB7+AB21+AB36</f>
        <v>7008434</v>
      </c>
      <c r="AC58" s="1184">
        <f>AC7+AC21+AC36</f>
        <v>7240434</v>
      </c>
      <c r="AD58" s="1184">
        <f t="shared" si="7"/>
        <v>0</v>
      </c>
    </row>
    <row r="59" spans="1:30" ht="24" customHeight="1" thickBot="1">
      <c r="A59" s="24" t="s">
        <v>126</v>
      </c>
      <c r="B59" s="1415" t="s">
        <v>127</v>
      </c>
      <c r="C59" s="1415"/>
      <c r="D59" s="1415"/>
      <c r="E59" s="25"/>
      <c r="F59" s="906">
        <f aca="true" t="shared" si="8" ref="F59:AA59">F60+F61+F62</f>
        <v>20722821</v>
      </c>
      <c r="G59" s="916">
        <f t="shared" si="8"/>
        <v>0</v>
      </c>
      <c r="H59" s="916">
        <f t="shared" si="8"/>
        <v>0</v>
      </c>
      <c r="I59" s="916">
        <f t="shared" si="8"/>
        <v>0</v>
      </c>
      <c r="J59" s="916">
        <f t="shared" si="8"/>
        <v>0</v>
      </c>
      <c r="K59" s="916">
        <f t="shared" si="8"/>
        <v>0</v>
      </c>
      <c r="L59" s="916">
        <v>20722821</v>
      </c>
      <c r="M59" s="1184">
        <v>20722821</v>
      </c>
      <c r="N59" s="906">
        <f t="shared" si="8"/>
        <v>20722821</v>
      </c>
      <c r="O59" s="916">
        <f t="shared" si="8"/>
        <v>0</v>
      </c>
      <c r="P59" s="916">
        <f t="shared" si="8"/>
        <v>0</v>
      </c>
      <c r="Q59" s="916">
        <f t="shared" si="8"/>
        <v>0</v>
      </c>
      <c r="R59" s="916">
        <f t="shared" si="8"/>
        <v>0</v>
      </c>
      <c r="S59" s="916">
        <f t="shared" si="8"/>
        <v>0</v>
      </c>
      <c r="T59" s="1197">
        <f t="shared" si="1"/>
        <v>20722821</v>
      </c>
      <c r="U59" s="1184">
        <v>20722821</v>
      </c>
      <c r="V59" s="906">
        <f t="shared" si="8"/>
        <v>0</v>
      </c>
      <c r="W59" s="916">
        <f t="shared" si="8"/>
        <v>0</v>
      </c>
      <c r="X59" s="916">
        <f t="shared" si="8"/>
        <v>0</v>
      </c>
      <c r="Y59" s="916">
        <f t="shared" si="8"/>
        <v>0</v>
      </c>
      <c r="Z59" s="916">
        <f t="shared" si="8"/>
        <v>0</v>
      </c>
      <c r="AA59" s="916">
        <f t="shared" si="8"/>
        <v>0</v>
      </c>
      <c r="AB59" s="916"/>
      <c r="AC59" s="1184"/>
      <c r="AD59" s="1184"/>
    </row>
    <row r="60" spans="1:30" ht="27.75" customHeight="1">
      <c r="A60" s="56"/>
      <c r="B60" s="57" t="s">
        <v>128</v>
      </c>
      <c r="C60" s="1421" t="s">
        <v>129</v>
      </c>
      <c r="D60" s="1421"/>
      <c r="E60" s="59" t="s">
        <v>130</v>
      </c>
      <c r="F60" s="881"/>
      <c r="G60" s="908"/>
      <c r="H60" s="908"/>
      <c r="I60" s="908"/>
      <c r="J60" s="908"/>
      <c r="K60" s="908"/>
      <c r="L60" s="908"/>
      <c r="M60" s="1207"/>
      <c r="N60" s="907"/>
      <c r="O60" s="908"/>
      <c r="P60" s="908"/>
      <c r="Q60" s="908"/>
      <c r="R60" s="908"/>
      <c r="S60" s="908"/>
      <c r="T60" s="869">
        <f t="shared" si="1"/>
        <v>0</v>
      </c>
      <c r="U60" s="1199">
        <f t="shared" si="1"/>
        <v>0</v>
      </c>
      <c r="V60" s="907"/>
      <c r="W60" s="908">
        <f>SUM(W61:W62)</f>
        <v>0</v>
      </c>
      <c r="X60" s="908">
        <f>SUM(X61:X62)</f>
        <v>0</v>
      </c>
      <c r="Y60" s="908">
        <f>SUM(Y61:Y62)</f>
        <v>0</v>
      </c>
      <c r="Z60" s="908">
        <f>SUM(Z61:Z62)</f>
        <v>0</v>
      </c>
      <c r="AA60" s="908">
        <f>SUM(AA61:AA62)</f>
        <v>0</v>
      </c>
      <c r="AB60" s="908"/>
      <c r="AC60" s="1207"/>
      <c r="AD60" s="1207"/>
    </row>
    <row r="61" spans="1:30" ht="24" customHeight="1">
      <c r="A61" s="36"/>
      <c r="B61" s="80" t="s">
        <v>131</v>
      </c>
      <c r="C61" s="1421" t="s">
        <v>132</v>
      </c>
      <c r="D61" s="1421"/>
      <c r="E61" s="59" t="s">
        <v>133</v>
      </c>
      <c r="F61" s="881"/>
      <c r="G61" s="911"/>
      <c r="H61" s="911"/>
      <c r="I61" s="911"/>
      <c r="J61" s="911"/>
      <c r="K61" s="911"/>
      <c r="L61" s="911"/>
      <c r="M61" s="1193"/>
      <c r="N61" s="912"/>
      <c r="O61" s="911"/>
      <c r="P61" s="911"/>
      <c r="Q61" s="911"/>
      <c r="R61" s="911"/>
      <c r="S61" s="911"/>
      <c r="T61" s="872">
        <f t="shared" si="1"/>
        <v>0</v>
      </c>
      <c r="U61" s="1200">
        <f t="shared" si="1"/>
        <v>0</v>
      </c>
      <c r="V61" s="912"/>
      <c r="W61" s="911"/>
      <c r="X61" s="911"/>
      <c r="Y61" s="911"/>
      <c r="Z61" s="911"/>
      <c r="AA61" s="911"/>
      <c r="AB61" s="911"/>
      <c r="AC61" s="1193"/>
      <c r="AD61" s="1193"/>
    </row>
    <row r="62" spans="1:30" ht="39" customHeight="1" thickBot="1">
      <c r="A62" s="36"/>
      <c r="B62" s="80" t="s">
        <v>134</v>
      </c>
      <c r="C62" s="1421" t="s">
        <v>135</v>
      </c>
      <c r="D62" s="1421"/>
      <c r="E62" s="59" t="s">
        <v>136</v>
      </c>
      <c r="F62" s="881">
        <v>20722821</v>
      </c>
      <c r="G62" s="911"/>
      <c r="H62" s="911"/>
      <c r="I62" s="911"/>
      <c r="J62" s="911"/>
      <c r="K62" s="911"/>
      <c r="L62" s="911">
        <v>20722821</v>
      </c>
      <c r="M62" s="1193">
        <f>'3.sz.m Önk  bev.'!M60+'5. sz. m óvoda'!Q25</f>
        <v>20722821</v>
      </c>
      <c r="N62" s="912">
        <v>20722821</v>
      </c>
      <c r="O62" s="911"/>
      <c r="P62" s="911"/>
      <c r="Q62" s="911"/>
      <c r="R62" s="911"/>
      <c r="S62" s="911"/>
      <c r="T62" s="878">
        <f t="shared" si="1"/>
        <v>20722821</v>
      </c>
      <c r="U62" s="1208">
        <f t="shared" si="1"/>
        <v>20722821</v>
      </c>
      <c r="V62" s="912"/>
      <c r="W62" s="911"/>
      <c r="X62" s="911"/>
      <c r="Y62" s="911"/>
      <c r="Z62" s="911"/>
      <c r="AA62" s="911"/>
      <c r="AB62" s="910"/>
      <c r="AC62" s="1206"/>
      <c r="AD62" s="1206"/>
    </row>
    <row r="63" spans="1:30" ht="35.25" customHeight="1" thickBot="1">
      <c r="A63" s="104" t="s">
        <v>137</v>
      </c>
      <c r="B63" s="1416" t="s">
        <v>138</v>
      </c>
      <c r="C63" s="1416"/>
      <c r="D63" s="1416"/>
      <c r="E63" s="105"/>
      <c r="F63" s="913">
        <f aca="true" t="shared" si="9" ref="F63:AD63">F58+F59</f>
        <v>84528496</v>
      </c>
      <c r="G63" s="1186">
        <f t="shared" si="9"/>
        <v>0</v>
      </c>
      <c r="H63" s="1186">
        <f t="shared" si="9"/>
        <v>0</v>
      </c>
      <c r="I63" s="1186">
        <f t="shared" si="9"/>
        <v>0</v>
      </c>
      <c r="J63" s="1186">
        <f t="shared" si="9"/>
        <v>0</v>
      </c>
      <c r="K63" s="1186">
        <f t="shared" si="9"/>
        <v>0</v>
      </c>
      <c r="L63" s="1186">
        <f>L58+L59</f>
        <v>85983225</v>
      </c>
      <c r="M63" s="1187">
        <f>M58+M59</f>
        <v>89098045</v>
      </c>
      <c r="N63" s="913">
        <f t="shared" si="9"/>
        <v>77672207</v>
      </c>
      <c r="O63" s="1186">
        <f t="shared" si="9"/>
        <v>0</v>
      </c>
      <c r="P63" s="1186">
        <f t="shared" si="9"/>
        <v>0</v>
      </c>
      <c r="Q63" s="1186">
        <f t="shared" si="9"/>
        <v>0</v>
      </c>
      <c r="R63" s="1186">
        <f t="shared" si="9"/>
        <v>0</v>
      </c>
      <c r="S63" s="1186">
        <f t="shared" si="9"/>
        <v>0</v>
      </c>
      <c r="T63" s="1197">
        <f t="shared" si="1"/>
        <v>78974791</v>
      </c>
      <c r="U63" s="1187">
        <f>U58+U59</f>
        <v>81857611</v>
      </c>
      <c r="V63" s="913">
        <f t="shared" si="9"/>
        <v>6856289</v>
      </c>
      <c r="W63" s="1186" t="e">
        <f t="shared" si="9"/>
        <v>#REF!</v>
      </c>
      <c r="X63" s="1186" t="e">
        <f t="shared" si="9"/>
        <v>#REF!</v>
      </c>
      <c r="Y63" s="1186" t="e">
        <f t="shared" si="9"/>
        <v>#REF!</v>
      </c>
      <c r="Z63" s="1186" t="e">
        <f t="shared" si="9"/>
        <v>#REF!</v>
      </c>
      <c r="AA63" s="1186" t="e">
        <f t="shared" si="9"/>
        <v>#REF!</v>
      </c>
      <c r="AB63" s="1186">
        <f>AB58</f>
        <v>7008434</v>
      </c>
      <c r="AC63" s="1187">
        <f>AC58</f>
        <v>7240434</v>
      </c>
      <c r="AD63" s="1187">
        <f t="shared" si="9"/>
        <v>0</v>
      </c>
    </row>
    <row r="64" spans="1:29" ht="21.75" customHeight="1" hidden="1">
      <c r="A64" s="1417" t="s">
        <v>139</v>
      </c>
      <c r="B64" s="1417"/>
      <c r="C64" s="1417"/>
      <c r="D64" s="1417"/>
      <c r="E64" s="107"/>
      <c r="F64" s="108"/>
      <c r="G64" s="109"/>
      <c r="H64" s="109"/>
      <c r="I64" s="109"/>
      <c r="J64" s="109"/>
      <c r="K64" s="110"/>
      <c r="L64" s="728"/>
      <c r="M64" s="728"/>
      <c r="N64" s="108"/>
      <c r="O64" s="109"/>
      <c r="P64" s="109"/>
      <c r="Q64" s="109"/>
      <c r="R64" s="109"/>
      <c r="S64" s="110"/>
      <c r="T64" s="728"/>
      <c r="U64" s="728"/>
      <c r="V64" s="108"/>
      <c r="W64" s="109"/>
      <c r="X64" s="109"/>
      <c r="Y64" s="109"/>
      <c r="Z64" s="109"/>
      <c r="AA64" s="110"/>
      <c r="AB64" s="730"/>
      <c r="AC64" s="730"/>
    </row>
    <row r="65" spans="1:29" ht="21.75" customHeight="1" hidden="1">
      <c r="A65" s="1424" t="s">
        <v>140</v>
      </c>
      <c r="B65" s="1424"/>
      <c r="C65" s="1424"/>
      <c r="D65" s="1424"/>
      <c r="E65" s="111"/>
      <c r="F65" s="112"/>
      <c r="G65" s="113"/>
      <c r="H65" s="113"/>
      <c r="I65" s="113"/>
      <c r="J65" s="113"/>
      <c r="K65" s="114"/>
      <c r="L65" s="729"/>
      <c r="M65" s="729"/>
      <c r="N65" s="112"/>
      <c r="O65" s="113"/>
      <c r="P65" s="113"/>
      <c r="Q65" s="113"/>
      <c r="R65" s="113"/>
      <c r="S65" s="114"/>
      <c r="T65" s="729"/>
      <c r="U65" s="729"/>
      <c r="V65" s="112"/>
      <c r="W65" s="113"/>
      <c r="X65" s="113"/>
      <c r="Y65" s="113"/>
      <c r="Z65" s="113"/>
      <c r="AA65" s="115"/>
      <c r="AB65" s="731"/>
      <c r="AC65" s="731"/>
    </row>
    <row r="66" spans="1:29" ht="21.75" customHeight="1">
      <c r="A66" s="116"/>
      <c r="B66" s="117"/>
      <c r="C66" s="117"/>
      <c r="D66" s="117"/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732"/>
      <c r="AC66" s="732"/>
    </row>
    <row r="68" ht="35.25" customHeight="1"/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7">
    <mergeCell ref="C26:D26"/>
    <mergeCell ref="C23:D23"/>
    <mergeCell ref="C22:D22"/>
    <mergeCell ref="F4:M4"/>
    <mergeCell ref="N4:U4"/>
    <mergeCell ref="V4:AC4"/>
    <mergeCell ref="C13:D13"/>
    <mergeCell ref="C16:D16"/>
    <mergeCell ref="C20:D20"/>
    <mergeCell ref="A2:V2"/>
    <mergeCell ref="A4:C4"/>
    <mergeCell ref="B6:D6"/>
    <mergeCell ref="B7:D7"/>
    <mergeCell ref="C8:D8"/>
    <mergeCell ref="C53:D53"/>
    <mergeCell ref="C17:D17"/>
    <mergeCell ref="C39:D39"/>
    <mergeCell ref="B21:D21"/>
    <mergeCell ref="C25:D25"/>
    <mergeCell ref="C62:D62"/>
    <mergeCell ref="C27:D27"/>
    <mergeCell ref="C31:D31"/>
    <mergeCell ref="C34:D34"/>
    <mergeCell ref="C33:D33"/>
    <mergeCell ref="B36:D36"/>
    <mergeCell ref="C37:D37"/>
    <mergeCell ref="C32:D32"/>
    <mergeCell ref="C56:D56"/>
    <mergeCell ref="C38:D38"/>
    <mergeCell ref="C35:D35"/>
    <mergeCell ref="C51:D51"/>
    <mergeCell ref="C50:D50"/>
    <mergeCell ref="A65:D65"/>
    <mergeCell ref="B58:D58"/>
    <mergeCell ref="B59:D59"/>
    <mergeCell ref="C60:D60"/>
    <mergeCell ref="C61:D61"/>
    <mergeCell ref="B52:D52"/>
    <mergeCell ref="B63:D63"/>
    <mergeCell ref="A64:D64"/>
    <mergeCell ref="C57:D57"/>
    <mergeCell ref="C40:D40"/>
    <mergeCell ref="B44:D44"/>
    <mergeCell ref="C45:D45"/>
    <mergeCell ref="C46:D46"/>
    <mergeCell ref="C54:D54"/>
    <mergeCell ref="B55:D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75" zoomScaleNormal="75" zoomScalePageLayoutView="0" workbookViewId="0" topLeftCell="A1">
      <selection activeCell="W62" sqref="W62"/>
    </sheetView>
  </sheetViews>
  <sheetFormatPr defaultColWidth="9.140625" defaultRowHeight="12.75"/>
  <cols>
    <col min="1" max="1" width="37.8515625" style="499" customWidth="1"/>
    <col min="2" max="2" width="13.140625" style="500" customWidth="1"/>
    <col min="3" max="6" width="0" style="500" hidden="1" customWidth="1"/>
    <col min="7" max="8" width="12.57421875" style="500" customWidth="1"/>
    <col min="9" max="9" width="13.140625" style="500" customWidth="1"/>
    <col min="10" max="13" width="0" style="500" hidden="1" customWidth="1"/>
    <col min="14" max="15" width="13.421875" style="500" customWidth="1"/>
    <col min="16" max="16" width="12.7109375" style="500" customWidth="1"/>
    <col min="17" max="20" width="0" style="500" hidden="1" customWidth="1"/>
    <col min="21" max="22" width="12.00390625" style="500" customWidth="1"/>
    <col min="23" max="23" width="11.00390625" style="500" customWidth="1"/>
    <col min="24" max="27" width="0" style="500" hidden="1" customWidth="1"/>
    <col min="28" max="28" width="12.57421875" style="500" customWidth="1"/>
    <col min="29" max="29" width="13.8515625" style="500" customWidth="1"/>
    <col min="30" max="16384" width="9.140625" style="500" customWidth="1"/>
  </cols>
  <sheetData>
    <row r="1" spans="2:23" ht="12.75" customHeight="1">
      <c r="B1" s="13"/>
      <c r="P1" s="1580" t="s">
        <v>360</v>
      </c>
      <c r="Q1" s="1580"/>
      <c r="R1" s="1580"/>
      <c r="S1" s="1580"/>
      <c r="T1" s="1580"/>
      <c r="U1" s="1580"/>
      <c r="V1" s="1580"/>
      <c r="W1" s="1580"/>
    </row>
    <row r="2" spans="1:23" ht="30">
      <c r="A2" s="1581" t="s">
        <v>586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  <c r="O2" s="1581"/>
      <c r="P2" s="1581"/>
      <c r="Q2" s="1581"/>
      <c r="R2" s="1581"/>
      <c r="S2" s="1581"/>
      <c r="T2" s="1581"/>
      <c r="U2" s="1581"/>
      <c r="V2" s="1581"/>
      <c r="W2" s="1581"/>
    </row>
    <row r="3" spans="1:23" ht="15.75">
      <c r="A3" s="1582" t="s">
        <v>486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82"/>
      <c r="S3" s="1582"/>
      <c r="T3" s="1582"/>
      <c r="U3" s="1582"/>
      <c r="V3" s="1582"/>
      <c r="W3" s="1582"/>
    </row>
    <row r="4" spans="1:23" ht="15.75">
      <c r="A4" s="1076"/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  <c r="T4" s="1076"/>
      <c r="U4" s="1076"/>
      <c r="V4" s="1076"/>
      <c r="W4" s="1076"/>
    </row>
    <row r="5" spans="1:23" ht="15.75">
      <c r="A5" s="1076" t="s">
        <v>587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/>
      <c r="W5" s="1076"/>
    </row>
    <row r="6" spans="1:23" ht="14.25" customHeight="1">
      <c r="A6" s="1583" t="s">
        <v>361</v>
      </c>
      <c r="B6" s="1583"/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</row>
    <row r="7" ht="13.5" thickBot="1">
      <c r="W7" s="501" t="s">
        <v>1</v>
      </c>
    </row>
    <row r="8" spans="1:29" ht="24.75" customHeight="1">
      <c r="A8" s="1572" t="s">
        <v>362</v>
      </c>
      <c r="B8" s="1571" t="s">
        <v>363</v>
      </c>
      <c r="C8" s="1571"/>
      <c r="D8" s="1571"/>
      <c r="E8" s="1571"/>
      <c r="F8" s="1571"/>
      <c r="G8" s="1571"/>
      <c r="H8" s="1571"/>
      <c r="I8" s="1571"/>
      <c r="J8" s="1571"/>
      <c r="K8" s="1571"/>
      <c r="L8" s="1571"/>
      <c r="M8" s="1571"/>
      <c r="N8" s="1571"/>
      <c r="O8" s="1571"/>
      <c r="P8" s="1571" t="s">
        <v>364</v>
      </c>
      <c r="Q8" s="1571"/>
      <c r="R8" s="1571"/>
      <c r="S8" s="1571"/>
      <c r="T8" s="1571"/>
      <c r="U8" s="1571"/>
      <c r="V8" s="1571"/>
      <c r="W8" s="1571"/>
      <c r="X8" s="1571"/>
      <c r="Y8" s="1571"/>
      <c r="Z8" s="1571"/>
      <c r="AA8" s="1571"/>
      <c r="AB8" s="1571"/>
      <c r="AC8" s="1578"/>
    </row>
    <row r="9" spans="1:29" ht="24.75" customHeight="1">
      <c r="A9" s="1573"/>
      <c r="B9" s="1574" t="s">
        <v>365</v>
      </c>
      <c r="C9" s="1574"/>
      <c r="D9" s="1574"/>
      <c r="E9" s="1574"/>
      <c r="F9" s="1574"/>
      <c r="G9" s="1574"/>
      <c r="H9" s="1574"/>
      <c r="I9" s="1574" t="s">
        <v>366</v>
      </c>
      <c r="J9" s="1574"/>
      <c r="K9" s="1574"/>
      <c r="L9" s="1574"/>
      <c r="M9" s="1574"/>
      <c r="N9" s="1574"/>
      <c r="O9" s="1574"/>
      <c r="P9" s="1575" t="s">
        <v>365</v>
      </c>
      <c r="Q9" s="1576"/>
      <c r="R9" s="1576"/>
      <c r="S9" s="1576"/>
      <c r="T9" s="1576"/>
      <c r="U9" s="1576"/>
      <c r="V9" s="1577"/>
      <c r="W9" s="1574" t="s">
        <v>366</v>
      </c>
      <c r="X9" s="1574"/>
      <c r="Y9" s="1574"/>
      <c r="Z9" s="1574"/>
      <c r="AA9" s="1574"/>
      <c r="AB9" s="1574"/>
      <c r="AC9" s="1579"/>
    </row>
    <row r="10" spans="1:29" ht="42" customHeight="1" hidden="1">
      <c r="A10" s="1114"/>
      <c r="B10" s="502" t="s">
        <v>367</v>
      </c>
      <c r="C10" s="502" t="s">
        <v>10</v>
      </c>
      <c r="D10" s="1116" t="s">
        <v>368</v>
      </c>
      <c r="E10" s="502" t="s">
        <v>13</v>
      </c>
      <c r="F10" s="502" t="s">
        <v>14</v>
      </c>
      <c r="G10" s="502"/>
      <c r="H10" s="502"/>
      <c r="I10" s="502" t="s">
        <v>367</v>
      </c>
      <c r="J10" s="502" t="s">
        <v>10</v>
      </c>
      <c r="K10" s="1116" t="s">
        <v>368</v>
      </c>
      <c r="L10" s="502" t="s">
        <v>13</v>
      </c>
      <c r="M10" s="502" t="s">
        <v>14</v>
      </c>
      <c r="N10" s="502"/>
      <c r="O10" s="502"/>
      <c r="P10" s="502" t="s">
        <v>367</v>
      </c>
      <c r="Q10" s="502" t="s">
        <v>10</v>
      </c>
      <c r="R10" s="1116" t="s">
        <v>369</v>
      </c>
      <c r="S10" s="502" t="s">
        <v>13</v>
      </c>
      <c r="T10" s="502" t="s">
        <v>14</v>
      </c>
      <c r="U10" s="502"/>
      <c r="V10" s="502"/>
      <c r="W10" s="502" t="s">
        <v>367</v>
      </c>
      <c r="X10" s="502" t="s">
        <v>10</v>
      </c>
      <c r="Y10" s="1116" t="s">
        <v>368</v>
      </c>
      <c r="Z10" s="502" t="s">
        <v>370</v>
      </c>
      <c r="AA10" s="502" t="s">
        <v>14</v>
      </c>
      <c r="AB10" s="1113"/>
      <c r="AC10" s="830"/>
    </row>
    <row r="11" spans="1:29" ht="18" customHeight="1">
      <c r="A11" s="1114"/>
      <c r="B11" s="502" t="s">
        <v>367</v>
      </c>
      <c r="C11" s="502"/>
      <c r="D11" s="1116"/>
      <c r="E11" s="502"/>
      <c r="F11" s="502"/>
      <c r="G11" s="502" t="s">
        <v>507</v>
      </c>
      <c r="H11" s="502" t="s">
        <v>576</v>
      </c>
      <c r="I11" s="502" t="s">
        <v>367</v>
      </c>
      <c r="J11" s="502"/>
      <c r="K11" s="1116"/>
      <c r="L11" s="502"/>
      <c r="M11" s="502"/>
      <c r="N11" s="502" t="s">
        <v>507</v>
      </c>
      <c r="O11" s="502" t="s">
        <v>576</v>
      </c>
      <c r="P11" s="502" t="s">
        <v>367</v>
      </c>
      <c r="Q11" s="502"/>
      <c r="R11" s="1116"/>
      <c r="S11" s="502"/>
      <c r="T11" s="502"/>
      <c r="U11" s="502" t="s">
        <v>507</v>
      </c>
      <c r="V11" s="502" t="s">
        <v>576</v>
      </c>
      <c r="W11" s="502" t="s">
        <v>367</v>
      </c>
      <c r="X11" s="502"/>
      <c r="Y11" s="1116"/>
      <c r="Z11" s="502"/>
      <c r="AA11" s="502"/>
      <c r="AB11" s="502" t="s">
        <v>10</v>
      </c>
      <c r="AC11" s="1115" t="s">
        <v>11</v>
      </c>
    </row>
    <row r="12" spans="1:29" ht="18">
      <c r="A12" s="506" t="s">
        <v>490</v>
      </c>
      <c r="B12" s="507"/>
      <c r="C12" s="507"/>
      <c r="D12" s="507"/>
      <c r="E12" s="507"/>
      <c r="F12" s="507"/>
      <c r="G12" s="507"/>
      <c r="H12" s="507"/>
      <c r="I12" s="507">
        <v>86266</v>
      </c>
      <c r="J12" s="507"/>
      <c r="K12" s="507"/>
      <c r="L12" s="507"/>
      <c r="M12" s="507"/>
      <c r="N12" s="507">
        <v>86266</v>
      </c>
      <c r="O12" s="507">
        <v>86266</v>
      </c>
      <c r="P12" s="508"/>
      <c r="Q12" s="508"/>
      <c r="R12" s="508"/>
      <c r="S12" s="508"/>
      <c r="T12" s="508"/>
      <c r="U12" s="508"/>
      <c r="V12" s="508"/>
      <c r="W12" s="509"/>
      <c r="X12" s="509"/>
      <c r="Y12" s="509"/>
      <c r="Z12" s="507"/>
      <c r="AA12" s="507"/>
      <c r="AB12" s="1113"/>
      <c r="AC12" s="830"/>
    </row>
    <row r="13" spans="1:29" ht="30.75" hidden="1">
      <c r="A13" s="506" t="s">
        <v>371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8"/>
      <c r="Q13" s="508"/>
      <c r="R13" s="508"/>
      <c r="S13" s="508"/>
      <c r="T13" s="508"/>
      <c r="U13" s="508"/>
      <c r="V13" s="508"/>
      <c r="W13" s="509"/>
      <c r="X13" s="509"/>
      <c r="Y13" s="509"/>
      <c r="Z13" s="507"/>
      <c r="AA13" s="507"/>
      <c r="AB13" s="1113"/>
      <c r="AC13" s="830"/>
    </row>
    <row r="14" spans="1:29" ht="18" hidden="1">
      <c r="A14" s="506" t="s">
        <v>372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8"/>
      <c r="Q14" s="508"/>
      <c r="R14" s="508"/>
      <c r="S14" s="508"/>
      <c r="T14" s="508"/>
      <c r="U14" s="508"/>
      <c r="V14" s="508"/>
      <c r="W14" s="509"/>
      <c r="X14" s="509"/>
      <c r="Y14" s="509"/>
      <c r="Z14" s="507"/>
      <c r="AA14" s="507"/>
      <c r="AB14" s="1113"/>
      <c r="AC14" s="830"/>
    </row>
    <row r="15" spans="1:29" ht="18">
      <c r="A15" s="511" t="s">
        <v>373</v>
      </c>
      <c r="B15" s="507"/>
      <c r="C15" s="507"/>
      <c r="D15" s="507"/>
      <c r="E15" s="507"/>
      <c r="F15" s="507"/>
      <c r="G15" s="507"/>
      <c r="H15" s="507"/>
      <c r="I15" s="507">
        <v>30000</v>
      </c>
      <c r="J15" s="507"/>
      <c r="K15" s="507"/>
      <c r="L15" s="507"/>
      <c r="M15" s="507"/>
      <c r="N15" s="507">
        <v>30000</v>
      </c>
      <c r="O15" s="507">
        <v>30000</v>
      </c>
      <c r="P15" s="508"/>
      <c r="Q15" s="508"/>
      <c r="R15" s="508"/>
      <c r="S15" s="508"/>
      <c r="T15" s="508"/>
      <c r="U15" s="508"/>
      <c r="V15" s="508"/>
      <c r="W15" s="509"/>
      <c r="X15" s="509"/>
      <c r="Y15" s="509"/>
      <c r="Z15" s="507"/>
      <c r="AA15" s="507"/>
      <c r="AB15" s="1113"/>
      <c r="AC15" s="830"/>
    </row>
    <row r="16" spans="1:29" ht="18">
      <c r="A16" s="511" t="s">
        <v>374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8"/>
      <c r="Q16" s="508"/>
      <c r="R16" s="508"/>
      <c r="S16" s="508"/>
      <c r="T16" s="508"/>
      <c r="U16" s="508"/>
      <c r="V16" s="508"/>
      <c r="W16" s="509"/>
      <c r="X16" s="509"/>
      <c r="Y16" s="509"/>
      <c r="Z16" s="507"/>
      <c r="AA16" s="507"/>
      <c r="AB16" s="1113"/>
      <c r="AC16" s="830"/>
    </row>
    <row r="17" spans="1:29" ht="18">
      <c r="A17" s="511" t="s">
        <v>375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8"/>
      <c r="Q17" s="508"/>
      <c r="R17" s="508"/>
      <c r="S17" s="508"/>
      <c r="T17" s="508"/>
      <c r="U17" s="508"/>
      <c r="V17" s="508"/>
      <c r="W17" s="509">
        <v>400000</v>
      </c>
      <c r="X17" s="509"/>
      <c r="Y17" s="509"/>
      <c r="Z17" s="507"/>
      <c r="AA17" s="507"/>
      <c r="AB17" s="509">
        <v>400000</v>
      </c>
      <c r="AC17" s="514">
        <v>400000</v>
      </c>
    </row>
    <row r="18" spans="1:29" ht="34.5" customHeight="1">
      <c r="A18" s="511" t="s">
        <v>584</v>
      </c>
      <c r="B18" s="507"/>
      <c r="C18" s="507"/>
      <c r="D18" s="507"/>
      <c r="E18" s="507"/>
      <c r="F18" s="507"/>
      <c r="G18" s="507"/>
      <c r="H18" s="507"/>
      <c r="I18" s="507">
        <v>500000</v>
      </c>
      <c r="J18" s="507"/>
      <c r="K18" s="507"/>
      <c r="L18" s="507"/>
      <c r="M18" s="507"/>
      <c r="N18" s="507">
        <v>500000</v>
      </c>
      <c r="O18" s="507">
        <f>SUM(O19:O25)</f>
        <v>500000</v>
      </c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7"/>
      <c r="AA18" s="507"/>
      <c r="AB18" s="509"/>
      <c r="AC18" s="514"/>
    </row>
    <row r="19" spans="1:29" ht="17.25" customHeight="1">
      <c r="A19" s="1110" t="s">
        <v>577</v>
      </c>
      <c r="B19" s="1111"/>
      <c r="C19" s="1111"/>
      <c r="D19" s="1111"/>
      <c r="E19" s="1111"/>
      <c r="F19" s="1111"/>
      <c r="G19" s="1111"/>
      <c r="H19" s="1111"/>
      <c r="I19" s="1111"/>
      <c r="J19" s="1111"/>
      <c r="K19" s="1111"/>
      <c r="L19" s="1111"/>
      <c r="M19" s="1111"/>
      <c r="N19" s="1111"/>
      <c r="O19" s="1111">
        <v>90000</v>
      </c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7"/>
      <c r="AA19" s="507"/>
      <c r="AB19" s="509"/>
      <c r="AC19" s="514"/>
    </row>
    <row r="20" spans="1:29" ht="39" customHeight="1">
      <c r="A20" s="1110" t="s">
        <v>578</v>
      </c>
      <c r="B20" s="1111"/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>
        <v>60000</v>
      </c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7"/>
      <c r="AA20" s="507"/>
      <c r="AB20" s="509"/>
      <c r="AC20" s="514"/>
    </row>
    <row r="21" spans="1:29" ht="18.75">
      <c r="A21" s="1110" t="s">
        <v>579</v>
      </c>
      <c r="B21" s="1111"/>
      <c r="C21" s="1111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1">
        <v>50000</v>
      </c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7"/>
      <c r="AA21" s="507"/>
      <c r="AB21" s="509"/>
      <c r="AC21" s="514"/>
    </row>
    <row r="22" spans="1:29" ht="18.75">
      <c r="A22" s="1110" t="s">
        <v>580</v>
      </c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>
        <v>90000</v>
      </c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7"/>
      <c r="AA22" s="507"/>
      <c r="AB22" s="509"/>
      <c r="AC22" s="514"/>
    </row>
    <row r="23" spans="1:29" ht="18.75">
      <c r="A23" s="1110" t="s">
        <v>581</v>
      </c>
      <c r="B23" s="1111"/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>
        <v>100000</v>
      </c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7"/>
      <c r="AA23" s="507"/>
      <c r="AB23" s="509"/>
      <c r="AC23" s="514"/>
    </row>
    <row r="24" spans="1:29" ht="17.25" customHeight="1">
      <c r="A24" s="1110" t="s">
        <v>582</v>
      </c>
      <c r="B24" s="1111"/>
      <c r="C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>
        <v>60000</v>
      </c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7"/>
      <c r="AA24" s="507"/>
      <c r="AB24" s="509"/>
      <c r="AC24" s="514"/>
    </row>
    <row r="25" spans="1:29" ht="17.25" customHeight="1">
      <c r="A25" s="1110" t="s">
        <v>583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>
        <v>50000</v>
      </c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7"/>
      <c r="AA25" s="507"/>
      <c r="AB25" s="509"/>
      <c r="AC25" s="514"/>
    </row>
    <row r="26" spans="1:29" ht="33" customHeight="1">
      <c r="A26" s="512" t="s">
        <v>376</v>
      </c>
      <c r="B26" s="507"/>
      <c r="C26" s="507"/>
      <c r="D26" s="507"/>
      <c r="E26" s="507"/>
      <c r="F26" s="507"/>
      <c r="G26" s="507"/>
      <c r="H26" s="507"/>
      <c r="I26" s="507">
        <v>12000</v>
      </c>
      <c r="J26" s="507"/>
      <c r="K26" s="507"/>
      <c r="L26" s="507"/>
      <c r="M26" s="507"/>
      <c r="N26" s="507">
        <v>12000</v>
      </c>
      <c r="O26" s="507">
        <v>12000</v>
      </c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7"/>
      <c r="AA26" s="507"/>
      <c r="AB26" s="509"/>
      <c r="AC26" s="514"/>
    </row>
    <row r="27" spans="1:29" s="513" customFormat="1" ht="18">
      <c r="A27" s="512" t="s">
        <v>590</v>
      </c>
      <c r="B27" s="507"/>
      <c r="C27" s="507"/>
      <c r="D27" s="507"/>
      <c r="E27" s="507"/>
      <c r="F27" s="507"/>
      <c r="G27" s="507"/>
      <c r="H27" s="507"/>
      <c r="I27" s="507">
        <v>540000</v>
      </c>
      <c r="J27" s="507"/>
      <c r="K27" s="507"/>
      <c r="L27" s="507"/>
      <c r="M27" s="507"/>
      <c r="N27" s="507">
        <v>540000</v>
      </c>
      <c r="O27" s="507">
        <v>540000</v>
      </c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10"/>
    </row>
    <row r="28" spans="1:29" ht="18" hidden="1">
      <c r="A28" s="506"/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7"/>
      <c r="Q28" s="507"/>
      <c r="R28" s="507"/>
      <c r="S28" s="507"/>
      <c r="T28" s="507"/>
      <c r="U28" s="507"/>
      <c r="V28" s="507"/>
      <c r="W28" s="509"/>
      <c r="X28" s="509"/>
      <c r="Y28" s="509"/>
      <c r="Z28" s="509"/>
      <c r="AA28" s="509"/>
      <c r="AB28" s="509"/>
      <c r="AC28" s="514"/>
    </row>
    <row r="29" spans="1:29" ht="18" hidden="1">
      <c r="A29" s="506"/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7"/>
      <c r="Q29" s="507"/>
      <c r="R29" s="507"/>
      <c r="S29" s="507"/>
      <c r="T29" s="507"/>
      <c r="U29" s="507"/>
      <c r="V29" s="507"/>
      <c r="W29" s="509"/>
      <c r="X29" s="509"/>
      <c r="Y29" s="509"/>
      <c r="Z29" s="509"/>
      <c r="AA29" s="509"/>
      <c r="AB29" s="509"/>
      <c r="AC29" s="514"/>
    </row>
    <row r="30" spans="1:29" ht="45.75">
      <c r="A30" s="1112" t="s">
        <v>585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>
        <v>27500</v>
      </c>
      <c r="P30" s="979"/>
      <c r="Q30" s="979"/>
      <c r="R30" s="979"/>
      <c r="S30" s="979"/>
      <c r="T30" s="979"/>
      <c r="U30" s="979"/>
      <c r="V30" s="979"/>
      <c r="W30" s="519"/>
      <c r="X30" s="519"/>
      <c r="Y30" s="519"/>
      <c r="Z30" s="519"/>
      <c r="AA30" s="519"/>
      <c r="AB30" s="519"/>
      <c r="AC30" s="831"/>
    </row>
    <row r="31" spans="1:29" ht="18">
      <c r="A31" s="512" t="s">
        <v>519</v>
      </c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>
        <v>51180</v>
      </c>
      <c r="O31" s="519">
        <v>51180</v>
      </c>
      <c r="P31" s="979"/>
      <c r="Q31" s="979"/>
      <c r="R31" s="979"/>
      <c r="S31" s="979"/>
      <c r="T31" s="979"/>
      <c r="U31" s="979"/>
      <c r="V31" s="979"/>
      <c r="W31" s="519"/>
      <c r="X31" s="519"/>
      <c r="Y31" s="519"/>
      <c r="Z31" s="519"/>
      <c r="AA31" s="519"/>
      <c r="AB31" s="519"/>
      <c r="AC31" s="831"/>
    </row>
    <row r="32" spans="1:29" ht="23.25" customHeight="1" thickBot="1">
      <c r="A32" s="836" t="s">
        <v>309</v>
      </c>
      <c r="B32" s="837"/>
      <c r="C32" s="837"/>
      <c r="D32" s="837"/>
      <c r="E32" s="837"/>
      <c r="F32" s="837"/>
      <c r="G32" s="837"/>
      <c r="H32" s="837"/>
      <c r="I32" s="837">
        <f>SUM(I12:I29)</f>
        <v>1168266</v>
      </c>
      <c r="J32" s="837"/>
      <c r="K32" s="837"/>
      <c r="L32" s="837"/>
      <c r="M32" s="837"/>
      <c r="N32" s="837">
        <f>SUM(N12:N31)</f>
        <v>1219446</v>
      </c>
      <c r="O32" s="837">
        <f>O12+O15+O18+O26+O27+O31+O30</f>
        <v>1246946</v>
      </c>
      <c r="P32" s="837"/>
      <c r="Q32" s="837"/>
      <c r="R32" s="837"/>
      <c r="S32" s="837"/>
      <c r="T32" s="837"/>
      <c r="U32" s="837"/>
      <c r="V32" s="837"/>
      <c r="W32" s="837">
        <f>SUM(W17:W29)</f>
        <v>400000</v>
      </c>
      <c r="X32" s="837">
        <f>SUM(X12:X29)</f>
        <v>0</v>
      </c>
      <c r="Y32" s="837">
        <f>SUM(Y12:Y29)</f>
        <v>0</v>
      </c>
      <c r="Z32" s="837">
        <f>SUM(Z12:Z29)</f>
        <v>0</v>
      </c>
      <c r="AA32" s="837">
        <f>SUM(AA12:AA29)</f>
        <v>0</v>
      </c>
      <c r="AB32" s="837">
        <f>SUM(AB17:AB29)</f>
        <v>400000</v>
      </c>
      <c r="AC32" s="838">
        <f>SUM(AC17:AC29)</f>
        <v>400000</v>
      </c>
    </row>
    <row r="33" spans="1:27" ht="15">
      <c r="A33" s="515"/>
      <c r="B33" s="516"/>
      <c r="C33" s="516"/>
      <c r="D33" s="516"/>
      <c r="E33" s="516"/>
      <c r="F33" s="516"/>
      <c r="G33" s="516"/>
      <c r="H33" s="516"/>
      <c r="I33" s="517"/>
      <c r="J33" s="517"/>
      <c r="K33" s="517"/>
      <c r="L33" s="517"/>
      <c r="M33" s="517"/>
      <c r="N33" s="517"/>
      <c r="O33" s="517"/>
      <c r="P33" s="516"/>
      <c r="Q33" s="516"/>
      <c r="R33" s="516"/>
      <c r="S33" s="516"/>
      <c r="T33" s="516"/>
      <c r="U33" s="516"/>
      <c r="V33" s="516"/>
      <c r="W33" s="517"/>
      <c r="Z33" s="518"/>
      <c r="AA33" s="518"/>
    </row>
    <row r="34" spans="1:23" ht="14.25" customHeight="1">
      <c r="A34" s="1584" t="s">
        <v>377</v>
      </c>
      <c r="B34" s="1584"/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</row>
    <row r="35" ht="13.5" thickBot="1">
      <c r="W35" s="501"/>
    </row>
    <row r="36" spans="1:29" ht="29.25" customHeight="1">
      <c r="A36" s="1572" t="s">
        <v>378</v>
      </c>
      <c r="B36" s="1571" t="s">
        <v>363</v>
      </c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1571"/>
      <c r="N36" s="1571"/>
      <c r="O36" s="1571"/>
      <c r="P36" s="1571" t="s">
        <v>364</v>
      </c>
      <c r="Q36" s="1571"/>
      <c r="R36" s="1571"/>
      <c r="S36" s="1571"/>
      <c r="T36" s="1571"/>
      <c r="U36" s="1571"/>
      <c r="V36" s="1571"/>
      <c r="W36" s="1571"/>
      <c r="X36" s="1571"/>
      <c r="Y36" s="1571"/>
      <c r="Z36" s="1571"/>
      <c r="AA36" s="1571"/>
      <c r="AB36" s="1571"/>
      <c r="AC36" s="1578"/>
    </row>
    <row r="37" spans="1:29" ht="29.25" customHeight="1">
      <c r="A37" s="1573"/>
      <c r="B37" s="1574" t="s">
        <v>365</v>
      </c>
      <c r="C37" s="1574"/>
      <c r="D37" s="1574"/>
      <c r="E37" s="1574"/>
      <c r="F37" s="1574"/>
      <c r="G37" s="1574"/>
      <c r="H37" s="1574"/>
      <c r="I37" s="1574" t="s">
        <v>366</v>
      </c>
      <c r="J37" s="1574"/>
      <c r="K37" s="1574"/>
      <c r="L37" s="1574"/>
      <c r="M37" s="1574"/>
      <c r="N37" s="1574"/>
      <c r="O37" s="1574"/>
      <c r="P37" s="1574" t="s">
        <v>365</v>
      </c>
      <c r="Q37" s="1574"/>
      <c r="R37" s="1574"/>
      <c r="S37" s="1574"/>
      <c r="T37" s="1574"/>
      <c r="U37" s="1574"/>
      <c r="V37" s="1574"/>
      <c r="W37" s="1574" t="s">
        <v>366</v>
      </c>
      <c r="X37" s="1574"/>
      <c r="Y37" s="1574"/>
      <c r="Z37" s="1574"/>
      <c r="AA37" s="1574"/>
      <c r="AB37" s="1574"/>
      <c r="AC37" s="1579"/>
    </row>
    <row r="38" spans="1:29" ht="29.25" customHeight="1" hidden="1">
      <c r="A38" s="503"/>
      <c r="B38" s="504" t="s">
        <v>367</v>
      </c>
      <c r="C38" s="504" t="s">
        <v>10</v>
      </c>
      <c r="D38" s="505" t="s">
        <v>368</v>
      </c>
      <c r="E38" s="504" t="s">
        <v>13</v>
      </c>
      <c r="F38" s="504" t="s">
        <v>14</v>
      </c>
      <c r="G38" s="504"/>
      <c r="H38" s="504"/>
      <c r="I38" s="504" t="s">
        <v>367</v>
      </c>
      <c r="J38" s="504" t="s">
        <v>10</v>
      </c>
      <c r="K38" s="504" t="s">
        <v>379</v>
      </c>
      <c r="L38" s="504" t="s">
        <v>303</v>
      </c>
      <c r="M38" s="504" t="s">
        <v>14</v>
      </c>
      <c r="N38" s="504"/>
      <c r="O38" s="504"/>
      <c r="P38" s="502" t="s">
        <v>367</v>
      </c>
      <c r="Q38" s="502" t="s">
        <v>10</v>
      </c>
      <c r="R38" s="502" t="s">
        <v>379</v>
      </c>
      <c r="S38" s="504" t="s">
        <v>13</v>
      </c>
      <c r="T38" s="504" t="s">
        <v>14</v>
      </c>
      <c r="U38" s="504"/>
      <c r="V38" s="504"/>
      <c r="W38" s="502" t="s">
        <v>367</v>
      </c>
      <c r="X38" s="502" t="s">
        <v>10</v>
      </c>
      <c r="Y38" s="505" t="s">
        <v>368</v>
      </c>
      <c r="Z38" s="504" t="s">
        <v>13</v>
      </c>
      <c r="AA38" s="504" t="s">
        <v>14</v>
      </c>
      <c r="AB38" s="1117"/>
      <c r="AC38" s="832"/>
    </row>
    <row r="39" spans="1:29" ht="18" customHeight="1" hidden="1">
      <c r="A39" s="506" t="s">
        <v>380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7"/>
      <c r="Q39" s="507"/>
      <c r="R39" s="507"/>
      <c r="S39" s="507"/>
      <c r="T39" s="507"/>
      <c r="U39" s="507"/>
      <c r="V39" s="507"/>
      <c r="W39" s="509"/>
      <c r="X39" s="509"/>
      <c r="Y39" s="509"/>
      <c r="Z39" s="507"/>
      <c r="AA39" s="507"/>
      <c r="AB39" s="1117"/>
      <c r="AC39" s="832"/>
    </row>
    <row r="40" spans="1:29" ht="18" customHeight="1" hidden="1">
      <c r="A40" s="512" t="s">
        <v>381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07"/>
      <c r="Q40" s="507"/>
      <c r="R40" s="507"/>
      <c r="S40" s="507"/>
      <c r="T40" s="507"/>
      <c r="U40" s="507"/>
      <c r="V40" s="507"/>
      <c r="W40" s="509"/>
      <c r="X40" s="509"/>
      <c r="Y40" s="509"/>
      <c r="Z40" s="507"/>
      <c r="AA40" s="507"/>
      <c r="AB40" s="1117"/>
      <c r="AC40" s="832"/>
    </row>
    <row r="41" spans="1:29" ht="15.75">
      <c r="A41" s="1114"/>
      <c r="B41" s="502" t="s">
        <v>367</v>
      </c>
      <c r="C41" s="502"/>
      <c r="D41" s="1116"/>
      <c r="E41" s="502"/>
      <c r="F41" s="502"/>
      <c r="G41" s="502" t="s">
        <v>10</v>
      </c>
      <c r="H41" s="502" t="s">
        <v>11</v>
      </c>
      <c r="I41" s="502" t="s">
        <v>508</v>
      </c>
      <c r="J41" s="502"/>
      <c r="K41" s="1116"/>
      <c r="L41" s="502"/>
      <c r="M41" s="502"/>
      <c r="N41" s="502" t="s">
        <v>10</v>
      </c>
      <c r="O41" s="502" t="s">
        <v>11</v>
      </c>
      <c r="P41" s="502" t="s">
        <v>508</v>
      </c>
      <c r="Q41" s="502"/>
      <c r="R41" s="1116"/>
      <c r="S41" s="502"/>
      <c r="T41" s="502"/>
      <c r="U41" s="502" t="s">
        <v>505</v>
      </c>
      <c r="V41" s="502" t="s">
        <v>11</v>
      </c>
      <c r="W41" s="502" t="s">
        <v>508</v>
      </c>
      <c r="X41" s="502"/>
      <c r="Y41" s="1116"/>
      <c r="Z41" s="502"/>
      <c r="AA41" s="502"/>
      <c r="AB41" s="502" t="s">
        <v>10</v>
      </c>
      <c r="AC41" s="1115" t="s">
        <v>11</v>
      </c>
    </row>
    <row r="42" spans="1:29" ht="18">
      <c r="A42" s="512" t="s">
        <v>382</v>
      </c>
      <c r="B42" s="519">
        <v>18325</v>
      </c>
      <c r="C42" s="519"/>
      <c r="D42" s="519"/>
      <c r="E42" s="519"/>
      <c r="F42" s="519"/>
      <c r="G42" s="519">
        <v>18325</v>
      </c>
      <c r="H42" s="519">
        <v>18325</v>
      </c>
      <c r="I42" s="519"/>
      <c r="J42" s="519"/>
      <c r="K42" s="519"/>
      <c r="L42" s="519"/>
      <c r="M42" s="519"/>
      <c r="N42" s="519"/>
      <c r="O42" s="519"/>
      <c r="P42" s="507"/>
      <c r="Q42" s="507"/>
      <c r="R42" s="507"/>
      <c r="S42" s="507"/>
      <c r="T42" s="507"/>
      <c r="U42" s="507"/>
      <c r="V42" s="507"/>
      <c r="W42" s="509"/>
      <c r="X42" s="509"/>
      <c r="Y42" s="509"/>
      <c r="Z42" s="507"/>
      <c r="AA42" s="507"/>
      <c r="AB42" s="1113"/>
      <c r="AC42" s="830"/>
    </row>
    <row r="43" spans="1:29" ht="18">
      <c r="A43" s="512" t="s">
        <v>383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07"/>
      <c r="Q43" s="507"/>
      <c r="R43" s="507"/>
      <c r="S43" s="507"/>
      <c r="T43" s="507"/>
      <c r="U43" s="507"/>
      <c r="V43" s="507"/>
      <c r="W43" s="509"/>
      <c r="X43" s="509"/>
      <c r="Y43" s="509"/>
      <c r="Z43" s="507"/>
      <c r="AA43" s="507"/>
      <c r="AB43" s="1113"/>
      <c r="AC43" s="830"/>
    </row>
    <row r="44" spans="1:29" ht="18">
      <c r="A44" s="512" t="s">
        <v>384</v>
      </c>
      <c r="B44" s="519">
        <v>14660</v>
      </c>
      <c r="C44" s="519"/>
      <c r="D44" s="519"/>
      <c r="E44" s="519"/>
      <c r="F44" s="519"/>
      <c r="G44" s="519">
        <v>14660</v>
      </c>
      <c r="H44" s="519">
        <v>14660</v>
      </c>
      <c r="I44" s="519"/>
      <c r="J44" s="519"/>
      <c r="K44" s="519"/>
      <c r="L44" s="519"/>
      <c r="M44" s="519"/>
      <c r="N44" s="519"/>
      <c r="O44" s="519"/>
      <c r="P44" s="507"/>
      <c r="Q44" s="507"/>
      <c r="R44" s="507"/>
      <c r="S44" s="507"/>
      <c r="T44" s="507"/>
      <c r="U44" s="507"/>
      <c r="V44" s="507"/>
      <c r="W44" s="509"/>
      <c r="X44" s="509"/>
      <c r="Y44" s="509"/>
      <c r="Z44" s="507"/>
      <c r="AA44" s="507"/>
      <c r="AB44" s="1113"/>
      <c r="AC44" s="830"/>
    </row>
    <row r="45" spans="1:29" ht="18">
      <c r="A45" s="512" t="s">
        <v>385</v>
      </c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07"/>
      <c r="Q45" s="507"/>
      <c r="R45" s="507"/>
      <c r="S45" s="507"/>
      <c r="T45" s="507"/>
      <c r="U45" s="507"/>
      <c r="V45" s="507"/>
      <c r="W45" s="509"/>
      <c r="X45" s="509"/>
      <c r="Y45" s="509"/>
      <c r="Z45" s="507"/>
      <c r="AA45" s="507"/>
      <c r="AB45" s="1113"/>
      <c r="AC45" s="830"/>
    </row>
    <row r="46" spans="1:29" ht="18">
      <c r="A46" s="512" t="s">
        <v>386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07"/>
      <c r="Q46" s="507"/>
      <c r="R46" s="507"/>
      <c r="S46" s="507"/>
      <c r="T46" s="507"/>
      <c r="U46" s="507"/>
      <c r="V46" s="507"/>
      <c r="W46" s="509"/>
      <c r="X46" s="509"/>
      <c r="Y46" s="509"/>
      <c r="Z46" s="507"/>
      <c r="AA46" s="507"/>
      <c r="AB46" s="1113"/>
      <c r="AC46" s="830"/>
    </row>
    <row r="47" spans="1:29" ht="18">
      <c r="A47" s="512" t="s">
        <v>387</v>
      </c>
      <c r="B47" s="519"/>
      <c r="C47" s="519"/>
      <c r="D47" s="519"/>
      <c r="E47" s="519"/>
      <c r="F47" s="519"/>
      <c r="G47" s="519"/>
      <c r="H47" s="519"/>
      <c r="I47" s="519">
        <v>14660</v>
      </c>
      <c r="J47" s="519"/>
      <c r="K47" s="519"/>
      <c r="L47" s="519"/>
      <c r="M47" s="519"/>
      <c r="N47" s="519">
        <v>14660</v>
      </c>
      <c r="O47" s="519">
        <v>14660</v>
      </c>
      <c r="P47" s="507"/>
      <c r="Q47" s="507"/>
      <c r="R47" s="507"/>
      <c r="S47" s="507"/>
      <c r="T47" s="507"/>
      <c r="U47" s="507"/>
      <c r="V47" s="507"/>
      <c r="W47" s="509"/>
      <c r="X47" s="509"/>
      <c r="Y47" s="509"/>
      <c r="Z47" s="507"/>
      <c r="AA47" s="507"/>
      <c r="AB47" s="1113"/>
      <c r="AC47" s="830"/>
    </row>
    <row r="48" spans="1:29" ht="18">
      <c r="A48" s="512" t="s">
        <v>388</v>
      </c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07"/>
      <c r="Q48" s="507"/>
      <c r="R48" s="507"/>
      <c r="S48" s="507"/>
      <c r="T48" s="507"/>
      <c r="U48" s="507"/>
      <c r="V48" s="507"/>
      <c r="W48" s="509"/>
      <c r="X48" s="509"/>
      <c r="Y48" s="509"/>
      <c r="Z48" s="507"/>
      <c r="AA48" s="507"/>
      <c r="AB48" s="1113"/>
      <c r="AC48" s="830"/>
    </row>
    <row r="49" spans="1:29" ht="18">
      <c r="A49" s="512" t="s">
        <v>389</v>
      </c>
      <c r="B49" s="519">
        <v>50000</v>
      </c>
      <c r="C49" s="519"/>
      <c r="D49" s="519"/>
      <c r="E49" s="519"/>
      <c r="F49" s="519"/>
      <c r="G49" s="519">
        <v>50000</v>
      </c>
      <c r="H49" s="519">
        <v>50000</v>
      </c>
      <c r="I49" s="519"/>
      <c r="J49" s="519"/>
      <c r="K49" s="519"/>
      <c r="L49" s="519"/>
      <c r="M49" s="519"/>
      <c r="N49" s="519"/>
      <c r="O49" s="519"/>
      <c r="P49" s="507"/>
      <c r="Q49" s="507"/>
      <c r="R49" s="507"/>
      <c r="S49" s="507"/>
      <c r="T49" s="507"/>
      <c r="U49" s="507"/>
      <c r="V49" s="507"/>
      <c r="W49" s="509"/>
      <c r="X49" s="509"/>
      <c r="Y49" s="509"/>
      <c r="Z49" s="507"/>
      <c r="AA49" s="507"/>
      <c r="AB49" s="1113"/>
      <c r="AC49" s="830"/>
    </row>
    <row r="50" spans="1:29" ht="39" customHeight="1">
      <c r="A50" s="506" t="s">
        <v>390</v>
      </c>
      <c r="B50" s="519">
        <v>674710</v>
      </c>
      <c r="C50" s="519"/>
      <c r="D50" s="519"/>
      <c r="E50" s="519"/>
      <c r="F50" s="519"/>
      <c r="G50" s="519">
        <v>674710</v>
      </c>
      <c r="H50" s="519">
        <v>674710</v>
      </c>
      <c r="I50" s="519"/>
      <c r="J50" s="519"/>
      <c r="K50" s="519"/>
      <c r="L50" s="519"/>
      <c r="M50" s="519"/>
      <c r="N50" s="519"/>
      <c r="O50" s="519"/>
      <c r="P50" s="507"/>
      <c r="Q50" s="507"/>
      <c r="R50" s="507"/>
      <c r="S50" s="507"/>
      <c r="T50" s="507"/>
      <c r="U50" s="507"/>
      <c r="V50" s="507"/>
      <c r="W50" s="509"/>
      <c r="X50" s="509"/>
      <c r="Y50" s="509"/>
      <c r="Z50" s="507"/>
      <c r="AA50" s="507"/>
      <c r="AB50" s="1113"/>
      <c r="AC50" s="830"/>
    </row>
    <row r="51" spans="1:29" ht="18">
      <c r="A51" s="1118"/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07"/>
      <c r="Q51" s="507"/>
      <c r="R51" s="507"/>
      <c r="S51" s="507"/>
      <c r="T51" s="507"/>
      <c r="U51" s="507"/>
      <c r="V51" s="507"/>
      <c r="W51" s="509"/>
      <c r="X51" s="509"/>
      <c r="Y51" s="509"/>
      <c r="Z51" s="507"/>
      <c r="AA51" s="507"/>
      <c r="AB51" s="1113"/>
      <c r="AC51" s="830"/>
    </row>
    <row r="52" spans="1:29" ht="18" hidden="1">
      <c r="A52" s="512" t="s">
        <v>391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07"/>
      <c r="Q52" s="507"/>
      <c r="R52" s="507"/>
      <c r="S52" s="507"/>
      <c r="T52" s="507"/>
      <c r="U52" s="507"/>
      <c r="V52" s="507"/>
      <c r="W52" s="509"/>
      <c r="X52" s="509"/>
      <c r="Y52" s="509"/>
      <c r="Z52" s="507"/>
      <c r="AA52" s="507"/>
      <c r="AB52" s="1113"/>
      <c r="AC52" s="830"/>
    </row>
    <row r="53" spans="1:29" ht="47.25" customHeight="1" hidden="1">
      <c r="A53" s="512" t="s">
        <v>392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07"/>
      <c r="Q53" s="507"/>
      <c r="R53" s="507"/>
      <c r="S53" s="507"/>
      <c r="T53" s="507"/>
      <c r="U53" s="507"/>
      <c r="V53" s="507"/>
      <c r="W53" s="509"/>
      <c r="X53" s="509"/>
      <c r="Y53" s="509"/>
      <c r="Z53" s="507"/>
      <c r="AA53" s="507"/>
      <c r="AB53" s="1113"/>
      <c r="AC53" s="830"/>
    </row>
    <row r="54" spans="1:29" ht="39" customHeight="1" hidden="1">
      <c r="A54" s="520"/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07"/>
      <c r="Q54" s="507"/>
      <c r="R54" s="507"/>
      <c r="S54" s="507"/>
      <c r="T54" s="507"/>
      <c r="U54" s="507"/>
      <c r="V54" s="507"/>
      <c r="W54" s="509"/>
      <c r="X54" s="509"/>
      <c r="Y54" s="509"/>
      <c r="Z54" s="507"/>
      <c r="AA54" s="507"/>
      <c r="AB54" s="1113"/>
      <c r="AC54" s="830"/>
    </row>
    <row r="55" spans="1:29" ht="39" customHeight="1" hidden="1">
      <c r="A55" s="520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07"/>
      <c r="Q55" s="507"/>
      <c r="R55" s="507"/>
      <c r="S55" s="507"/>
      <c r="T55" s="507"/>
      <c r="U55" s="507"/>
      <c r="V55" s="507"/>
      <c r="W55" s="509"/>
      <c r="X55" s="509"/>
      <c r="Y55" s="509"/>
      <c r="Z55" s="507"/>
      <c r="AA55" s="507"/>
      <c r="AB55" s="1113"/>
      <c r="AC55" s="830"/>
    </row>
    <row r="56" spans="1:29" ht="39" customHeight="1" hidden="1">
      <c r="A56" s="520"/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07"/>
      <c r="Q56" s="507"/>
      <c r="R56" s="507"/>
      <c r="S56" s="507"/>
      <c r="T56" s="507"/>
      <c r="U56" s="507"/>
      <c r="V56" s="507"/>
      <c r="W56" s="509"/>
      <c r="X56" s="509"/>
      <c r="Y56" s="509"/>
      <c r="Z56" s="507"/>
      <c r="AA56" s="507"/>
      <c r="AB56" s="1113"/>
      <c r="AC56" s="830"/>
    </row>
    <row r="57" spans="1:29" ht="39" customHeight="1" hidden="1">
      <c r="A57" s="520"/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07"/>
      <c r="Q57" s="507"/>
      <c r="R57" s="507"/>
      <c r="S57" s="507"/>
      <c r="T57" s="507"/>
      <c r="U57" s="507"/>
      <c r="V57" s="507"/>
      <c r="W57" s="509"/>
      <c r="X57" s="509"/>
      <c r="Y57" s="509"/>
      <c r="Z57" s="507"/>
      <c r="AA57" s="507"/>
      <c r="AB57" s="1113"/>
      <c r="AC57" s="830"/>
    </row>
    <row r="58" spans="1:29" ht="39" customHeight="1" hidden="1">
      <c r="A58" s="520"/>
      <c r="B58" s="519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07"/>
      <c r="Q58" s="507"/>
      <c r="R58" s="507"/>
      <c r="S58" s="507"/>
      <c r="T58" s="507"/>
      <c r="U58" s="507"/>
      <c r="V58" s="507"/>
      <c r="W58" s="509"/>
      <c r="X58" s="509"/>
      <c r="Y58" s="509"/>
      <c r="Z58" s="507"/>
      <c r="AA58" s="507"/>
      <c r="AB58" s="1113"/>
      <c r="AC58" s="830"/>
    </row>
    <row r="59" spans="1:29" ht="39" customHeight="1" hidden="1">
      <c r="A59" s="520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07"/>
      <c r="Q59" s="507"/>
      <c r="R59" s="507"/>
      <c r="S59" s="507"/>
      <c r="T59" s="507"/>
      <c r="U59" s="507"/>
      <c r="V59" s="507"/>
      <c r="W59" s="509"/>
      <c r="X59" s="509"/>
      <c r="Y59" s="509"/>
      <c r="Z59" s="507"/>
      <c r="AA59" s="507"/>
      <c r="AB59" s="1113"/>
      <c r="AC59" s="830"/>
    </row>
    <row r="60" spans="1:29" s="521" customFormat="1" ht="27" customHeight="1" thickBot="1">
      <c r="A60" s="833" t="s">
        <v>309</v>
      </c>
      <c r="B60" s="834">
        <f>SUM(B42:B59)</f>
        <v>757695</v>
      </c>
      <c r="C60" s="834"/>
      <c r="D60" s="834"/>
      <c r="E60" s="834"/>
      <c r="F60" s="834"/>
      <c r="G60" s="834">
        <f>SUM(G42:G59)</f>
        <v>757695</v>
      </c>
      <c r="H60" s="834">
        <f>SUM(H42:H59)</f>
        <v>757695</v>
      </c>
      <c r="I60" s="834">
        <f>SUM(I42:I59)</f>
        <v>14660</v>
      </c>
      <c r="J60" s="834"/>
      <c r="K60" s="834"/>
      <c r="L60" s="834"/>
      <c r="M60" s="834"/>
      <c r="N60" s="834">
        <f>SUM(N42:N59)</f>
        <v>14660</v>
      </c>
      <c r="O60" s="834">
        <f>SUM(O42:O59)</f>
        <v>14660</v>
      </c>
      <c r="P60" s="834"/>
      <c r="Q60" s="834"/>
      <c r="R60" s="834"/>
      <c r="S60" s="834"/>
      <c r="T60" s="834"/>
      <c r="U60" s="834"/>
      <c r="V60" s="834"/>
      <c r="W60" s="834"/>
      <c r="X60" s="834"/>
      <c r="Y60" s="834"/>
      <c r="Z60" s="834"/>
      <c r="AA60" s="834"/>
      <c r="AB60" s="1119"/>
      <c r="AC60" s="835"/>
    </row>
    <row r="61" spans="9:23" ht="15">
      <c r="I61" s="517"/>
      <c r="W61" s="517"/>
    </row>
    <row r="63" spans="1:9" ht="15.75">
      <c r="A63" s="1585" t="s">
        <v>588</v>
      </c>
      <c r="B63" s="1585"/>
      <c r="C63" s="1585"/>
      <c r="D63" s="1585"/>
      <c r="E63" s="1585"/>
      <c r="F63" s="1585"/>
      <c r="G63" s="1585"/>
      <c r="H63" s="1585"/>
      <c r="I63" s="1585"/>
    </row>
    <row r="64" spans="1:23" ht="14.25">
      <c r="A64" s="1583" t="s">
        <v>589</v>
      </c>
      <c r="B64" s="1583"/>
      <c r="C64" s="1583"/>
      <c r="D64" s="1583"/>
      <c r="E64" s="1583"/>
      <c r="F64" s="1583"/>
      <c r="G64" s="1583"/>
      <c r="H64" s="1583"/>
      <c r="I64" s="1583"/>
      <c r="J64" s="1583"/>
      <c r="K64" s="1583"/>
      <c r="L64" s="1583"/>
      <c r="M64" s="1583"/>
      <c r="N64" s="1583"/>
      <c r="O64" s="1583"/>
      <c r="P64" s="1583"/>
      <c r="Q64" s="1583"/>
      <c r="R64" s="1583"/>
      <c r="S64" s="1583"/>
      <c r="T64" s="1583"/>
      <c r="U64" s="1583"/>
      <c r="V64" s="1583"/>
      <c r="W64" s="1583"/>
    </row>
    <row r="65" ht="13.5" thickBot="1"/>
    <row r="66" spans="1:29" ht="15.75">
      <c r="A66" s="1572" t="s">
        <v>362</v>
      </c>
      <c r="B66" s="1571" t="s">
        <v>363</v>
      </c>
      <c r="C66" s="1571"/>
      <c r="D66" s="1571"/>
      <c r="E66" s="1571"/>
      <c r="F66" s="1571"/>
      <c r="G66" s="1571"/>
      <c r="H66" s="1571"/>
      <c r="I66" s="1571"/>
      <c r="J66" s="1571"/>
      <c r="K66" s="1571"/>
      <c r="L66" s="1571"/>
      <c r="M66" s="1571"/>
      <c r="N66" s="1571"/>
      <c r="O66" s="1571"/>
      <c r="P66" s="1571" t="s">
        <v>364</v>
      </c>
      <c r="Q66" s="1571"/>
      <c r="R66" s="1571"/>
      <c r="S66" s="1571"/>
      <c r="T66" s="1571"/>
      <c r="U66" s="1571"/>
      <c r="V66" s="1571"/>
      <c r="W66" s="1571"/>
      <c r="X66" s="1571"/>
      <c r="Y66" s="1571"/>
      <c r="Z66" s="1571"/>
      <c r="AA66" s="1571"/>
      <c r="AB66" s="1571"/>
      <c r="AC66" s="1578"/>
    </row>
    <row r="67" spans="1:29" ht="15.75">
      <c r="A67" s="1573"/>
      <c r="B67" s="1574" t="s">
        <v>365</v>
      </c>
      <c r="C67" s="1574"/>
      <c r="D67" s="1574"/>
      <c r="E67" s="1574"/>
      <c r="F67" s="1574"/>
      <c r="G67" s="1574"/>
      <c r="H67" s="1574"/>
      <c r="I67" s="1574" t="s">
        <v>366</v>
      </c>
      <c r="J67" s="1574"/>
      <c r="K67" s="1574"/>
      <c r="L67" s="1574"/>
      <c r="M67" s="1574"/>
      <c r="N67" s="1574"/>
      <c r="O67" s="1574"/>
      <c r="P67" s="1574" t="s">
        <v>365</v>
      </c>
      <c r="Q67" s="1574"/>
      <c r="R67" s="1574"/>
      <c r="S67" s="1574"/>
      <c r="T67" s="1574"/>
      <c r="U67" s="1574"/>
      <c r="V67" s="1574"/>
      <c r="W67" s="1574" t="s">
        <v>366</v>
      </c>
      <c r="X67" s="1574"/>
      <c r="Y67" s="1574"/>
      <c r="Z67" s="1574"/>
      <c r="AA67" s="1574"/>
      <c r="AB67" s="1574"/>
      <c r="AC67" s="1579"/>
    </row>
    <row r="68" spans="1:29" ht="15.75">
      <c r="A68" s="1114"/>
      <c r="B68" s="502" t="s">
        <v>367</v>
      </c>
      <c r="C68" s="502"/>
      <c r="D68" s="1116"/>
      <c r="E68" s="502"/>
      <c r="F68" s="502"/>
      <c r="G68" s="502" t="s">
        <v>10</v>
      </c>
      <c r="H68" s="502" t="s">
        <v>11</v>
      </c>
      <c r="I68" s="502" t="s">
        <v>508</v>
      </c>
      <c r="J68" s="502"/>
      <c r="K68" s="1116"/>
      <c r="L68" s="502"/>
      <c r="M68" s="502"/>
      <c r="N68" s="502" t="s">
        <v>10</v>
      </c>
      <c r="O68" s="502" t="s">
        <v>11</v>
      </c>
      <c r="P68" s="502" t="s">
        <v>508</v>
      </c>
      <c r="Q68" s="502"/>
      <c r="R68" s="1116"/>
      <c r="S68" s="502"/>
      <c r="T68" s="502"/>
      <c r="U68" s="502" t="s">
        <v>505</v>
      </c>
      <c r="V68" s="502" t="s">
        <v>11</v>
      </c>
      <c r="W68" s="502" t="s">
        <v>508</v>
      </c>
      <c r="X68" s="502"/>
      <c r="Y68" s="1116"/>
      <c r="Z68" s="502"/>
      <c r="AA68" s="502"/>
      <c r="AB68" s="502" t="s">
        <v>10</v>
      </c>
      <c r="AC68" s="1115" t="s">
        <v>11</v>
      </c>
    </row>
    <row r="69" spans="1:29" ht="18">
      <c r="A69" s="512" t="s">
        <v>590</v>
      </c>
      <c r="B69" s="519"/>
      <c r="C69" s="519"/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>
        <v>500000</v>
      </c>
      <c r="P69" s="507"/>
      <c r="Q69" s="507"/>
      <c r="R69" s="507"/>
      <c r="S69" s="507"/>
      <c r="T69" s="507"/>
      <c r="U69" s="507"/>
      <c r="V69" s="507"/>
      <c r="W69" s="509"/>
      <c r="X69" s="509"/>
      <c r="Y69" s="509"/>
      <c r="Z69" s="507"/>
      <c r="AA69" s="507"/>
      <c r="AB69" s="1113"/>
      <c r="AC69" s="830"/>
    </row>
    <row r="70" spans="1:29" ht="18" hidden="1">
      <c r="A70" s="512" t="s">
        <v>383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07"/>
      <c r="Q70" s="507"/>
      <c r="R70" s="507"/>
      <c r="S70" s="507"/>
      <c r="T70" s="507"/>
      <c r="U70" s="507"/>
      <c r="V70" s="507"/>
      <c r="W70" s="509"/>
      <c r="X70" s="509"/>
      <c r="Y70" s="509"/>
      <c r="Z70" s="507"/>
      <c r="AA70" s="507"/>
      <c r="AB70" s="1113"/>
      <c r="AC70" s="830"/>
    </row>
    <row r="71" spans="1:29" ht="18" hidden="1">
      <c r="A71" s="512" t="s">
        <v>384</v>
      </c>
      <c r="B71" s="519"/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07"/>
      <c r="Q71" s="507"/>
      <c r="R71" s="507"/>
      <c r="S71" s="507"/>
      <c r="T71" s="507"/>
      <c r="U71" s="507"/>
      <c r="V71" s="507"/>
      <c r="W71" s="509"/>
      <c r="X71" s="509"/>
      <c r="Y71" s="509"/>
      <c r="Z71" s="507"/>
      <c r="AA71" s="507"/>
      <c r="AB71" s="1113"/>
      <c r="AC71" s="830"/>
    </row>
    <row r="72" spans="1:29" ht="18" hidden="1">
      <c r="A72" s="512" t="s">
        <v>385</v>
      </c>
      <c r="B72" s="519"/>
      <c r="C72" s="519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07"/>
      <c r="Q72" s="507"/>
      <c r="R72" s="507"/>
      <c r="S72" s="507"/>
      <c r="T72" s="507"/>
      <c r="U72" s="507"/>
      <c r="V72" s="507"/>
      <c r="W72" s="509"/>
      <c r="X72" s="509"/>
      <c r="Y72" s="509"/>
      <c r="Z72" s="507"/>
      <c r="AA72" s="507"/>
      <c r="AB72" s="1113"/>
      <c r="AC72" s="830"/>
    </row>
    <row r="73" spans="1:29" ht="18" hidden="1">
      <c r="A73" s="512" t="s">
        <v>386</v>
      </c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07"/>
      <c r="Q73" s="507"/>
      <c r="R73" s="507"/>
      <c r="S73" s="507"/>
      <c r="T73" s="507"/>
      <c r="U73" s="507"/>
      <c r="V73" s="507"/>
      <c r="W73" s="509"/>
      <c r="X73" s="509"/>
      <c r="Y73" s="509"/>
      <c r="Z73" s="507"/>
      <c r="AA73" s="507"/>
      <c r="AB73" s="1113"/>
      <c r="AC73" s="830"/>
    </row>
    <row r="74" spans="1:29" ht="18" hidden="1">
      <c r="A74" s="512" t="s">
        <v>387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07"/>
      <c r="Q74" s="507"/>
      <c r="R74" s="507"/>
      <c r="S74" s="507"/>
      <c r="T74" s="507"/>
      <c r="U74" s="507"/>
      <c r="V74" s="507"/>
      <c r="W74" s="509"/>
      <c r="X74" s="509"/>
      <c r="Y74" s="509"/>
      <c r="Z74" s="507"/>
      <c r="AA74" s="507"/>
      <c r="AB74" s="1113"/>
      <c r="AC74" s="830"/>
    </row>
    <row r="75" spans="1:29" ht="18" hidden="1">
      <c r="A75" s="512" t="s">
        <v>388</v>
      </c>
      <c r="B75" s="519"/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07"/>
      <c r="Q75" s="507"/>
      <c r="R75" s="507"/>
      <c r="S75" s="507"/>
      <c r="T75" s="507"/>
      <c r="U75" s="507"/>
      <c r="V75" s="507"/>
      <c r="W75" s="509"/>
      <c r="X75" s="509"/>
      <c r="Y75" s="509"/>
      <c r="Z75" s="507"/>
      <c r="AA75" s="507"/>
      <c r="AB75" s="1113"/>
      <c r="AC75" s="830"/>
    </row>
    <row r="76" spans="1:29" ht="18" hidden="1">
      <c r="A76" s="512" t="s">
        <v>389</v>
      </c>
      <c r="B76" s="519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07"/>
      <c r="Q76" s="507"/>
      <c r="R76" s="507"/>
      <c r="S76" s="507"/>
      <c r="T76" s="507"/>
      <c r="U76" s="507"/>
      <c r="V76" s="507"/>
      <c r="W76" s="509"/>
      <c r="X76" s="509"/>
      <c r="Y76" s="509"/>
      <c r="Z76" s="507"/>
      <c r="AA76" s="507"/>
      <c r="AB76" s="1113"/>
      <c r="AC76" s="830"/>
    </row>
    <row r="77" spans="1:29" ht="30.75" hidden="1">
      <c r="A77" s="506" t="s">
        <v>390</v>
      </c>
      <c r="B77" s="519"/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07"/>
      <c r="Q77" s="507"/>
      <c r="R77" s="507"/>
      <c r="S77" s="507"/>
      <c r="T77" s="507"/>
      <c r="U77" s="507"/>
      <c r="V77" s="507"/>
      <c r="W77" s="509"/>
      <c r="X77" s="509"/>
      <c r="Y77" s="509"/>
      <c r="Z77" s="507"/>
      <c r="AA77" s="507"/>
      <c r="AB77" s="1113"/>
      <c r="AC77" s="830"/>
    </row>
    <row r="78" spans="1:29" ht="18" hidden="1">
      <c r="A78" s="1118"/>
      <c r="B78" s="519"/>
      <c r="C78" s="519"/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07"/>
      <c r="Q78" s="507"/>
      <c r="R78" s="507"/>
      <c r="S78" s="507"/>
      <c r="T78" s="507"/>
      <c r="U78" s="507"/>
      <c r="V78" s="507"/>
      <c r="W78" s="509"/>
      <c r="X78" s="509"/>
      <c r="Y78" s="509"/>
      <c r="Z78" s="507"/>
      <c r="AA78" s="507"/>
      <c r="AB78" s="1113"/>
      <c r="AC78" s="830"/>
    </row>
    <row r="79" spans="1:29" ht="18" hidden="1">
      <c r="A79" s="512" t="s">
        <v>391</v>
      </c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07"/>
      <c r="Q79" s="507"/>
      <c r="R79" s="507"/>
      <c r="S79" s="507"/>
      <c r="T79" s="507"/>
      <c r="U79" s="507"/>
      <c r="V79" s="507"/>
      <c r="W79" s="509"/>
      <c r="X79" s="509"/>
      <c r="Y79" s="509"/>
      <c r="Z79" s="507"/>
      <c r="AA79" s="507"/>
      <c r="AB79" s="1113"/>
      <c r="AC79" s="830"/>
    </row>
    <row r="80" spans="1:29" ht="30.75" hidden="1">
      <c r="A80" s="512" t="s">
        <v>392</v>
      </c>
      <c r="B80" s="519"/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07"/>
      <c r="Q80" s="507"/>
      <c r="R80" s="507"/>
      <c r="S80" s="507"/>
      <c r="T80" s="507"/>
      <c r="U80" s="507"/>
      <c r="V80" s="507"/>
      <c r="W80" s="509"/>
      <c r="X80" s="509"/>
      <c r="Y80" s="509"/>
      <c r="Z80" s="507"/>
      <c r="AA80" s="507"/>
      <c r="AB80" s="1113"/>
      <c r="AC80" s="830"/>
    </row>
    <row r="81" spans="1:29" ht="18" hidden="1">
      <c r="A81" s="520"/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07"/>
      <c r="Q81" s="507"/>
      <c r="R81" s="507"/>
      <c r="S81" s="507"/>
      <c r="T81" s="507"/>
      <c r="U81" s="507"/>
      <c r="V81" s="507"/>
      <c r="W81" s="509"/>
      <c r="X81" s="509"/>
      <c r="Y81" s="509"/>
      <c r="Z81" s="507"/>
      <c r="AA81" s="507"/>
      <c r="AB81" s="1113"/>
      <c r="AC81" s="830"/>
    </row>
    <row r="82" spans="1:29" ht="18" hidden="1">
      <c r="A82" s="520"/>
      <c r="B82" s="519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07"/>
      <c r="Q82" s="507"/>
      <c r="R82" s="507"/>
      <c r="S82" s="507"/>
      <c r="T82" s="507"/>
      <c r="U82" s="507"/>
      <c r="V82" s="507"/>
      <c r="W82" s="509"/>
      <c r="X82" s="509"/>
      <c r="Y82" s="509"/>
      <c r="Z82" s="507"/>
      <c r="AA82" s="507"/>
      <c r="AB82" s="1113"/>
      <c r="AC82" s="830"/>
    </row>
    <row r="83" spans="1:29" ht="18" hidden="1">
      <c r="A83" s="520"/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07"/>
      <c r="Q83" s="507"/>
      <c r="R83" s="507"/>
      <c r="S83" s="507"/>
      <c r="T83" s="507"/>
      <c r="U83" s="507"/>
      <c r="V83" s="507"/>
      <c r="W83" s="509"/>
      <c r="X83" s="509"/>
      <c r="Y83" s="509"/>
      <c r="Z83" s="507"/>
      <c r="AA83" s="507"/>
      <c r="AB83" s="1113"/>
      <c r="AC83" s="830"/>
    </row>
    <row r="84" spans="1:29" ht="18" hidden="1">
      <c r="A84" s="520"/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07"/>
      <c r="Q84" s="507"/>
      <c r="R84" s="507"/>
      <c r="S84" s="507"/>
      <c r="T84" s="507"/>
      <c r="U84" s="507"/>
      <c r="V84" s="507"/>
      <c r="W84" s="509"/>
      <c r="X84" s="509"/>
      <c r="Y84" s="509"/>
      <c r="Z84" s="507"/>
      <c r="AA84" s="507"/>
      <c r="AB84" s="1113"/>
      <c r="AC84" s="830"/>
    </row>
    <row r="85" spans="1:29" ht="18" hidden="1">
      <c r="A85" s="520"/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07"/>
      <c r="Q85" s="507"/>
      <c r="R85" s="507"/>
      <c r="S85" s="507"/>
      <c r="T85" s="507"/>
      <c r="U85" s="507"/>
      <c r="V85" s="507"/>
      <c r="W85" s="509"/>
      <c r="X85" s="509"/>
      <c r="Y85" s="509"/>
      <c r="Z85" s="507"/>
      <c r="AA85" s="507"/>
      <c r="AB85" s="1113"/>
      <c r="AC85" s="830"/>
    </row>
    <row r="86" spans="1:29" ht="18" hidden="1">
      <c r="A86" s="520"/>
      <c r="B86" s="519"/>
      <c r="C86" s="519"/>
      <c r="D86" s="519"/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507"/>
      <c r="Q86" s="507"/>
      <c r="R86" s="507"/>
      <c r="S86" s="507"/>
      <c r="T86" s="507"/>
      <c r="U86" s="507"/>
      <c r="V86" s="507"/>
      <c r="W86" s="509"/>
      <c r="X86" s="509"/>
      <c r="Y86" s="509"/>
      <c r="Z86" s="507"/>
      <c r="AA86" s="507"/>
      <c r="AB86" s="1113"/>
      <c r="AC86" s="830"/>
    </row>
    <row r="87" spans="1:29" ht="18.75" thickBot="1">
      <c r="A87" s="833" t="s">
        <v>309</v>
      </c>
      <c r="B87" s="834">
        <f>SUM(B69:B86)</f>
        <v>0</v>
      </c>
      <c r="C87" s="834"/>
      <c r="D87" s="834"/>
      <c r="E87" s="834"/>
      <c r="F87" s="834"/>
      <c r="G87" s="834">
        <f>SUM(G69:G86)</f>
        <v>0</v>
      </c>
      <c r="H87" s="834">
        <f>SUM(H69:H86)</f>
        <v>0</v>
      </c>
      <c r="I87" s="834">
        <f>SUM(I69:I86)</f>
        <v>0</v>
      </c>
      <c r="J87" s="834"/>
      <c r="K87" s="834"/>
      <c r="L87" s="834"/>
      <c r="M87" s="834"/>
      <c r="N87" s="834">
        <f>SUM(N69:N86)</f>
        <v>0</v>
      </c>
      <c r="O87" s="834">
        <f>SUM(O69:O86)</f>
        <v>500000</v>
      </c>
      <c r="P87" s="834"/>
      <c r="Q87" s="834"/>
      <c r="R87" s="834"/>
      <c r="S87" s="834"/>
      <c r="T87" s="834"/>
      <c r="U87" s="834"/>
      <c r="V87" s="834"/>
      <c r="W87" s="834"/>
      <c r="X87" s="834"/>
      <c r="Y87" s="834"/>
      <c r="Z87" s="834"/>
      <c r="AA87" s="834"/>
      <c r="AB87" s="1119"/>
      <c r="AC87" s="835"/>
    </row>
  </sheetData>
  <sheetProtection selectLockedCells="1" selectUnlockedCells="1"/>
  <mergeCells count="28">
    <mergeCell ref="P36:AC36"/>
    <mergeCell ref="A66:A67"/>
    <mergeCell ref="B66:O66"/>
    <mergeCell ref="P66:AC66"/>
    <mergeCell ref="B67:H67"/>
    <mergeCell ref="I67:O67"/>
    <mergeCell ref="P67:V67"/>
    <mergeCell ref="W67:AC67"/>
    <mergeCell ref="P1:W1"/>
    <mergeCell ref="A2:W2"/>
    <mergeCell ref="A3:W3"/>
    <mergeCell ref="A6:W6"/>
    <mergeCell ref="A34:W34"/>
    <mergeCell ref="A64:W64"/>
    <mergeCell ref="A63:I63"/>
    <mergeCell ref="B9:H9"/>
    <mergeCell ref="B8:O8"/>
    <mergeCell ref="W9:AC9"/>
    <mergeCell ref="B36:O36"/>
    <mergeCell ref="A8:A9"/>
    <mergeCell ref="I9:O9"/>
    <mergeCell ref="P9:V9"/>
    <mergeCell ref="P8:AC8"/>
    <mergeCell ref="W37:AC37"/>
    <mergeCell ref="P37:V37"/>
    <mergeCell ref="I37:O37"/>
    <mergeCell ref="B37:H37"/>
    <mergeCell ref="A36:A37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73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522" customWidth="1"/>
    <col min="3" max="3" width="34.28125" style="522" customWidth="1"/>
    <col min="4" max="4" width="5.57421875" style="523" customWidth="1"/>
    <col min="5" max="5" width="14.28125" style="524" customWidth="1"/>
    <col min="6" max="8" width="0" style="524" hidden="1" customWidth="1"/>
    <col min="9" max="10" width="12.8515625" style="524" customWidth="1"/>
    <col min="11" max="11" width="11.7109375" style="522" customWidth="1"/>
    <col min="12" max="14" width="0" style="522" hidden="1" customWidth="1"/>
    <col min="15" max="16" width="9.140625" style="522" customWidth="1"/>
    <col min="17" max="17" width="15.421875" style="522" customWidth="1"/>
    <col min="18" max="18" width="0" style="522" hidden="1" customWidth="1"/>
    <col min="19" max="19" width="11.140625" style="522" customWidth="1"/>
    <col min="20" max="20" width="12.28125" style="522" customWidth="1"/>
    <col min="21" max="16384" width="9.140625" style="522" customWidth="1"/>
  </cols>
  <sheetData>
    <row r="1" spans="1:17" ht="29.25" customHeight="1">
      <c r="A1" s="1586" t="s">
        <v>591</v>
      </c>
      <c r="B1" s="1586"/>
      <c r="C1" s="1586"/>
      <c r="D1" s="1586"/>
      <c r="E1" s="1586"/>
      <c r="F1" s="1586"/>
      <c r="G1" s="1586"/>
      <c r="H1" s="1586"/>
      <c r="I1" s="1586"/>
      <c r="J1" s="1586"/>
      <c r="K1" s="1586"/>
      <c r="L1" s="1586"/>
      <c r="M1" s="1586"/>
      <c r="N1" s="1586"/>
      <c r="O1" s="1586"/>
      <c r="P1" s="1586"/>
      <c r="Q1" s="1586"/>
    </row>
    <row r="2" spans="3:17" ht="12.75">
      <c r="C2" s="13"/>
      <c r="Q2" s="522" t="s">
        <v>572</v>
      </c>
    </row>
    <row r="3" spans="1:18" ht="15.75">
      <c r="A3" s="1587" t="s">
        <v>393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  <c r="Q3" s="1587"/>
      <c r="R3" s="525"/>
    </row>
    <row r="4" spans="1:18" ht="16.5" thickBot="1">
      <c r="A4" s="526"/>
      <c r="B4" s="527"/>
      <c r="C4" s="525"/>
      <c r="D4" s="525"/>
      <c r="E4" s="528"/>
      <c r="F4" s="528"/>
      <c r="G4" s="528"/>
      <c r="H4" s="528"/>
      <c r="I4" s="528"/>
      <c r="J4" s="528"/>
      <c r="K4" s="525"/>
      <c r="L4" s="525"/>
      <c r="M4" s="525"/>
      <c r="N4" s="525"/>
      <c r="O4" s="525"/>
      <c r="P4" s="525"/>
      <c r="Q4" s="525" t="s">
        <v>484</v>
      </c>
      <c r="R4" s="525"/>
    </row>
    <row r="5" spans="1:20" s="533" customFormat="1" ht="31.5" customHeight="1" thickBot="1">
      <c r="A5" s="529" t="s">
        <v>2</v>
      </c>
      <c r="B5" s="530" t="s">
        <v>4</v>
      </c>
      <c r="C5" s="839" t="s">
        <v>394</v>
      </c>
      <c r="D5" s="532" t="s">
        <v>395</v>
      </c>
      <c r="E5" s="1591" t="s">
        <v>5</v>
      </c>
      <c r="F5" s="1592"/>
      <c r="G5" s="1592"/>
      <c r="H5" s="1592"/>
      <c r="I5" s="1592"/>
      <c r="J5" s="1593"/>
      <c r="K5" s="1588" t="s">
        <v>396</v>
      </c>
      <c r="L5" s="1589"/>
      <c r="M5" s="1589"/>
      <c r="N5" s="1589"/>
      <c r="O5" s="1589"/>
      <c r="P5" s="1590"/>
      <c r="Q5" s="1588" t="s">
        <v>340</v>
      </c>
      <c r="R5" s="1589"/>
      <c r="S5" s="1589"/>
      <c r="T5" s="1590"/>
    </row>
    <row r="6" spans="1:20" s="533" customFormat="1" ht="31.5" customHeight="1" hidden="1">
      <c r="A6" s="534"/>
      <c r="B6" s="535"/>
      <c r="C6" s="536"/>
      <c r="D6" s="537"/>
      <c r="E6" s="863" t="s">
        <v>9</v>
      </c>
      <c r="F6" s="1132" t="s">
        <v>397</v>
      </c>
      <c r="G6" s="1133" t="s">
        <v>303</v>
      </c>
      <c r="H6" s="1133" t="s">
        <v>310</v>
      </c>
      <c r="I6" s="1133"/>
      <c r="J6" s="1134"/>
      <c r="K6" s="863" t="s">
        <v>9</v>
      </c>
      <c r="L6" s="1132" t="s">
        <v>397</v>
      </c>
      <c r="M6" s="1133"/>
      <c r="N6" s="1133"/>
      <c r="O6" s="1133"/>
      <c r="P6" s="1134"/>
      <c r="Q6" s="863" t="s">
        <v>9</v>
      </c>
      <c r="R6" s="1132" t="s">
        <v>397</v>
      </c>
      <c r="S6" s="1135"/>
      <c r="T6" s="1136"/>
    </row>
    <row r="7" spans="1:20" s="533" customFormat="1" ht="24" customHeight="1">
      <c r="A7" s="534"/>
      <c r="B7" s="535"/>
      <c r="C7" s="536"/>
      <c r="D7" s="537"/>
      <c r="E7" s="1137" t="s">
        <v>9</v>
      </c>
      <c r="F7" s="1138"/>
      <c r="G7" s="1139"/>
      <c r="H7" s="1139"/>
      <c r="I7" s="1139" t="s">
        <v>10</v>
      </c>
      <c r="J7" s="1140" t="s">
        <v>11</v>
      </c>
      <c r="K7" s="1137" t="s">
        <v>9</v>
      </c>
      <c r="L7" s="1138"/>
      <c r="M7" s="1139"/>
      <c r="N7" s="1139"/>
      <c r="O7" s="1139" t="s">
        <v>507</v>
      </c>
      <c r="P7" s="1140" t="s">
        <v>11</v>
      </c>
      <c r="Q7" s="1137" t="s">
        <v>9</v>
      </c>
      <c r="R7" s="1138"/>
      <c r="S7" s="1139" t="s">
        <v>10</v>
      </c>
      <c r="T7" s="1140" t="s">
        <v>11</v>
      </c>
    </row>
    <row r="8" spans="1:20" ht="29.25" customHeight="1">
      <c r="A8" s="544">
        <v>1</v>
      </c>
      <c r="B8" s="545" t="s">
        <v>398</v>
      </c>
      <c r="C8" s="546" t="s">
        <v>399</v>
      </c>
      <c r="D8" s="547" t="s">
        <v>350</v>
      </c>
      <c r="E8" s="1128">
        <v>215900</v>
      </c>
      <c r="F8" s="1129"/>
      <c r="G8" s="1129"/>
      <c r="H8" s="1130"/>
      <c r="I8" s="1129">
        <v>215900</v>
      </c>
      <c r="J8" s="1131">
        <v>215900</v>
      </c>
      <c r="K8" s="1128"/>
      <c r="L8" s="1129"/>
      <c r="M8" s="1129"/>
      <c r="N8" s="1130"/>
      <c r="O8" s="1130"/>
      <c r="P8" s="981"/>
      <c r="Q8" s="1128">
        <v>215900</v>
      </c>
      <c r="R8" s="584"/>
      <c r="S8" s="1129">
        <v>215900</v>
      </c>
      <c r="T8" s="1131">
        <v>215900</v>
      </c>
    </row>
    <row r="9" spans="1:20" ht="29.25" customHeight="1">
      <c r="A9" s="544">
        <v>2</v>
      </c>
      <c r="B9" s="545" t="s">
        <v>398</v>
      </c>
      <c r="C9" s="546" t="s">
        <v>491</v>
      </c>
      <c r="D9" s="547" t="s">
        <v>350</v>
      </c>
      <c r="E9" s="553">
        <v>190500</v>
      </c>
      <c r="F9" s="557"/>
      <c r="G9" s="557"/>
      <c r="H9" s="1121"/>
      <c r="I9" s="557">
        <v>190500</v>
      </c>
      <c r="J9" s="554">
        <v>190500</v>
      </c>
      <c r="K9" s="556"/>
      <c r="L9" s="557"/>
      <c r="M9" s="557"/>
      <c r="N9" s="1121"/>
      <c r="O9" s="1121"/>
      <c r="P9" s="552"/>
      <c r="Q9" s="553">
        <v>190500</v>
      </c>
      <c r="R9" s="557"/>
      <c r="S9" s="557">
        <v>190500</v>
      </c>
      <c r="T9" s="554">
        <v>190500</v>
      </c>
    </row>
    <row r="10" spans="1:20" ht="29.25" customHeight="1">
      <c r="A10" s="544">
        <v>3</v>
      </c>
      <c r="B10" s="545" t="s">
        <v>398</v>
      </c>
      <c r="C10" s="546" t="s">
        <v>492</v>
      </c>
      <c r="D10" s="558" t="s">
        <v>350</v>
      </c>
      <c r="E10" s="559">
        <v>228600</v>
      </c>
      <c r="F10" s="561"/>
      <c r="G10" s="561"/>
      <c r="H10" s="1121"/>
      <c r="I10" s="561">
        <v>228600</v>
      </c>
      <c r="J10" s="560">
        <v>228600</v>
      </c>
      <c r="K10" s="548"/>
      <c r="L10" s="561"/>
      <c r="M10" s="561"/>
      <c r="N10" s="1121"/>
      <c r="O10" s="1121"/>
      <c r="P10" s="552"/>
      <c r="Q10" s="559">
        <v>228600</v>
      </c>
      <c r="R10" s="557"/>
      <c r="S10" s="561">
        <v>228600</v>
      </c>
      <c r="T10" s="560">
        <v>228600</v>
      </c>
    </row>
    <row r="11" spans="1:20" ht="29.25" customHeight="1">
      <c r="A11" s="544">
        <v>4</v>
      </c>
      <c r="B11" s="545" t="s">
        <v>398</v>
      </c>
      <c r="C11" s="546" t="s">
        <v>493</v>
      </c>
      <c r="D11" s="558" t="s">
        <v>350</v>
      </c>
      <c r="E11" s="559">
        <v>254000</v>
      </c>
      <c r="F11" s="561"/>
      <c r="G11" s="561"/>
      <c r="H11" s="1121"/>
      <c r="I11" s="561">
        <v>254000</v>
      </c>
      <c r="J11" s="560">
        <v>254000</v>
      </c>
      <c r="K11" s="548"/>
      <c r="L11" s="561"/>
      <c r="M11" s="561"/>
      <c r="N11" s="1121"/>
      <c r="O11" s="1121"/>
      <c r="P11" s="552"/>
      <c r="Q11" s="559">
        <v>254000</v>
      </c>
      <c r="R11" s="561"/>
      <c r="S11" s="561">
        <v>254000</v>
      </c>
      <c r="T11" s="560">
        <v>254000</v>
      </c>
    </row>
    <row r="12" spans="1:20" ht="29.25" customHeight="1" thickBot="1">
      <c r="A12" s="544">
        <v>5</v>
      </c>
      <c r="B12" s="545" t="s">
        <v>398</v>
      </c>
      <c r="C12" s="562" t="s">
        <v>522</v>
      </c>
      <c r="D12" s="558" t="s">
        <v>350</v>
      </c>
      <c r="E12" s="559"/>
      <c r="F12" s="561"/>
      <c r="G12" s="561"/>
      <c r="H12" s="1121"/>
      <c r="I12" s="551">
        <v>250000</v>
      </c>
      <c r="J12" s="549">
        <v>250000</v>
      </c>
      <c r="K12" s="548"/>
      <c r="L12" s="561"/>
      <c r="M12" s="561"/>
      <c r="N12" s="1121"/>
      <c r="O12" s="1121"/>
      <c r="P12" s="552"/>
      <c r="Q12" s="559"/>
      <c r="R12" s="561"/>
      <c r="S12" s="1124">
        <v>250000</v>
      </c>
      <c r="T12" s="983">
        <v>250000</v>
      </c>
    </row>
    <row r="13" spans="1:20" ht="29.25" customHeight="1" hidden="1">
      <c r="A13" s="544"/>
      <c r="B13" s="545"/>
      <c r="C13" s="546"/>
      <c r="D13" s="558"/>
      <c r="E13" s="559"/>
      <c r="F13" s="561"/>
      <c r="G13" s="561"/>
      <c r="H13" s="1121"/>
      <c r="I13" s="551"/>
      <c r="J13" s="549"/>
      <c r="K13" s="548"/>
      <c r="L13" s="561"/>
      <c r="M13" s="561"/>
      <c r="N13" s="1121"/>
      <c r="O13" s="1121"/>
      <c r="P13" s="552"/>
      <c r="Q13" s="559"/>
      <c r="R13" s="561"/>
      <c r="S13" s="1124"/>
      <c r="T13" s="983"/>
    </row>
    <row r="14" spans="1:20" ht="29.25" customHeight="1" hidden="1">
      <c r="A14" s="544"/>
      <c r="B14" s="563"/>
      <c r="C14" s="564"/>
      <c r="D14" s="558"/>
      <c r="E14" s="559"/>
      <c r="F14" s="561"/>
      <c r="G14" s="561"/>
      <c r="H14" s="1121"/>
      <c r="I14" s="551"/>
      <c r="J14" s="549"/>
      <c r="K14" s="548"/>
      <c r="L14" s="561"/>
      <c r="M14" s="561"/>
      <c r="N14" s="1121"/>
      <c r="O14" s="1121"/>
      <c r="P14" s="552"/>
      <c r="Q14" s="559"/>
      <c r="R14" s="561"/>
      <c r="S14" s="1125"/>
      <c r="T14" s="987"/>
    </row>
    <row r="15" spans="1:20" ht="29.25" customHeight="1" hidden="1">
      <c r="A15" s="544"/>
      <c r="B15" s="545"/>
      <c r="C15" s="546"/>
      <c r="D15" s="558"/>
      <c r="E15" s="559"/>
      <c r="F15" s="561"/>
      <c r="G15" s="561"/>
      <c r="H15" s="1121"/>
      <c r="I15" s="551"/>
      <c r="J15" s="549"/>
      <c r="K15" s="548"/>
      <c r="L15" s="561"/>
      <c r="M15" s="561"/>
      <c r="N15" s="1121"/>
      <c r="O15" s="1121"/>
      <c r="P15" s="552"/>
      <c r="Q15" s="559"/>
      <c r="R15" s="561"/>
      <c r="S15" s="1125"/>
      <c r="T15" s="987"/>
    </row>
    <row r="16" spans="1:20" ht="29.25" customHeight="1" hidden="1">
      <c r="A16" s="544"/>
      <c r="B16" s="545"/>
      <c r="C16" s="562"/>
      <c r="D16" s="558"/>
      <c r="E16" s="559"/>
      <c r="F16" s="561"/>
      <c r="G16" s="561"/>
      <c r="H16" s="1121"/>
      <c r="I16" s="551"/>
      <c r="J16" s="549"/>
      <c r="K16" s="548"/>
      <c r="L16" s="561"/>
      <c r="M16" s="561"/>
      <c r="N16" s="1121"/>
      <c r="O16" s="1121"/>
      <c r="P16" s="552"/>
      <c r="Q16" s="559"/>
      <c r="R16" s="561"/>
      <c r="S16" s="1124"/>
      <c r="T16" s="983"/>
    </row>
    <row r="17" spans="1:20" ht="29.25" customHeight="1" hidden="1">
      <c r="A17" s="544"/>
      <c r="B17" s="545"/>
      <c r="C17" s="562"/>
      <c r="D17" s="558"/>
      <c r="E17" s="559"/>
      <c r="F17" s="561"/>
      <c r="G17" s="561"/>
      <c r="H17" s="1121"/>
      <c r="I17" s="551"/>
      <c r="J17" s="549"/>
      <c r="K17" s="548"/>
      <c r="L17" s="561"/>
      <c r="M17" s="561"/>
      <c r="N17" s="1121"/>
      <c r="O17" s="1121"/>
      <c r="P17" s="552"/>
      <c r="Q17" s="559"/>
      <c r="R17" s="1126"/>
      <c r="S17" s="1127"/>
      <c r="T17" s="988"/>
    </row>
    <row r="18" spans="1:20" ht="31.5" customHeight="1" thickBot="1">
      <c r="A18" s="1595" t="s">
        <v>309</v>
      </c>
      <c r="B18" s="1595"/>
      <c r="C18" s="1595"/>
      <c r="D18" s="565"/>
      <c r="E18" s="566">
        <f>SUM(E8:E17)</f>
        <v>889000</v>
      </c>
      <c r="F18" s="1122"/>
      <c r="G18" s="1122"/>
      <c r="H18" s="1123"/>
      <c r="I18" s="1122">
        <f>SUM(I8:I17)</f>
        <v>1139000</v>
      </c>
      <c r="J18" s="567">
        <f>SUM(J8:J17)</f>
        <v>1139000</v>
      </c>
      <c r="K18" s="566"/>
      <c r="L18" s="1122"/>
      <c r="M18" s="1122"/>
      <c r="N18" s="1122"/>
      <c r="O18" s="1122"/>
      <c r="P18" s="567"/>
      <c r="Q18" s="566">
        <f>SUM(Q8:Q17)</f>
        <v>889000</v>
      </c>
      <c r="R18" s="1122">
        <f>SUM(R8:R17)</f>
        <v>0</v>
      </c>
      <c r="S18" s="1122">
        <f>SUM(S8:S17)</f>
        <v>1139000</v>
      </c>
      <c r="T18" s="567">
        <f>SUM(T8:T17)</f>
        <v>1139000</v>
      </c>
    </row>
    <row r="19" spans="1:19" ht="31.5" customHeight="1">
      <c r="A19" s="525"/>
      <c r="B19" s="525"/>
      <c r="C19" s="525"/>
      <c r="D19" s="568"/>
      <c r="E19" s="569"/>
      <c r="F19" s="569"/>
      <c r="G19" s="569"/>
      <c r="H19" s="570"/>
      <c r="I19" s="570"/>
      <c r="J19" s="570"/>
      <c r="K19" s="569"/>
      <c r="L19" s="569"/>
      <c r="M19" s="569"/>
      <c r="N19" s="569"/>
      <c r="O19" s="569"/>
      <c r="P19" s="569"/>
      <c r="Q19" s="569"/>
      <c r="R19" s="569"/>
      <c r="S19" s="571"/>
    </row>
    <row r="20" spans="1:17" ht="15.75">
      <c r="A20" s="525"/>
      <c r="B20" s="525"/>
      <c r="C20" s="525"/>
      <c r="D20" s="568"/>
      <c r="E20" s="569"/>
      <c r="F20" s="569"/>
      <c r="G20" s="569"/>
      <c r="H20" s="569"/>
      <c r="I20" s="569"/>
      <c r="J20" s="569"/>
      <c r="K20" s="572"/>
      <c r="L20" s="572"/>
      <c r="M20" s="572"/>
      <c r="N20" s="572"/>
      <c r="O20" s="572"/>
      <c r="P20" s="572"/>
      <c r="Q20" s="572"/>
    </row>
    <row r="21" spans="1:17" ht="14.25">
      <c r="A21" s="1587" t="s">
        <v>400</v>
      </c>
      <c r="B21" s="1587"/>
      <c r="C21" s="1587"/>
      <c r="D21" s="1587"/>
      <c r="E21" s="1587"/>
      <c r="F21" s="1587"/>
      <c r="G21" s="1587"/>
      <c r="H21" s="1587"/>
      <c r="I21" s="1587"/>
      <c r="J21" s="1587"/>
      <c r="K21" s="1587"/>
      <c r="L21" s="1587"/>
      <c r="M21" s="1587"/>
      <c r="N21" s="1587"/>
      <c r="O21" s="1587"/>
      <c r="P21" s="1587"/>
      <c r="Q21" s="1587"/>
    </row>
    <row r="22" spans="1:17" ht="13.5" thickBot="1">
      <c r="A22" s="523"/>
      <c r="B22" s="523"/>
      <c r="C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</row>
    <row r="23" spans="1:19" ht="29.25" customHeight="1" thickBot="1">
      <c r="A23" s="529" t="s">
        <v>2</v>
      </c>
      <c r="B23" s="530"/>
      <c r="C23" s="531" t="s">
        <v>401</v>
      </c>
      <c r="D23" s="532" t="s">
        <v>395</v>
      </c>
      <c r="E23" s="1596" t="s">
        <v>5</v>
      </c>
      <c r="F23" s="1596"/>
      <c r="G23" s="1597"/>
      <c r="H23" s="1597"/>
      <c r="I23" s="840"/>
      <c r="J23" s="840"/>
      <c r="K23" s="1598" t="s">
        <v>396</v>
      </c>
      <c r="L23" s="1599"/>
      <c r="M23" s="1599"/>
      <c r="N23" s="1599"/>
      <c r="O23" s="1517"/>
      <c r="P23" s="1082"/>
      <c r="Q23" s="1598" t="s">
        <v>340</v>
      </c>
      <c r="R23" s="1599"/>
      <c r="S23" s="1600"/>
    </row>
    <row r="24" spans="1:19" ht="28.5" customHeight="1" hidden="1">
      <c r="A24" s="573"/>
      <c r="B24" s="574"/>
      <c r="C24" s="575"/>
      <c r="D24" s="576"/>
      <c r="E24" s="538" t="s">
        <v>9</v>
      </c>
      <c r="F24" s="539" t="s">
        <v>397</v>
      </c>
      <c r="G24" s="540" t="s">
        <v>303</v>
      </c>
      <c r="H24" s="541" t="s">
        <v>310</v>
      </c>
      <c r="I24" s="841"/>
      <c r="J24" s="841"/>
      <c r="K24" s="538" t="s">
        <v>9</v>
      </c>
      <c r="L24" s="539" t="s">
        <v>397</v>
      </c>
      <c r="M24" s="542" t="s">
        <v>303</v>
      </c>
      <c r="N24" s="543" t="s">
        <v>310</v>
      </c>
      <c r="O24" s="843"/>
      <c r="P24" s="843"/>
      <c r="Q24" s="846" t="s">
        <v>9</v>
      </c>
      <c r="R24" s="847" t="s">
        <v>397</v>
      </c>
      <c r="S24" s="853"/>
    </row>
    <row r="25" spans="1:19" ht="28.5" customHeight="1" thickBot="1">
      <c r="A25" s="573"/>
      <c r="B25" s="574"/>
      <c r="C25" s="575"/>
      <c r="D25" s="576"/>
      <c r="E25" s="538" t="s">
        <v>9</v>
      </c>
      <c r="F25" s="539"/>
      <c r="G25" s="540"/>
      <c r="H25" s="541"/>
      <c r="I25" s="841" t="s">
        <v>10</v>
      </c>
      <c r="J25" s="841"/>
      <c r="K25" s="538" t="s">
        <v>9</v>
      </c>
      <c r="L25" s="849"/>
      <c r="M25" s="542"/>
      <c r="N25" s="543"/>
      <c r="O25" s="843" t="s">
        <v>507</v>
      </c>
      <c r="P25" s="841"/>
      <c r="Q25" s="854" t="s">
        <v>9</v>
      </c>
      <c r="R25" s="850"/>
      <c r="S25" s="862" t="s">
        <v>505</v>
      </c>
    </row>
    <row r="26" spans="1:19" ht="29.25" customHeight="1">
      <c r="A26" s="577">
        <v>1</v>
      </c>
      <c r="B26" s="578" t="s">
        <v>402</v>
      </c>
      <c r="C26" s="579" t="s">
        <v>403</v>
      </c>
      <c r="D26" s="580" t="s">
        <v>350</v>
      </c>
      <c r="E26" s="581">
        <v>1278549</v>
      </c>
      <c r="F26" s="582"/>
      <c r="G26" s="583"/>
      <c r="H26" s="550"/>
      <c r="I26" s="984">
        <v>0</v>
      </c>
      <c r="J26" s="984"/>
      <c r="K26" s="851"/>
      <c r="L26" s="852"/>
      <c r="M26" s="852"/>
      <c r="N26" s="985"/>
      <c r="O26" s="986"/>
      <c r="P26" s="984"/>
      <c r="Q26" s="855">
        <v>1278549</v>
      </c>
      <c r="R26" s="858"/>
      <c r="S26" s="986">
        <v>0</v>
      </c>
    </row>
    <row r="27" spans="1:19" ht="29.25" customHeight="1">
      <c r="A27" s="585">
        <v>2</v>
      </c>
      <c r="B27" s="586" t="s">
        <v>402</v>
      </c>
      <c r="C27" s="587" t="s">
        <v>520</v>
      </c>
      <c r="D27" s="588" t="s">
        <v>350</v>
      </c>
      <c r="E27" s="589"/>
      <c r="F27" s="590"/>
      <c r="G27" s="591"/>
      <c r="H27" s="550"/>
      <c r="I27" s="982">
        <v>800000</v>
      </c>
      <c r="J27" s="982"/>
      <c r="K27" s="980"/>
      <c r="L27" s="584"/>
      <c r="M27" s="584"/>
      <c r="N27" s="981"/>
      <c r="O27" s="844"/>
      <c r="P27" s="1120"/>
      <c r="Q27" s="856"/>
      <c r="R27" s="859"/>
      <c r="S27" s="1072">
        <v>800000</v>
      </c>
    </row>
    <row r="28" spans="1:19" ht="29.25" customHeight="1">
      <c r="A28" s="585">
        <v>3</v>
      </c>
      <c r="B28" s="586" t="s">
        <v>402</v>
      </c>
      <c r="C28" s="587" t="s">
        <v>521</v>
      </c>
      <c r="D28" s="588" t="s">
        <v>350</v>
      </c>
      <c r="E28" s="589"/>
      <c r="F28" s="590"/>
      <c r="G28" s="591"/>
      <c r="H28" s="550"/>
      <c r="I28" s="982">
        <v>255160</v>
      </c>
      <c r="J28" s="982"/>
      <c r="K28" s="980"/>
      <c r="L28" s="584"/>
      <c r="M28" s="584"/>
      <c r="N28" s="981"/>
      <c r="O28" s="844"/>
      <c r="P28" s="1120"/>
      <c r="Q28" s="856"/>
      <c r="R28" s="859"/>
      <c r="S28" s="1072">
        <v>255160</v>
      </c>
    </row>
    <row r="29" spans="1:19" ht="29.25" customHeight="1" thickBot="1">
      <c r="A29" s="585"/>
      <c r="B29" s="586"/>
      <c r="C29" s="587"/>
      <c r="D29" s="588"/>
      <c r="E29" s="589"/>
      <c r="F29" s="590"/>
      <c r="G29" s="591"/>
      <c r="H29" s="550"/>
      <c r="I29" s="842"/>
      <c r="J29" s="842"/>
      <c r="K29" s="592"/>
      <c r="L29" s="584"/>
      <c r="M29" s="584"/>
      <c r="N29" s="552"/>
      <c r="O29" s="845"/>
      <c r="P29" s="842"/>
      <c r="Q29" s="559"/>
      <c r="R29" s="848"/>
      <c r="S29" s="845"/>
    </row>
    <row r="30" spans="1:19" ht="29.25" customHeight="1" hidden="1">
      <c r="A30" s="585"/>
      <c r="B30" s="586"/>
      <c r="C30" s="546"/>
      <c r="D30" s="593"/>
      <c r="E30" s="553"/>
      <c r="F30" s="554"/>
      <c r="G30" s="555"/>
      <c r="H30" s="550"/>
      <c r="I30" s="842"/>
      <c r="J30" s="842"/>
      <c r="K30" s="556"/>
      <c r="L30" s="557"/>
      <c r="M30" s="584"/>
      <c r="N30" s="552"/>
      <c r="O30" s="844"/>
      <c r="P30" s="1120"/>
      <c r="Q30" s="856"/>
      <c r="R30" s="859"/>
      <c r="S30" s="845"/>
    </row>
    <row r="31" spans="1:19" ht="29.25" customHeight="1" hidden="1">
      <c r="A31" s="585"/>
      <c r="B31" s="586"/>
      <c r="C31" s="546"/>
      <c r="D31" s="593"/>
      <c r="E31" s="553"/>
      <c r="F31" s="554"/>
      <c r="G31" s="555"/>
      <c r="H31" s="550"/>
      <c r="I31" s="842"/>
      <c r="J31" s="842"/>
      <c r="K31" s="556"/>
      <c r="L31" s="557"/>
      <c r="M31" s="557"/>
      <c r="N31" s="552"/>
      <c r="O31" s="845"/>
      <c r="P31" s="842"/>
      <c r="Q31" s="857"/>
      <c r="R31" s="860"/>
      <c r="S31" s="845"/>
    </row>
    <row r="32" spans="1:19" ht="29.25" customHeight="1" hidden="1">
      <c r="A32" s="585"/>
      <c r="B32" s="563"/>
      <c r="C32" s="594"/>
      <c r="D32" s="547"/>
      <c r="E32" s="553"/>
      <c r="F32" s="554"/>
      <c r="G32" s="555"/>
      <c r="H32" s="550"/>
      <c r="I32" s="842"/>
      <c r="J32" s="842"/>
      <c r="K32" s="556"/>
      <c r="L32" s="557"/>
      <c r="M32" s="557"/>
      <c r="N32" s="552"/>
      <c r="O32" s="845"/>
      <c r="P32" s="842"/>
      <c r="Q32" s="857"/>
      <c r="R32" s="860"/>
      <c r="S32" s="845"/>
    </row>
    <row r="33" spans="1:19" ht="29.25" customHeight="1" thickBot="1">
      <c r="A33" s="1594" t="s">
        <v>309</v>
      </c>
      <c r="B33" s="1594"/>
      <c r="C33" s="1594"/>
      <c r="D33" s="565"/>
      <c r="E33" s="595">
        <f>SUM(E26:E32)</f>
        <v>1278549</v>
      </c>
      <c r="F33" s="595">
        <f aca="true" t="shared" si="0" ref="F33:Q33">SUM(F26:F32)</f>
        <v>0</v>
      </c>
      <c r="G33" s="595">
        <f t="shared" si="0"/>
        <v>0</v>
      </c>
      <c r="H33" s="595">
        <f t="shared" si="0"/>
        <v>0</v>
      </c>
      <c r="I33" s="595">
        <f>SUM(I26:I32)</f>
        <v>1055160</v>
      </c>
      <c r="J33" s="595"/>
      <c r="K33" s="595">
        <f t="shared" si="0"/>
        <v>0</v>
      </c>
      <c r="L33" s="595">
        <f t="shared" si="0"/>
        <v>0</v>
      </c>
      <c r="M33" s="595">
        <f t="shared" si="0"/>
        <v>0</v>
      </c>
      <c r="N33" s="595">
        <f t="shared" si="0"/>
        <v>0</v>
      </c>
      <c r="O33" s="595"/>
      <c r="P33" s="595"/>
      <c r="Q33" s="595">
        <f t="shared" si="0"/>
        <v>1278549</v>
      </c>
      <c r="R33" s="861"/>
      <c r="S33" s="1073">
        <f>SUM(S26:S32)</f>
        <v>1055160</v>
      </c>
    </row>
  </sheetData>
  <sheetProtection selectLockedCells="1" selectUnlockedCells="1"/>
  <mergeCells count="12">
    <mergeCell ref="K23:O23"/>
    <mergeCell ref="Q23:S23"/>
    <mergeCell ref="A1:Q1"/>
    <mergeCell ref="A3:Q3"/>
    <mergeCell ref="Q5:T5"/>
    <mergeCell ref="K5:P5"/>
    <mergeCell ref="E5:J5"/>
    <mergeCell ref="A33:C33"/>
    <mergeCell ref="A18:C18"/>
    <mergeCell ref="A21:Q21"/>
    <mergeCell ref="E23:F23"/>
    <mergeCell ref="G23:H23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90" r:id="rId1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9" sqref="B9:B10"/>
    </sheetView>
  </sheetViews>
  <sheetFormatPr defaultColWidth="9.140625" defaultRowHeight="12.75"/>
  <cols>
    <col min="1" max="1" width="6.57421875" style="996" customWidth="1"/>
    <col min="2" max="2" width="26.7109375" style="998" customWidth="1"/>
    <col min="3" max="3" width="28.28125" style="998" customWidth="1"/>
    <col min="4" max="4" width="5.00390625" style="996" customWidth="1"/>
    <col min="5" max="6" width="14.57421875" style="996" customWidth="1"/>
    <col min="7" max="7" width="12.8515625" style="996" customWidth="1"/>
    <col min="8" max="8" width="11.8515625" style="996" hidden="1" customWidth="1"/>
    <col min="9" max="9" width="9.28125" style="996" hidden="1" customWidth="1"/>
    <col min="10" max="10" width="11.8515625" style="996" hidden="1" customWidth="1"/>
    <col min="11" max="16384" width="9.140625" style="996" customWidth="1"/>
  </cols>
  <sheetData>
    <row r="1" spans="2:6" ht="12.75">
      <c r="B1" s="997"/>
      <c r="D1" s="1601" t="s">
        <v>571</v>
      </c>
      <c r="E1" s="1601"/>
      <c r="F1" s="999"/>
    </row>
    <row r="2" ht="12.75">
      <c r="B2" s="997"/>
    </row>
    <row r="3" spans="1:6" ht="18">
      <c r="A3" s="1602" t="s">
        <v>534</v>
      </c>
      <c r="B3" s="1602"/>
      <c r="C3" s="1602"/>
      <c r="D3" s="1602"/>
      <c r="E3" s="1602"/>
      <c r="F3" s="1000"/>
    </row>
    <row r="4" spans="1:6" ht="18">
      <c r="A4" s="1602" t="s">
        <v>535</v>
      </c>
      <c r="B4" s="1602"/>
      <c r="C4" s="1602"/>
      <c r="D4" s="1602"/>
      <c r="E4" s="1602"/>
      <c r="F4" s="1000"/>
    </row>
    <row r="5" spans="1:6" ht="18">
      <c r="A5" s="1000"/>
      <c r="B5" s="1001"/>
      <c r="C5" s="1001"/>
      <c r="D5" s="1000"/>
      <c r="E5" s="1000"/>
      <c r="F5" s="1000"/>
    </row>
    <row r="6" spans="1:6" ht="15.75">
      <c r="A6" s="1603" t="s">
        <v>536</v>
      </c>
      <c r="B6" s="1603"/>
      <c r="C6" s="1603"/>
      <c r="D6" s="1603"/>
      <c r="E6" s="1603"/>
      <c r="F6" s="1002"/>
    </row>
    <row r="7" spans="1:8" ht="16.5" thickBot="1">
      <c r="A7" s="1003"/>
      <c r="B7" s="1004"/>
      <c r="C7" s="1005"/>
      <c r="D7" s="1002"/>
      <c r="F7" s="1006"/>
      <c r="G7" s="1007" t="s">
        <v>481</v>
      </c>
      <c r="H7" s="1007"/>
    </row>
    <row r="8" spans="1:10" ht="45.75" customHeight="1" thickBot="1">
      <c r="A8" s="1008" t="s">
        <v>537</v>
      </c>
      <c r="B8" s="1009" t="s">
        <v>538</v>
      </c>
      <c r="C8" s="1009" t="s">
        <v>539</v>
      </c>
      <c r="D8" s="1010" t="s">
        <v>540</v>
      </c>
      <c r="E8" s="1011" t="s">
        <v>541</v>
      </c>
      <c r="F8" s="1009" t="s">
        <v>143</v>
      </c>
      <c r="G8" s="1333" t="s">
        <v>144</v>
      </c>
      <c r="H8" s="1326" t="s">
        <v>145</v>
      </c>
      <c r="I8" s="1009" t="s">
        <v>146</v>
      </c>
      <c r="J8" s="1009" t="s">
        <v>147</v>
      </c>
    </row>
    <row r="9" spans="1:10" s="1015" customFormat="1" ht="30" customHeight="1">
      <c r="A9" s="1012">
        <v>1</v>
      </c>
      <c r="B9" s="1037" t="s">
        <v>603</v>
      </c>
      <c r="C9" s="1037" t="s">
        <v>551</v>
      </c>
      <c r="D9" s="1013" t="s">
        <v>542</v>
      </c>
      <c r="E9" s="1014"/>
      <c r="F9" s="1334">
        <v>9990</v>
      </c>
      <c r="G9" s="1335">
        <v>9990</v>
      </c>
      <c r="H9" s="1327"/>
      <c r="I9" s="1014"/>
      <c r="J9" s="1014"/>
    </row>
    <row r="10" spans="1:10" s="1015" customFormat="1" ht="30" customHeight="1" thickBot="1">
      <c r="A10" s="1016">
        <v>2</v>
      </c>
      <c r="B10" s="1141" t="s">
        <v>603</v>
      </c>
      <c r="C10" s="1141" t="s">
        <v>592</v>
      </c>
      <c r="D10" s="1017" t="s">
        <v>542</v>
      </c>
      <c r="E10" s="1018"/>
      <c r="F10" s="1336"/>
      <c r="G10" s="1337">
        <v>215900</v>
      </c>
      <c r="H10" s="1328"/>
      <c r="I10" s="1018"/>
      <c r="J10" s="1018"/>
    </row>
    <row r="11" spans="1:11" ht="30" customHeight="1" hidden="1">
      <c r="A11" s="1019">
        <v>2</v>
      </c>
      <c r="B11" s="1020" t="s">
        <v>543</v>
      </c>
      <c r="C11" s="1021" t="s">
        <v>544</v>
      </c>
      <c r="D11" s="1022" t="s">
        <v>542</v>
      </c>
      <c r="E11" s="1023"/>
      <c r="F11" s="1338"/>
      <c r="G11" s="1339"/>
      <c r="H11" s="1329"/>
      <c r="I11" s="1023"/>
      <c r="J11" s="1023"/>
      <c r="K11" s="1024"/>
    </row>
    <row r="12" spans="1:10" ht="30" customHeight="1" hidden="1">
      <c r="A12" s="1019">
        <v>3</v>
      </c>
      <c r="B12" s="1020" t="s">
        <v>543</v>
      </c>
      <c r="C12" s="1025" t="s">
        <v>545</v>
      </c>
      <c r="D12" s="1022" t="s">
        <v>542</v>
      </c>
      <c r="E12" s="1023"/>
      <c r="F12" s="1338"/>
      <c r="G12" s="1339"/>
      <c r="H12" s="1329"/>
      <c r="I12" s="1023"/>
      <c r="J12" s="1023"/>
    </row>
    <row r="13" spans="1:10" ht="30" customHeight="1" hidden="1">
      <c r="A13" s="1026">
        <v>4</v>
      </c>
      <c r="B13" s="1020" t="s">
        <v>543</v>
      </c>
      <c r="C13" s="1027" t="s">
        <v>546</v>
      </c>
      <c r="D13" s="1028" t="s">
        <v>542</v>
      </c>
      <c r="E13" s="1029"/>
      <c r="F13" s="1340"/>
      <c r="G13" s="1341"/>
      <c r="H13" s="1330"/>
      <c r="I13" s="1029"/>
      <c r="J13" s="1030"/>
    </row>
    <row r="14" spans="1:10" ht="30" customHeight="1" hidden="1">
      <c r="A14" s="1019">
        <v>4</v>
      </c>
      <c r="B14" s="1020" t="s">
        <v>543</v>
      </c>
      <c r="C14" s="1027" t="s">
        <v>547</v>
      </c>
      <c r="D14" s="1028" t="s">
        <v>542</v>
      </c>
      <c r="E14" s="1029"/>
      <c r="F14" s="1340"/>
      <c r="G14" s="1341"/>
      <c r="H14" s="1330"/>
      <c r="I14" s="1029"/>
      <c r="J14" s="1030"/>
    </row>
    <row r="15" spans="1:10" ht="30" customHeight="1" hidden="1">
      <c r="A15" s="1026">
        <v>6</v>
      </c>
      <c r="B15" s="1020" t="s">
        <v>543</v>
      </c>
      <c r="C15" s="1027" t="s">
        <v>548</v>
      </c>
      <c r="D15" s="1031" t="s">
        <v>542</v>
      </c>
      <c r="E15" s="1030"/>
      <c r="F15" s="1342"/>
      <c r="G15" s="1343"/>
      <c r="H15" s="1331"/>
      <c r="I15" s="1030"/>
      <c r="J15" s="1030"/>
    </row>
    <row r="16" spans="1:10" ht="36.75" customHeight="1" hidden="1">
      <c r="A16" s="1019">
        <v>5</v>
      </c>
      <c r="B16" s="1020" t="s">
        <v>543</v>
      </c>
      <c r="C16" s="1027" t="s">
        <v>549</v>
      </c>
      <c r="D16" s="1031" t="s">
        <v>542</v>
      </c>
      <c r="E16" s="1030"/>
      <c r="F16" s="1342"/>
      <c r="G16" s="1343"/>
      <c r="H16" s="1331"/>
      <c r="I16" s="1030"/>
      <c r="J16" s="1030"/>
    </row>
    <row r="17" spans="1:10" ht="36.75" customHeight="1" hidden="1">
      <c r="A17" s="1032"/>
      <c r="B17" s="1027"/>
      <c r="C17" s="1027"/>
      <c r="D17" s="1031" t="s">
        <v>542</v>
      </c>
      <c r="E17" s="1030"/>
      <c r="F17" s="1342"/>
      <c r="G17" s="1343"/>
      <c r="H17" s="1331"/>
      <c r="I17" s="1030"/>
      <c r="J17" s="1030"/>
    </row>
    <row r="18" spans="1:10" ht="36.75" customHeight="1" hidden="1" thickBot="1">
      <c r="A18" s="1032"/>
      <c r="B18" s="1027"/>
      <c r="C18" s="1027"/>
      <c r="D18" s="1031" t="s">
        <v>550</v>
      </c>
      <c r="E18" s="1030"/>
      <c r="F18" s="1342"/>
      <c r="G18" s="1343"/>
      <c r="H18" s="1331"/>
      <c r="I18" s="1030"/>
      <c r="J18" s="1030"/>
    </row>
    <row r="19" spans="1:10" s="1036" customFormat="1" ht="30" customHeight="1" thickBot="1">
      <c r="A19" s="1604" t="s">
        <v>309</v>
      </c>
      <c r="B19" s="1605"/>
      <c r="C19" s="1033"/>
      <c r="D19" s="1034"/>
      <c r="E19" s="1035">
        <f aca="true" t="shared" si="0" ref="E19:J19">SUM(E9:E18)</f>
        <v>0</v>
      </c>
      <c r="F19" s="1344">
        <f>SUM(F9:F18)</f>
        <v>9990</v>
      </c>
      <c r="G19" s="1345">
        <f>SUM(G9:G18)</f>
        <v>225890</v>
      </c>
      <c r="H19" s="1332">
        <f t="shared" si="0"/>
        <v>0</v>
      </c>
      <c r="I19" s="1035">
        <f t="shared" si="0"/>
        <v>0</v>
      </c>
      <c r="J19" s="1035">
        <f t="shared" si="0"/>
        <v>0</v>
      </c>
    </row>
  </sheetData>
  <sheetProtection/>
  <mergeCells count="5">
    <mergeCell ref="D1:E1"/>
    <mergeCell ref="A3:E3"/>
    <mergeCell ref="A4:E4"/>
    <mergeCell ref="A6:E6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4.57421875" style="596" customWidth="1"/>
    <col min="2" max="2" width="18.421875" style="597" customWidth="1"/>
    <col min="3" max="3" width="8.140625" style="598" customWidth="1"/>
    <col min="4" max="4" width="7.7109375" style="598" customWidth="1"/>
    <col min="5" max="5" width="8.7109375" style="598" customWidth="1"/>
    <col min="6" max="6" width="8.421875" style="598" customWidth="1"/>
    <col min="7" max="8" width="8.57421875" style="598" customWidth="1"/>
    <col min="9" max="9" width="9.57421875" style="598" customWidth="1"/>
    <col min="10" max="10" width="9.00390625" style="598" customWidth="1"/>
    <col min="11" max="11" width="8.57421875" style="598" customWidth="1"/>
    <col min="12" max="12" width="9.00390625" style="598" customWidth="1"/>
    <col min="13" max="13" width="8.7109375" style="598" customWidth="1"/>
    <col min="14" max="14" width="8.57421875" style="598" customWidth="1"/>
    <col min="15" max="15" width="8.57421875" style="596" customWidth="1"/>
    <col min="16" max="17" width="0" style="598" hidden="1" customWidth="1"/>
    <col min="18" max="16384" width="9.140625" style="598" customWidth="1"/>
  </cols>
  <sheetData>
    <row r="1" spans="13:15" ht="15.75">
      <c r="M1" s="1607" t="s">
        <v>404</v>
      </c>
      <c r="N1" s="1607"/>
      <c r="O1" s="1607"/>
    </row>
    <row r="2" spans="1:15" ht="31.5" customHeight="1">
      <c r="A2" s="1608" t="s">
        <v>499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  <c r="N2" s="1608"/>
      <c r="O2" s="1608"/>
    </row>
    <row r="3" spans="7:15" ht="16.5" customHeight="1">
      <c r="G3" s="1609"/>
      <c r="H3" s="1609"/>
      <c r="I3" s="1609"/>
      <c r="O3" s="599" t="s">
        <v>500</v>
      </c>
    </row>
    <row r="4" spans="1:15" s="596" customFormat="1" ht="35.25" customHeight="1">
      <c r="A4" s="600" t="s">
        <v>405</v>
      </c>
      <c r="B4" s="601" t="s">
        <v>141</v>
      </c>
      <c r="C4" s="602" t="s">
        <v>406</v>
      </c>
      <c r="D4" s="602" t="s">
        <v>407</v>
      </c>
      <c r="E4" s="602" t="s">
        <v>408</v>
      </c>
      <c r="F4" s="602" t="s">
        <v>409</v>
      </c>
      <c r="G4" s="602" t="s">
        <v>410</v>
      </c>
      <c r="H4" s="602" t="s">
        <v>411</v>
      </c>
      <c r="I4" s="602" t="s">
        <v>412</v>
      </c>
      <c r="J4" s="602" t="s">
        <v>413</v>
      </c>
      <c r="K4" s="602" t="s">
        <v>414</v>
      </c>
      <c r="L4" s="602" t="s">
        <v>415</v>
      </c>
      <c r="M4" s="602" t="s">
        <v>416</v>
      </c>
      <c r="N4" s="602" t="s">
        <v>417</v>
      </c>
      <c r="O4" s="603" t="s">
        <v>348</v>
      </c>
    </row>
    <row r="5" spans="1:15" s="605" customFormat="1" ht="15" customHeight="1">
      <c r="A5" s="604" t="s">
        <v>15</v>
      </c>
      <c r="B5" s="1606" t="s">
        <v>264</v>
      </c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</row>
    <row r="6" spans="1:16" s="605" customFormat="1" ht="15" customHeight="1">
      <c r="A6" s="606" t="s">
        <v>170</v>
      </c>
      <c r="B6" s="607" t="s">
        <v>418</v>
      </c>
      <c r="C6" s="608"/>
      <c r="D6" s="608">
        <v>3000000</v>
      </c>
      <c r="E6" s="608">
        <v>8000000</v>
      </c>
      <c r="F6" s="608">
        <v>1000000</v>
      </c>
      <c r="G6" s="608">
        <v>30000</v>
      </c>
      <c r="H6" s="608"/>
      <c r="I6" s="608"/>
      <c r="J6" s="608"/>
      <c r="K6" s="608">
        <v>6000000</v>
      </c>
      <c r="L6" s="608">
        <v>900000</v>
      </c>
      <c r="M6" s="608"/>
      <c r="N6" s="608"/>
      <c r="O6" s="609">
        <f>SUM(D6:N6)</f>
        <v>18930000</v>
      </c>
      <c r="P6" s="605">
        <v>105070</v>
      </c>
    </row>
    <row r="7" spans="1:16" s="613" customFormat="1" ht="13.5" customHeight="1">
      <c r="A7" s="610" t="s">
        <v>75</v>
      </c>
      <c r="B7" s="611" t="s">
        <v>501</v>
      </c>
      <c r="C7" s="612">
        <v>921623</v>
      </c>
      <c r="D7" s="612">
        <v>921612</v>
      </c>
      <c r="E7" s="612">
        <v>921612</v>
      </c>
      <c r="F7" s="612">
        <v>921612</v>
      </c>
      <c r="G7" s="612">
        <v>921612</v>
      </c>
      <c r="H7" s="612">
        <f>1251307+2110</f>
        <v>1253417</v>
      </c>
      <c r="I7" s="612">
        <v>921612</v>
      </c>
      <c r="J7" s="612">
        <v>921612</v>
      </c>
      <c r="K7" s="612">
        <f>921612+1798757</f>
        <v>2720369</v>
      </c>
      <c r="L7" s="612">
        <v>921612</v>
      </c>
      <c r="M7" s="612">
        <v>921612</v>
      </c>
      <c r="N7" s="612">
        <v>921612</v>
      </c>
      <c r="O7" s="609">
        <f>SUM(C7:N7)</f>
        <v>13189917</v>
      </c>
      <c r="P7" s="613">
        <v>73977</v>
      </c>
    </row>
    <row r="8" spans="1:16" s="613" customFormat="1" ht="19.5" customHeight="1">
      <c r="A8" s="610" t="s">
        <v>94</v>
      </c>
      <c r="B8" s="614" t="s">
        <v>419</v>
      </c>
      <c r="C8" s="615">
        <v>2873959</v>
      </c>
      <c r="D8" s="615">
        <f>2873951+62374</f>
        <v>2936325</v>
      </c>
      <c r="E8" s="615">
        <v>2873951</v>
      </c>
      <c r="F8" s="615">
        <v>2873951</v>
      </c>
      <c r="G8" s="615">
        <v>2873951</v>
      </c>
      <c r="H8" s="615">
        <v>2873951</v>
      </c>
      <c r="I8" s="615">
        <v>2775526</v>
      </c>
      <c r="J8" s="615">
        <v>2775526</v>
      </c>
      <c r="K8" s="615">
        <f>2775526+416063</f>
        <v>3191589</v>
      </c>
      <c r="L8" s="615">
        <v>2775526</v>
      </c>
      <c r="M8" s="615">
        <v>2775526</v>
      </c>
      <c r="N8" s="615">
        <v>2775526</v>
      </c>
      <c r="O8" s="609">
        <f>SUM(C8:N8)</f>
        <v>34375307</v>
      </c>
      <c r="P8" s="613">
        <v>13700</v>
      </c>
    </row>
    <row r="9" spans="1:16" s="613" customFormat="1" ht="19.5" customHeight="1">
      <c r="A9" s="610" t="s">
        <v>107</v>
      </c>
      <c r="B9" s="614" t="s">
        <v>420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09"/>
      <c r="P9" s="613">
        <v>246945</v>
      </c>
    </row>
    <row r="10" spans="1:16" s="613" customFormat="1" ht="23.25" customHeight="1">
      <c r="A10" s="610" t="s">
        <v>115</v>
      </c>
      <c r="B10" s="611" t="s">
        <v>421</v>
      </c>
      <c r="C10" s="612"/>
      <c r="D10" s="612"/>
      <c r="E10" s="612">
        <v>40000</v>
      </c>
      <c r="F10" s="612"/>
      <c r="G10" s="612">
        <v>540000</v>
      </c>
      <c r="H10" s="612"/>
      <c r="I10" s="612"/>
      <c r="J10" s="612"/>
      <c r="K10" s="612">
        <v>900000</v>
      </c>
      <c r="L10" s="612"/>
      <c r="M10" s="612"/>
      <c r="N10" s="612"/>
      <c r="O10" s="609">
        <f>SUM(E10:N10)</f>
        <v>1480000</v>
      </c>
      <c r="P10" s="613">
        <v>0</v>
      </c>
    </row>
    <row r="11" spans="1:16" s="613" customFormat="1" ht="23.25" customHeight="1">
      <c r="A11" s="610" t="s">
        <v>124</v>
      </c>
      <c r="B11" s="611" t="s">
        <v>422</v>
      </c>
      <c r="C11" s="612"/>
      <c r="D11" s="612"/>
      <c r="E11" s="612">
        <v>400000</v>
      </c>
      <c r="F11" s="612"/>
      <c r="G11" s="612"/>
      <c r="H11" s="612"/>
      <c r="I11" s="612"/>
      <c r="J11" s="612"/>
      <c r="K11" s="612"/>
      <c r="L11" s="612"/>
      <c r="M11" s="612"/>
      <c r="N11" s="612"/>
      <c r="O11" s="609">
        <v>400000</v>
      </c>
      <c r="P11" s="613">
        <v>7592</v>
      </c>
    </row>
    <row r="12" spans="1:16" s="613" customFormat="1" ht="17.25" customHeight="1">
      <c r="A12" s="610" t="s">
        <v>137</v>
      </c>
      <c r="B12" s="611" t="s">
        <v>423</v>
      </c>
      <c r="C12" s="612">
        <v>1726910</v>
      </c>
      <c r="D12" s="612">
        <v>1726901</v>
      </c>
      <c r="E12" s="612">
        <v>1726901</v>
      </c>
      <c r="F12" s="612">
        <v>1726901</v>
      </c>
      <c r="G12" s="612">
        <v>1726901</v>
      </c>
      <c r="H12" s="612">
        <v>1726901</v>
      </c>
      <c r="I12" s="612">
        <v>1726901</v>
      </c>
      <c r="J12" s="612">
        <v>1726901</v>
      </c>
      <c r="K12" s="612">
        <v>1726901</v>
      </c>
      <c r="L12" s="612">
        <v>1726901</v>
      </c>
      <c r="M12" s="612">
        <v>1726901</v>
      </c>
      <c r="N12" s="612">
        <v>1726901</v>
      </c>
      <c r="O12" s="609">
        <f>SUM(C12:N12)</f>
        <v>20722821</v>
      </c>
      <c r="P12" s="613">
        <v>156053</v>
      </c>
    </row>
    <row r="13" spans="1:17" s="605" customFormat="1" ht="21.75" customHeight="1">
      <c r="A13" s="610" t="s">
        <v>424</v>
      </c>
      <c r="B13" s="616"/>
      <c r="C13" s="616">
        <f>SUM(C7:C12)</f>
        <v>5522492</v>
      </c>
      <c r="D13" s="616">
        <f aca="true" t="shared" si="0" ref="D13:O13">SUM(D6:D12)</f>
        <v>8584838</v>
      </c>
      <c r="E13" s="616">
        <f t="shared" si="0"/>
        <v>13962464</v>
      </c>
      <c r="F13" s="616">
        <f t="shared" si="0"/>
        <v>6522464</v>
      </c>
      <c r="G13" s="616">
        <f t="shared" si="0"/>
        <v>6092464</v>
      </c>
      <c r="H13" s="616">
        <f t="shared" si="0"/>
        <v>5854269</v>
      </c>
      <c r="I13" s="616">
        <f t="shared" si="0"/>
        <v>5424039</v>
      </c>
      <c r="J13" s="616">
        <f t="shared" si="0"/>
        <v>5424039</v>
      </c>
      <c r="K13" s="616">
        <f t="shared" si="0"/>
        <v>14538859</v>
      </c>
      <c r="L13" s="616">
        <f t="shared" si="0"/>
        <v>6324039</v>
      </c>
      <c r="M13" s="616">
        <f t="shared" si="0"/>
        <v>5424039</v>
      </c>
      <c r="N13" s="616">
        <f t="shared" si="0"/>
        <v>5424039</v>
      </c>
      <c r="O13" s="616">
        <f t="shared" si="0"/>
        <v>89098045</v>
      </c>
      <c r="Q13" s="605">
        <f>SUM(P6:P12)</f>
        <v>603337</v>
      </c>
    </row>
    <row r="14" spans="1:15" s="605" customFormat="1" ht="22.5" customHeight="1">
      <c r="A14" s="610" t="s">
        <v>425</v>
      </c>
      <c r="B14" s="1606" t="s">
        <v>283</v>
      </c>
      <c r="C14" s="1606"/>
      <c r="D14" s="1606"/>
      <c r="E14" s="1606"/>
      <c r="F14" s="1606"/>
      <c r="G14" s="1606"/>
      <c r="H14" s="1606"/>
      <c r="I14" s="1606"/>
      <c r="J14" s="1606"/>
      <c r="K14" s="1606"/>
      <c r="L14" s="1606"/>
      <c r="M14" s="1606"/>
      <c r="N14" s="1606"/>
      <c r="O14" s="1606">
        <f>SUM(O6:O13)</f>
        <v>178196090</v>
      </c>
    </row>
    <row r="15" spans="1:16" s="613" customFormat="1" ht="27.75" customHeight="1">
      <c r="A15" s="610" t="s">
        <v>426</v>
      </c>
      <c r="B15" s="614" t="s">
        <v>427</v>
      </c>
      <c r="C15" s="615">
        <v>4887087</v>
      </c>
      <c r="D15" s="615">
        <v>5109590</v>
      </c>
      <c r="E15" s="615">
        <f>5109594+62374</f>
        <v>5171968</v>
      </c>
      <c r="F15" s="615">
        <v>5109590</v>
      </c>
      <c r="G15" s="615">
        <v>5109590</v>
      </c>
      <c r="H15" s="615">
        <f>5109590+493532</f>
        <v>5603122</v>
      </c>
      <c r="I15" s="615">
        <v>5109590</v>
      </c>
      <c r="J15" s="615">
        <v>6109590</v>
      </c>
      <c r="K15" s="615">
        <f>9109590+1880643</f>
        <v>10990233</v>
      </c>
      <c r="L15" s="615">
        <v>7109590</v>
      </c>
      <c r="M15" s="615">
        <v>7109590</v>
      </c>
      <c r="N15" s="615">
        <v>7109600</v>
      </c>
      <c r="O15" s="609">
        <f>SUM(C15:N15)</f>
        <v>74529140</v>
      </c>
      <c r="P15" s="613">
        <v>550166</v>
      </c>
    </row>
    <row r="16" spans="1:16" s="613" customFormat="1" ht="27" customHeight="1">
      <c r="A16" s="610" t="s">
        <v>428</v>
      </c>
      <c r="B16" s="611" t="s">
        <v>429</v>
      </c>
      <c r="C16" s="612"/>
      <c r="D16" s="612"/>
      <c r="E16" s="612"/>
      <c r="F16" s="612">
        <f>190500+9990</f>
        <v>200490</v>
      </c>
      <c r="G16" s="612">
        <v>215900</v>
      </c>
      <c r="H16" s="612"/>
      <c r="I16" s="612">
        <v>1305160</v>
      </c>
      <c r="J16" s="612">
        <v>215900</v>
      </c>
      <c r="K16" s="612">
        <v>482600</v>
      </c>
      <c r="L16" s="612"/>
      <c r="M16" s="612">
        <v>400000</v>
      </c>
      <c r="N16" s="612"/>
      <c r="O16" s="617">
        <f>SUM(F16:N16)</f>
        <v>2820050</v>
      </c>
      <c r="P16" s="613">
        <v>124458</v>
      </c>
    </row>
    <row r="17" spans="1:16" s="613" customFormat="1" ht="20.25" customHeight="1">
      <c r="A17" s="610" t="s">
        <v>430</v>
      </c>
      <c r="B17" s="611" t="s">
        <v>431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>
        <v>11129800</v>
      </c>
      <c r="O17" s="617">
        <f>SUM(N17:N17)</f>
        <v>11129800</v>
      </c>
      <c r="P17" s="613">
        <v>47140</v>
      </c>
    </row>
    <row r="18" spans="1:15" s="613" customFormat="1" ht="20.25" customHeight="1">
      <c r="A18" s="610">
        <v>16</v>
      </c>
      <c r="B18" s="611" t="s">
        <v>432</v>
      </c>
      <c r="C18" s="612">
        <v>619055</v>
      </c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7">
        <f>SUM(C18:N18)</f>
        <v>619055</v>
      </c>
    </row>
    <row r="19" spans="1:17" s="605" customFormat="1" ht="21.75" customHeight="1">
      <c r="A19" s="610" t="s">
        <v>433</v>
      </c>
      <c r="B19" s="618" t="s">
        <v>434</v>
      </c>
      <c r="C19" s="616">
        <f aca="true" t="shared" si="1" ref="C19:O19">SUM(C15:C18)</f>
        <v>5506142</v>
      </c>
      <c r="D19" s="616">
        <f t="shared" si="1"/>
        <v>5109590</v>
      </c>
      <c r="E19" s="616">
        <f t="shared" si="1"/>
        <v>5171968</v>
      </c>
      <c r="F19" s="616">
        <f t="shared" si="1"/>
        <v>5310080</v>
      </c>
      <c r="G19" s="616">
        <f t="shared" si="1"/>
        <v>5325490</v>
      </c>
      <c r="H19" s="616">
        <f t="shared" si="1"/>
        <v>5603122</v>
      </c>
      <c r="I19" s="616">
        <f t="shared" si="1"/>
        <v>6414750</v>
      </c>
      <c r="J19" s="616">
        <f t="shared" si="1"/>
        <v>6325490</v>
      </c>
      <c r="K19" s="616">
        <f t="shared" si="1"/>
        <v>11472833</v>
      </c>
      <c r="L19" s="616">
        <f t="shared" si="1"/>
        <v>7109590</v>
      </c>
      <c r="M19" s="616">
        <f t="shared" si="1"/>
        <v>7509590</v>
      </c>
      <c r="N19" s="616">
        <f t="shared" si="1"/>
        <v>18239400</v>
      </c>
      <c r="O19" s="616">
        <f t="shared" si="1"/>
        <v>89098045</v>
      </c>
      <c r="Q19" s="605">
        <f>SUM(P15:P17)</f>
        <v>721764</v>
      </c>
    </row>
    <row r="20" spans="1:15" ht="26.25" customHeight="1">
      <c r="A20" s="610" t="s">
        <v>435</v>
      </c>
      <c r="B20" s="619" t="s">
        <v>436</v>
      </c>
      <c r="C20" s="1038">
        <f>C13-C19</f>
        <v>16350</v>
      </c>
      <c r="D20" s="1038">
        <f>C13+D13-C19-D19</f>
        <v>3491598</v>
      </c>
      <c r="E20" s="1038">
        <f>C13+D13+E13-C19-D19-E19</f>
        <v>12282094</v>
      </c>
      <c r="F20" s="1038">
        <f>C13+D13+E13+F13-C19-D19-E19-F19</f>
        <v>13494478</v>
      </c>
      <c r="G20" s="1038">
        <f>(SUM(C13:G13))-(SUM(C19:G19))</f>
        <v>14261452</v>
      </c>
      <c r="H20" s="1038">
        <f>(SUM(C13:H13))-(SUM(C19:H19))</f>
        <v>14512599</v>
      </c>
      <c r="I20" s="1038">
        <f>(SUM(C13:I13))-(SUM(C19:I19))</f>
        <v>13521888</v>
      </c>
      <c r="J20" s="1038">
        <f>(SUM(C13:J13))-(SUM(C19:J19))</f>
        <v>12620437</v>
      </c>
      <c r="K20" s="1038">
        <f>(SUM(C13:K13))-(SUM(C19:K19))</f>
        <v>15686463</v>
      </c>
      <c r="L20" s="1038">
        <f>(SUM(C13:L13))-(SUM(C19:L19))</f>
        <v>14900912</v>
      </c>
      <c r="M20" s="1038">
        <f>(SUM(C13:M13))-(SUM(C19:M19))</f>
        <v>12815361</v>
      </c>
      <c r="N20" s="1038">
        <f>(SUM(C13:N13))-(SUM(C19:N19))</f>
        <v>0</v>
      </c>
      <c r="O20" s="1039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8.140625" style="620" customWidth="1"/>
    <col min="2" max="2" width="58.7109375" style="620" customWidth="1"/>
    <col min="3" max="3" width="15.00390625" style="620" customWidth="1"/>
    <col min="4" max="4" width="0" style="620" hidden="1" customWidth="1"/>
    <col min="5" max="5" width="14.140625" style="620" customWidth="1"/>
    <col min="6" max="6" width="15.8515625" style="620" customWidth="1"/>
    <col min="7" max="16384" width="9.140625" style="620" customWidth="1"/>
  </cols>
  <sheetData>
    <row r="1" ht="15">
      <c r="C1" s="621" t="s">
        <v>437</v>
      </c>
    </row>
    <row r="2" spans="1:5" ht="47.25" customHeight="1">
      <c r="A2" s="1613" t="s">
        <v>438</v>
      </c>
      <c r="B2" s="1613"/>
      <c r="C2" s="1613"/>
      <c r="D2" s="1613"/>
      <c r="E2" s="1613"/>
    </row>
    <row r="3" spans="1:4" ht="15.75" customHeight="1" thickBot="1">
      <c r="A3" s="622"/>
      <c r="B3" s="13"/>
      <c r="C3" s="623" t="s">
        <v>494</v>
      </c>
      <c r="D3" s="624"/>
    </row>
    <row r="4" spans="1:6" ht="44.25" customHeight="1" thickBot="1">
      <c r="A4" s="625" t="s">
        <v>405</v>
      </c>
      <c r="B4" s="626" t="s">
        <v>439</v>
      </c>
      <c r="C4" s="627" t="s">
        <v>593</v>
      </c>
      <c r="D4" s="627" t="s">
        <v>440</v>
      </c>
      <c r="E4" s="1142" t="s">
        <v>505</v>
      </c>
      <c r="F4" s="1142" t="s">
        <v>594</v>
      </c>
    </row>
    <row r="5" spans="1:6" ht="26.25" customHeight="1" thickBot="1">
      <c r="A5" s="628">
        <v>1</v>
      </c>
      <c r="B5" s="629">
        <v>2</v>
      </c>
      <c r="C5" s="630">
        <v>3</v>
      </c>
      <c r="D5" s="630">
        <v>3</v>
      </c>
      <c r="E5" s="1221">
        <v>4</v>
      </c>
      <c r="F5" s="1221">
        <v>5</v>
      </c>
    </row>
    <row r="6" spans="1:6" ht="26.25" customHeight="1">
      <c r="A6" s="631" t="s">
        <v>15</v>
      </c>
      <c r="B6" s="632" t="s">
        <v>441</v>
      </c>
      <c r="C6" s="633">
        <v>17000000</v>
      </c>
      <c r="D6" s="633"/>
      <c r="E6" s="989">
        <v>17000000</v>
      </c>
      <c r="F6" s="989">
        <v>17000000</v>
      </c>
    </row>
    <row r="7" spans="1:6" ht="26.25" customHeight="1" hidden="1">
      <c r="A7" s="634" t="s">
        <v>170</v>
      </c>
      <c r="B7" s="632" t="s">
        <v>442</v>
      </c>
      <c r="C7" s="635"/>
      <c r="D7" s="635"/>
      <c r="E7" s="990"/>
      <c r="F7" s="990"/>
    </row>
    <row r="8" spans="1:6" ht="33.75" customHeight="1">
      <c r="A8" s="636" t="s">
        <v>170</v>
      </c>
      <c r="B8" s="637" t="s">
        <v>443</v>
      </c>
      <c r="C8" s="638">
        <v>2884058</v>
      </c>
      <c r="D8" s="638"/>
      <c r="E8" s="990">
        <v>3184058</v>
      </c>
      <c r="F8" s="990">
        <f>'3.sz.m Önk  bev.'!M25</f>
        <v>4898330</v>
      </c>
    </row>
    <row r="9" spans="1:6" ht="33" customHeight="1">
      <c r="A9" s="634" t="s">
        <v>75</v>
      </c>
      <c r="B9" s="639" t="s">
        <v>444</v>
      </c>
      <c r="C9" s="638"/>
      <c r="D9" s="638"/>
      <c r="E9" s="990">
        <v>400000</v>
      </c>
      <c r="F9" s="990">
        <v>400000</v>
      </c>
    </row>
    <row r="10" spans="1:6" ht="26.25" customHeight="1" thickBot="1">
      <c r="A10" s="636" t="s">
        <v>94</v>
      </c>
      <c r="B10" s="639" t="s">
        <v>445</v>
      </c>
      <c r="C10" s="640">
        <v>400000</v>
      </c>
      <c r="D10" s="640"/>
      <c r="E10" s="990">
        <v>430000</v>
      </c>
      <c r="F10" s="990">
        <v>430000</v>
      </c>
    </row>
    <row r="11" spans="1:6" ht="26.25" customHeight="1" hidden="1" thickBot="1">
      <c r="A11" s="636" t="s">
        <v>115</v>
      </c>
      <c r="B11" s="641" t="s">
        <v>446</v>
      </c>
      <c r="C11" s="638"/>
      <c r="D11" s="638"/>
      <c r="E11" s="991"/>
      <c r="F11" s="991"/>
    </row>
    <row r="12" spans="1:6" ht="26.25" customHeight="1" thickBot="1">
      <c r="A12" s="1610" t="s">
        <v>447</v>
      </c>
      <c r="B12" s="1610"/>
      <c r="C12" s="642">
        <f>SUM(C6:C11)</f>
        <v>20284058</v>
      </c>
      <c r="D12" s="642">
        <f>SUM(D6:D11)</f>
        <v>0</v>
      </c>
      <c r="E12" s="1074">
        <f>SUM(E6:E11)</f>
        <v>21014058</v>
      </c>
      <c r="F12" s="1074">
        <f>SUM(F6:F11)</f>
        <v>22728330</v>
      </c>
    </row>
    <row r="13" spans="1:8" ht="33.75" customHeight="1" thickBot="1">
      <c r="A13" s="1611" t="s">
        <v>448</v>
      </c>
      <c r="B13" s="1612"/>
      <c r="C13" s="864">
        <f>C12/2</f>
        <v>10142029</v>
      </c>
      <c r="E13" s="864">
        <f>E12/2</f>
        <v>10507029</v>
      </c>
      <c r="F13" s="864">
        <f>F12/2</f>
        <v>11364165</v>
      </c>
      <c r="H13" s="643"/>
    </row>
    <row r="14" ht="15.75" thickTop="1"/>
  </sheetData>
  <sheetProtection selectLockedCells="1" selectUnlockedCells="1"/>
  <mergeCells count="3">
    <mergeCell ref="A12:B12"/>
    <mergeCell ref="A13:B13"/>
    <mergeCell ref="A2:E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6">
      <selection activeCell="K12" sqref="K12"/>
    </sheetView>
  </sheetViews>
  <sheetFormatPr defaultColWidth="9.140625" defaultRowHeight="12.75"/>
  <cols>
    <col min="1" max="1" width="73.28125" style="644" customWidth="1"/>
    <col min="2" max="2" width="12.8515625" style="644" customWidth="1"/>
    <col min="3" max="5" width="0" style="644" hidden="1" customWidth="1"/>
    <col min="6" max="7" width="13.8515625" style="644" customWidth="1"/>
    <col min="8" max="16384" width="9.140625" style="644" customWidth="1"/>
  </cols>
  <sheetData>
    <row r="1" spans="1:7" ht="21" customHeight="1">
      <c r="A1" s="1617" t="s">
        <v>449</v>
      </c>
      <c r="B1" s="1617"/>
      <c r="C1" s="1617"/>
      <c r="D1" s="1617"/>
      <c r="E1" s="1617"/>
      <c r="F1" s="1617"/>
      <c r="G1" s="1617"/>
    </row>
    <row r="2" spans="1:7" s="645" customFormat="1" ht="51.75" customHeight="1">
      <c r="A2" s="1616" t="s">
        <v>496</v>
      </c>
      <c r="B2" s="1616"/>
      <c r="C2" s="1616"/>
      <c r="D2" s="1616"/>
      <c r="E2" s="1616"/>
      <c r="F2" s="1616"/>
      <c r="G2" s="1616"/>
    </row>
    <row r="3" spans="1:7" ht="15.75" customHeight="1" thickBot="1">
      <c r="A3" s="1615" t="s">
        <v>450</v>
      </c>
      <c r="B3" s="1615"/>
      <c r="C3" s="1615"/>
      <c r="D3" s="1615"/>
      <c r="E3" s="1615"/>
      <c r="F3" s="1615"/>
      <c r="G3" s="1615"/>
    </row>
    <row r="4" spans="1:7" s="648" customFormat="1" ht="24" customHeight="1" thickBot="1">
      <c r="A4" s="646" t="s">
        <v>451</v>
      </c>
      <c r="B4" s="647" t="s">
        <v>452</v>
      </c>
      <c r="C4" s="647" t="s">
        <v>10</v>
      </c>
      <c r="D4" s="647" t="s">
        <v>453</v>
      </c>
      <c r="E4" s="647" t="s">
        <v>14</v>
      </c>
      <c r="F4" s="1145" t="s">
        <v>505</v>
      </c>
      <c r="G4" s="1146" t="s">
        <v>594</v>
      </c>
    </row>
    <row r="5" spans="1:7" s="652" customFormat="1" ht="21" customHeight="1" hidden="1">
      <c r="A5" s="649"/>
      <c r="B5" s="650"/>
      <c r="C5" s="650"/>
      <c r="D5" s="650"/>
      <c r="E5" s="651"/>
      <c r="F5" s="1143"/>
      <c r="G5" s="1143"/>
    </row>
    <row r="6" spans="1:7" s="652" customFormat="1" ht="21" customHeight="1">
      <c r="A6" s="653" t="s">
        <v>454</v>
      </c>
      <c r="B6" s="654">
        <v>253171</v>
      </c>
      <c r="C6" s="654"/>
      <c r="D6" s="654"/>
      <c r="E6" s="654"/>
      <c r="F6" s="1144">
        <v>253171</v>
      </c>
      <c r="G6" s="1147">
        <v>253171</v>
      </c>
    </row>
    <row r="7" spans="1:7" s="652" customFormat="1" ht="21" customHeight="1">
      <c r="A7" s="653" t="s">
        <v>455</v>
      </c>
      <c r="B7" s="654">
        <v>1920000</v>
      </c>
      <c r="C7" s="654"/>
      <c r="D7" s="654"/>
      <c r="E7" s="655"/>
      <c r="F7" s="654">
        <v>1920000</v>
      </c>
      <c r="G7" s="655">
        <v>1920000</v>
      </c>
    </row>
    <row r="8" spans="1:7" s="652" customFormat="1" ht="21" customHeight="1">
      <c r="A8" s="653" t="s">
        <v>456</v>
      </c>
      <c r="B8" s="654">
        <v>625899</v>
      </c>
      <c r="C8" s="654"/>
      <c r="D8" s="654"/>
      <c r="E8" s="655"/>
      <c r="F8" s="654">
        <v>625899</v>
      </c>
      <c r="G8" s="655">
        <v>625899</v>
      </c>
    </row>
    <row r="9" spans="1:7" s="652" customFormat="1" ht="21" customHeight="1">
      <c r="A9" s="653" t="s">
        <v>457</v>
      </c>
      <c r="B9" s="654">
        <v>1175860</v>
      </c>
      <c r="C9" s="654"/>
      <c r="D9" s="654"/>
      <c r="E9" s="655"/>
      <c r="F9" s="654">
        <v>1175860</v>
      </c>
      <c r="G9" s="655">
        <v>1175860</v>
      </c>
    </row>
    <row r="10" spans="1:7" s="652" customFormat="1" ht="21" customHeight="1">
      <c r="A10" s="649" t="s">
        <v>458</v>
      </c>
      <c r="B10" s="656"/>
      <c r="C10" s="654"/>
      <c r="D10" s="654"/>
      <c r="E10" s="655"/>
      <c r="F10" s="656"/>
      <c r="G10" s="657"/>
    </row>
    <row r="11" spans="1:7" s="652" customFormat="1" ht="21" customHeight="1">
      <c r="A11" s="653" t="s">
        <v>459</v>
      </c>
      <c r="B11" s="654"/>
      <c r="C11" s="654"/>
      <c r="D11" s="654"/>
      <c r="E11" s="655"/>
      <c r="F11" s="654"/>
      <c r="G11" s="655"/>
    </row>
    <row r="12" spans="1:7" s="652" customFormat="1" ht="21" customHeight="1">
      <c r="A12" s="1148" t="s">
        <v>497</v>
      </c>
      <c r="B12" s="654">
        <v>118110</v>
      </c>
      <c r="C12" s="654"/>
      <c r="D12" s="654"/>
      <c r="E12" s="655"/>
      <c r="F12" s="654">
        <v>118110</v>
      </c>
      <c r="G12" s="655">
        <v>118110</v>
      </c>
    </row>
    <row r="13" spans="1:7" s="652" customFormat="1" ht="21" customHeight="1">
      <c r="A13" s="1149" t="s">
        <v>460</v>
      </c>
      <c r="B13" s="654"/>
      <c r="C13" s="656">
        <f>SUM(C6:C9)</f>
        <v>0</v>
      </c>
      <c r="D13" s="656">
        <f>SUM(D6:D9)</f>
        <v>0</v>
      </c>
      <c r="E13" s="657">
        <f>SUM(E6:E9)</f>
        <v>0</v>
      </c>
      <c r="F13" s="654"/>
      <c r="G13" s="655"/>
    </row>
    <row r="14" spans="1:7" s="652" customFormat="1" ht="21" customHeight="1" hidden="1">
      <c r="A14" s="658" t="s">
        <v>461</v>
      </c>
      <c r="B14" s="656"/>
      <c r="C14" s="656"/>
      <c r="D14" s="656"/>
      <c r="E14" s="657"/>
      <c r="F14" s="656"/>
      <c r="G14" s="657"/>
    </row>
    <row r="15" spans="1:7" s="652" customFormat="1" ht="21" customHeight="1">
      <c r="A15" s="659" t="s">
        <v>462</v>
      </c>
      <c r="B15" s="656"/>
      <c r="C15" s="660"/>
      <c r="D15" s="660"/>
      <c r="E15" s="661"/>
      <c r="F15" s="656"/>
      <c r="G15" s="657"/>
    </row>
    <row r="16" spans="1:7" s="652" customFormat="1" ht="21" customHeight="1" thickBot="1">
      <c r="A16" s="658" t="s">
        <v>463</v>
      </c>
      <c r="B16" s="662"/>
      <c r="C16" s="662"/>
      <c r="D16" s="662"/>
      <c r="E16" s="663"/>
      <c r="F16" s="662"/>
      <c r="G16" s="663"/>
    </row>
    <row r="17" spans="1:7" s="668" customFormat="1" ht="24.75" customHeight="1" thickBot="1">
      <c r="A17" s="664" t="s">
        <v>464</v>
      </c>
      <c r="B17" s="665">
        <f>SUM(B6:B16)</f>
        <v>4093040</v>
      </c>
      <c r="C17" s="666">
        <f>C5+C13-C14+C15</f>
        <v>0</v>
      </c>
      <c r="D17" s="666">
        <f>D5+D13-D14+D15</f>
        <v>0</v>
      </c>
      <c r="E17" s="667">
        <f>E5+E13-E14+E15</f>
        <v>0</v>
      </c>
      <c r="F17" s="665">
        <f>SUM(F6:F16)</f>
        <v>4093040</v>
      </c>
      <c r="G17" s="1150">
        <f>SUM(G6:G16)</f>
        <v>4093040</v>
      </c>
    </row>
    <row r="18" spans="1:7" ht="24.75" customHeight="1">
      <c r="A18" s="669" t="s">
        <v>465</v>
      </c>
      <c r="B18" s="650">
        <v>8881900</v>
      </c>
      <c r="C18" s="650"/>
      <c r="D18" s="650"/>
      <c r="E18" s="651"/>
      <c r="F18" s="650">
        <v>8881900</v>
      </c>
      <c r="G18" s="651">
        <v>8881900</v>
      </c>
    </row>
    <row r="19" spans="1:7" ht="24.75" customHeight="1" thickBot="1">
      <c r="A19" s="658" t="s">
        <v>466</v>
      </c>
      <c r="B19" s="656">
        <v>853333</v>
      </c>
      <c r="C19" s="656"/>
      <c r="D19" s="656"/>
      <c r="E19" s="657"/>
      <c r="F19" s="656">
        <v>853333</v>
      </c>
      <c r="G19" s="657">
        <v>853333</v>
      </c>
    </row>
    <row r="20" spans="1:7" s="668" customFormat="1" ht="24.75" customHeight="1" thickBot="1">
      <c r="A20" s="664" t="s">
        <v>467</v>
      </c>
      <c r="B20" s="670">
        <f aca="true" t="shared" si="0" ref="B20:G20">SUM(B18:B19)</f>
        <v>9735233</v>
      </c>
      <c r="C20" s="671">
        <f t="shared" si="0"/>
        <v>0</v>
      </c>
      <c r="D20" s="671">
        <f t="shared" si="0"/>
        <v>0</v>
      </c>
      <c r="E20" s="672">
        <f t="shared" si="0"/>
        <v>0</v>
      </c>
      <c r="F20" s="670">
        <f t="shared" si="0"/>
        <v>9735233</v>
      </c>
      <c r="G20" s="1151">
        <f t="shared" si="0"/>
        <v>9735233</v>
      </c>
    </row>
    <row r="21" spans="1:7" ht="24.75" customHeight="1" thickBot="1">
      <c r="A21" s="673" t="s">
        <v>468</v>
      </c>
      <c r="B21" s="674">
        <v>1192667</v>
      </c>
      <c r="C21" s="675"/>
      <c r="D21" s="675"/>
      <c r="E21" s="676"/>
      <c r="F21" s="674">
        <v>1192667</v>
      </c>
      <c r="G21" s="1152">
        <v>1192667</v>
      </c>
    </row>
    <row r="22" spans="1:7" ht="24.75" customHeight="1">
      <c r="A22" s="677" t="s">
        <v>469</v>
      </c>
      <c r="B22" s="678">
        <v>1370880</v>
      </c>
      <c r="C22" s="679"/>
      <c r="D22" s="679"/>
      <c r="E22" s="1614"/>
      <c r="F22" s="678">
        <v>1370880</v>
      </c>
      <c r="G22" s="1153">
        <v>1370880</v>
      </c>
    </row>
    <row r="23" spans="1:7" ht="24.75" customHeight="1">
      <c r="A23" s="680" t="s">
        <v>470</v>
      </c>
      <c r="B23" s="681">
        <v>728290</v>
      </c>
      <c r="C23" s="679"/>
      <c r="D23" s="679"/>
      <c r="E23" s="1614"/>
      <c r="F23" s="681">
        <v>728290</v>
      </c>
      <c r="G23" s="1154">
        <v>728290</v>
      </c>
    </row>
    <row r="24" spans="1:7" ht="24.75" customHeight="1" thickBot="1">
      <c r="A24" s="706" t="s">
        <v>498</v>
      </c>
      <c r="B24" s="707">
        <v>222130</v>
      </c>
      <c r="C24" s="679"/>
      <c r="D24" s="679"/>
      <c r="E24" s="1614"/>
      <c r="F24" s="707">
        <v>222130</v>
      </c>
      <c r="G24" s="1155">
        <v>222130</v>
      </c>
    </row>
    <row r="25" spans="1:7" ht="24.75" customHeight="1" thickBot="1">
      <c r="A25" s="682" t="s">
        <v>471</v>
      </c>
      <c r="B25" s="674">
        <f>SUM(B22:B24)</f>
        <v>2321300</v>
      </c>
      <c r="C25" s="679"/>
      <c r="D25" s="679"/>
      <c r="E25" s="1614"/>
      <c r="F25" s="674">
        <f>SUM(F22:F24)</f>
        <v>2321300</v>
      </c>
      <c r="G25" s="1152">
        <f>SUM(G22:G24)</f>
        <v>2321300</v>
      </c>
    </row>
    <row r="26" spans="1:7" ht="24.75" customHeight="1" thickBot="1">
      <c r="A26" s="683" t="s">
        <v>472</v>
      </c>
      <c r="B26" s="684">
        <v>1200000</v>
      </c>
      <c r="C26" s="679"/>
      <c r="D26" s="679"/>
      <c r="E26" s="1614"/>
      <c r="F26" s="684">
        <v>1200000</v>
      </c>
      <c r="G26" s="1156">
        <v>1200000</v>
      </c>
    </row>
    <row r="27" spans="1:7" s="685" customFormat="1" ht="24.75" customHeight="1" thickBot="1">
      <c r="A27" s="992" t="s">
        <v>523</v>
      </c>
      <c r="B27" s="993"/>
      <c r="C27" s="993"/>
      <c r="D27" s="993"/>
      <c r="E27" s="994"/>
      <c r="F27" s="995">
        <f>590550+62374</f>
        <v>652924</v>
      </c>
      <c r="G27" s="995">
        <f>590550+62374+354330</f>
        <v>1007254</v>
      </c>
    </row>
    <row r="28" spans="1:7" ht="24.75" customHeight="1" hidden="1">
      <c r="A28" s="658" t="s">
        <v>473</v>
      </c>
      <c r="B28" s="686"/>
      <c r="C28" s="686"/>
      <c r="D28" s="686"/>
      <c r="E28" s="687"/>
      <c r="F28" s="866"/>
      <c r="G28" s="866"/>
    </row>
    <row r="29" spans="1:7" ht="24.75" customHeight="1" hidden="1">
      <c r="A29" s="659" t="s">
        <v>474</v>
      </c>
      <c r="B29" s="688"/>
      <c r="C29" s="688"/>
      <c r="D29" s="688"/>
      <c r="E29" s="689"/>
      <c r="F29" s="865"/>
      <c r="G29" s="865"/>
    </row>
    <row r="30" spans="1:7" ht="24.75" customHeight="1" hidden="1">
      <c r="A30" s="659" t="s">
        <v>475</v>
      </c>
      <c r="B30" s="688"/>
      <c r="C30" s="688"/>
      <c r="D30" s="688"/>
      <c r="E30" s="689"/>
      <c r="F30" s="865"/>
      <c r="G30" s="865"/>
    </row>
    <row r="31" spans="1:7" ht="24.75" customHeight="1" hidden="1">
      <c r="A31" s="659" t="s">
        <v>476</v>
      </c>
      <c r="B31" s="688"/>
      <c r="C31" s="688"/>
      <c r="D31" s="688"/>
      <c r="E31" s="689"/>
      <c r="F31" s="865"/>
      <c r="G31" s="865"/>
    </row>
    <row r="32" spans="1:7" ht="24.75" customHeight="1" hidden="1">
      <c r="A32" s="659" t="s">
        <v>477</v>
      </c>
      <c r="B32" s="688"/>
      <c r="C32" s="688"/>
      <c r="D32" s="688"/>
      <c r="E32" s="689"/>
      <c r="F32" s="865"/>
      <c r="G32" s="865"/>
    </row>
    <row r="33" spans="1:7" ht="24.75" customHeight="1" hidden="1">
      <c r="A33" s="659" t="s">
        <v>478</v>
      </c>
      <c r="B33" s="688"/>
      <c r="C33" s="688"/>
      <c r="D33" s="688"/>
      <c r="E33" s="689"/>
      <c r="F33" s="865"/>
      <c r="G33" s="865"/>
    </row>
    <row r="34" spans="1:7" ht="24.75" customHeight="1" hidden="1">
      <c r="A34" s="659" t="s">
        <v>479</v>
      </c>
      <c r="B34" s="688"/>
      <c r="C34" s="688"/>
      <c r="D34" s="688"/>
      <c r="E34" s="689"/>
      <c r="F34" s="865"/>
      <c r="G34" s="865"/>
    </row>
    <row r="35" spans="1:7" ht="24.75" customHeight="1" hidden="1">
      <c r="A35" s="659" t="s">
        <v>480</v>
      </c>
      <c r="B35" s="688"/>
      <c r="C35" s="688"/>
      <c r="D35" s="688"/>
      <c r="E35" s="689"/>
      <c r="F35" s="865"/>
      <c r="G35" s="865"/>
    </row>
    <row r="36" spans="1:7" s="693" customFormat="1" ht="26.25" customHeight="1" thickBot="1">
      <c r="A36" s="690" t="s">
        <v>313</v>
      </c>
      <c r="B36" s="691">
        <f>B17+B20+B21+B25+B26</f>
        <v>18542240</v>
      </c>
      <c r="C36" s="691" t="e">
        <f>#REF!+C28+C29</f>
        <v>#REF!</v>
      </c>
      <c r="D36" s="691" t="e">
        <f>#REF!+D28+D29+D31+D32+D34+D30</f>
        <v>#REF!</v>
      </c>
      <c r="E36" s="692" t="e">
        <f>#REF!+E28+E29+E31+E32+E34+E30+E33+E35</f>
        <v>#REF!</v>
      </c>
      <c r="F36" s="691">
        <f>F17+F20+F21+F25+F26+F27</f>
        <v>19195164</v>
      </c>
      <c r="G36" s="692">
        <f>G17+G20+G21+G25+G26+G27</f>
        <v>19549494</v>
      </c>
    </row>
  </sheetData>
  <sheetProtection selectLockedCells="1" selectUnlockedCells="1"/>
  <mergeCells count="4">
    <mergeCell ref="E22:E26"/>
    <mergeCell ref="A3:G3"/>
    <mergeCell ref="A2:G2"/>
    <mergeCell ref="A1:G1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1.00390625" style="1346" customWidth="1"/>
    <col min="2" max="2" width="19.7109375" style="1347" customWidth="1"/>
    <col min="3" max="3" width="15.28125" style="1347" customWidth="1"/>
    <col min="4" max="4" width="14.28125" style="1347" customWidth="1"/>
    <col min="5" max="5" width="13.421875" style="1347" customWidth="1"/>
    <col min="6" max="6" width="13.8515625" style="1347" customWidth="1"/>
    <col min="7" max="7" width="12.8515625" style="1347" customWidth="1"/>
    <col min="8" max="8" width="13.57421875" style="1347" customWidth="1"/>
    <col min="9" max="16384" width="9.140625" style="1347" customWidth="1"/>
  </cols>
  <sheetData>
    <row r="1" spans="3:7" ht="15">
      <c r="C1" s="13"/>
      <c r="F1" s="1622" t="s">
        <v>604</v>
      </c>
      <c r="G1" s="1622"/>
    </row>
    <row r="2" spans="1:7" ht="24.75" customHeight="1">
      <c r="A2" s="1623" t="s">
        <v>605</v>
      </c>
      <c r="B2" s="1623"/>
      <c r="C2" s="1623"/>
      <c r="D2" s="1623"/>
      <c r="E2" s="1623"/>
      <c r="F2" s="1623"/>
      <c r="G2" s="1623"/>
    </row>
    <row r="3" spans="1:7" ht="18.75" customHeight="1">
      <c r="A3" s="1624">
        <v>2016</v>
      </c>
      <c r="B3" s="1624"/>
      <c r="C3" s="1624"/>
      <c r="D3" s="1624"/>
      <c r="E3" s="1624"/>
      <c r="F3" s="1624"/>
      <c r="G3" s="1624"/>
    </row>
    <row r="4" spans="1:7" ht="24.75" customHeight="1">
      <c r="A4" s="1625" t="s">
        <v>606</v>
      </c>
      <c r="B4" s="1625"/>
      <c r="C4" s="1625"/>
      <c r="D4" s="1625"/>
      <c r="E4" s="1625"/>
      <c r="F4" s="1625"/>
      <c r="G4" s="1625"/>
    </row>
    <row r="5" ht="15.75" thickBot="1">
      <c r="G5" s="1348" t="s">
        <v>484</v>
      </c>
    </row>
    <row r="6" spans="1:7" ht="24.75" customHeight="1" thickBot="1">
      <c r="A6" s="1621" t="s">
        <v>607</v>
      </c>
      <c r="B6" s="1618" t="s">
        <v>608</v>
      </c>
      <c r="C6" s="1618"/>
      <c r="D6" s="1618"/>
      <c r="E6" s="1619" t="s">
        <v>609</v>
      </c>
      <c r="F6" s="1619"/>
      <c r="G6" s="1619"/>
    </row>
    <row r="7" spans="1:7" ht="24.75" customHeight="1" thickBot="1">
      <c r="A7" s="1621"/>
      <c r="B7" s="1349" t="s">
        <v>610</v>
      </c>
      <c r="C7" s="1349" t="s">
        <v>611</v>
      </c>
      <c r="D7" s="1349" t="s">
        <v>612</v>
      </c>
      <c r="E7" s="1350" t="s">
        <v>610</v>
      </c>
      <c r="F7" s="1349" t="s">
        <v>613</v>
      </c>
      <c r="G7" s="1351" t="s">
        <v>612</v>
      </c>
    </row>
    <row r="8" spans="1:7" ht="33.75" customHeight="1">
      <c r="A8" s="1352" t="s">
        <v>26</v>
      </c>
      <c r="B8" s="1353"/>
      <c r="C8" s="1353"/>
      <c r="D8" s="1353"/>
      <c r="E8" s="1354"/>
      <c r="F8" s="1354"/>
      <c r="G8" s="1355"/>
    </row>
    <row r="9" spans="1:7" ht="33.75" customHeight="1">
      <c r="A9" s="1356" t="s">
        <v>614</v>
      </c>
      <c r="B9" s="1357"/>
      <c r="C9" s="1357"/>
      <c r="D9" s="1353"/>
      <c r="E9" s="1358"/>
      <c r="F9" s="1358"/>
      <c r="G9" s="1359"/>
    </row>
    <row r="10" spans="1:7" ht="33.75" customHeight="1">
      <c r="A10" s="1356" t="s">
        <v>615</v>
      </c>
      <c r="B10" s="1357">
        <v>166251</v>
      </c>
      <c r="C10" s="1357"/>
      <c r="D10" s="1353">
        <v>166251</v>
      </c>
      <c r="E10" s="1358">
        <v>46325</v>
      </c>
      <c r="F10" s="1358"/>
      <c r="G10" s="1359">
        <v>46325</v>
      </c>
    </row>
    <row r="11" spans="1:7" ht="33.75" customHeight="1">
      <c r="A11" s="1360" t="s">
        <v>24</v>
      </c>
      <c r="B11" s="1361"/>
      <c r="C11" s="1361">
        <v>5972860</v>
      </c>
      <c r="D11" s="1353">
        <v>5972860</v>
      </c>
      <c r="E11" s="1362"/>
      <c r="F11" s="1362"/>
      <c r="G11" s="1359"/>
    </row>
    <row r="12" spans="1:7" ht="33.75" customHeight="1" thickBot="1">
      <c r="A12" s="1363" t="s">
        <v>44</v>
      </c>
      <c r="B12" s="1364"/>
      <c r="C12" s="1364"/>
      <c r="D12" s="1364"/>
      <c r="E12" s="1365"/>
      <c r="F12" s="1365"/>
      <c r="G12" s="1366"/>
    </row>
    <row r="13" spans="1:7" ht="33.75" customHeight="1" thickBot="1">
      <c r="A13" s="1367" t="s">
        <v>309</v>
      </c>
      <c r="B13" s="1368">
        <f>SUM(B10:B12)</f>
        <v>166251</v>
      </c>
      <c r="C13" s="1368">
        <f>SUM(C8:C12)</f>
        <v>5972860</v>
      </c>
      <c r="D13" s="1368">
        <f>SUM(D8:D12)</f>
        <v>6139111</v>
      </c>
      <c r="E13" s="1368">
        <f>SUM(E10:E12)</f>
        <v>46325</v>
      </c>
      <c r="F13" s="1368"/>
      <c r="G13" s="1369">
        <f>SUM(G10:G12)</f>
        <v>46325</v>
      </c>
    </row>
    <row r="15" spans="1:7" ht="28.5" customHeight="1" thickBot="1">
      <c r="A15" s="1620" t="s">
        <v>616</v>
      </c>
      <c r="B15" s="1620"/>
      <c r="C15" s="1620"/>
      <c r="D15" s="1620"/>
      <c r="E15" s="1620"/>
      <c r="F15" s="1620"/>
      <c r="G15" s="1620"/>
    </row>
    <row r="16" spans="1:7" ht="16.5" customHeight="1" thickBot="1">
      <c r="A16" s="1621" t="s">
        <v>451</v>
      </c>
      <c r="B16" s="1618" t="s">
        <v>608</v>
      </c>
      <c r="C16" s="1618"/>
      <c r="D16" s="1618"/>
      <c r="E16" s="1619" t="s">
        <v>609</v>
      </c>
      <c r="F16" s="1619"/>
      <c r="G16" s="1619"/>
    </row>
    <row r="17" spans="1:7" ht="19.5" customHeight="1" thickBot="1">
      <c r="A17" s="1621"/>
      <c r="B17" s="1349" t="s">
        <v>610</v>
      </c>
      <c r="C17" s="1349" t="s">
        <v>611</v>
      </c>
      <c r="D17" s="1349" t="s">
        <v>612</v>
      </c>
      <c r="E17" s="1350" t="s">
        <v>610</v>
      </c>
      <c r="F17" s="1349" t="s">
        <v>613</v>
      </c>
      <c r="G17" s="1351" t="s">
        <v>612</v>
      </c>
    </row>
    <row r="18" spans="1:7" ht="30" customHeight="1">
      <c r="A18" s="1370" t="s">
        <v>617</v>
      </c>
      <c r="B18" s="1371">
        <v>519792</v>
      </c>
      <c r="C18" s="1372"/>
      <c r="D18" s="1373">
        <v>519792</v>
      </c>
      <c r="E18" s="1374"/>
      <c r="F18" s="1374"/>
      <c r="G18" s="1375"/>
    </row>
    <row r="19" spans="1:7" ht="29.25" customHeight="1" thickBot="1">
      <c r="A19" s="1376" t="s">
        <v>618</v>
      </c>
      <c r="B19" s="1377">
        <v>118110</v>
      </c>
      <c r="C19" s="1378"/>
      <c r="D19" s="1379">
        <v>118110</v>
      </c>
      <c r="E19" s="1380"/>
      <c r="F19" s="1380"/>
      <c r="G19" s="1381"/>
    </row>
    <row r="20" spans="1:7" s="1386" customFormat="1" ht="27.75" customHeight="1" thickBot="1">
      <c r="A20" s="1382" t="s">
        <v>309</v>
      </c>
      <c r="B20" s="1383">
        <f>SUM(B18:B19)</f>
        <v>637902</v>
      </c>
      <c r="C20" s="1383"/>
      <c r="D20" s="1383">
        <f>SUM(D18:D19)</f>
        <v>637902</v>
      </c>
      <c r="E20" s="1384"/>
      <c r="F20" s="1384"/>
      <c r="G20" s="1385"/>
    </row>
  </sheetData>
  <sheetProtection selectLockedCells="1" selectUnlockedCells="1"/>
  <mergeCells count="11">
    <mergeCell ref="F1:G1"/>
    <mergeCell ref="A2:G2"/>
    <mergeCell ref="A3:G3"/>
    <mergeCell ref="A4:G4"/>
    <mergeCell ref="A6:A7"/>
    <mergeCell ref="B6:D6"/>
    <mergeCell ref="E6:G6"/>
    <mergeCell ref="A15:G15"/>
    <mergeCell ref="A16:A17"/>
    <mergeCell ref="B16:D16"/>
    <mergeCell ref="E16:G1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9" sqref="G9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626" t="s">
        <v>619</v>
      </c>
      <c r="F1" s="1626"/>
    </row>
    <row r="2" spans="1:6" ht="24.75">
      <c r="A2" s="1627" t="s">
        <v>620</v>
      </c>
      <c r="B2" s="1627"/>
      <c r="C2" s="1627"/>
      <c r="D2" s="1627"/>
      <c r="E2" s="1627"/>
      <c r="F2" s="1627"/>
    </row>
    <row r="3" spans="1:6" ht="19.5">
      <c r="A3" s="1628" t="s">
        <v>621</v>
      </c>
      <c r="B3" s="1628"/>
      <c r="C3" s="1628"/>
      <c r="D3" s="1628"/>
      <c r="E3" s="1628"/>
      <c r="F3" s="1628"/>
    </row>
    <row r="4" spans="1:6" ht="33.75" customHeight="1">
      <c r="A4" s="1387"/>
      <c r="B4" s="1387"/>
      <c r="C4" s="13"/>
      <c r="D4" s="1387"/>
      <c r="E4" s="1387"/>
      <c r="F4" s="1387"/>
    </row>
    <row r="5" spans="1:6" ht="15.75">
      <c r="A5" s="1388" t="s">
        <v>622</v>
      </c>
      <c r="B5" s="1389"/>
      <c r="C5" s="1389"/>
      <c r="D5" s="1389"/>
      <c r="E5" s="1389"/>
      <c r="F5" s="1389"/>
    </row>
    <row r="6" spans="1:6" ht="15.75">
      <c r="A6" s="1389"/>
      <c r="B6" s="1389"/>
      <c r="C6" s="1389"/>
      <c r="D6" s="1389"/>
      <c r="E6" s="1389"/>
      <c r="F6" s="1389"/>
    </row>
    <row r="7" spans="1:6" ht="15.75">
      <c r="A7" s="1388" t="s">
        <v>623</v>
      </c>
      <c r="B7" s="1389"/>
      <c r="C7" s="1389"/>
      <c r="D7" s="1389"/>
      <c r="E7" s="1389"/>
      <c r="F7" s="1389"/>
    </row>
    <row r="8" spans="1:6" ht="15.75">
      <c r="A8" s="1388"/>
      <c r="B8" s="1389"/>
      <c r="C8" s="1389"/>
      <c r="D8" s="1389"/>
      <c r="E8" s="1389"/>
      <c r="F8" s="1389"/>
    </row>
    <row r="9" spans="1:6" ht="15">
      <c r="A9" s="1390" t="s">
        <v>624</v>
      </c>
      <c r="B9" s="1391"/>
      <c r="C9" s="1391"/>
      <c r="D9" s="1391"/>
      <c r="E9" s="1391"/>
      <c r="F9" s="1392"/>
    </row>
    <row r="10" spans="1:6" ht="15">
      <c r="A10" s="1390"/>
      <c r="B10" s="1391"/>
      <c r="C10" s="1391"/>
      <c r="D10" s="1391"/>
      <c r="E10" s="1391"/>
      <c r="F10" s="1392"/>
    </row>
    <row r="11" spans="1:5" ht="15">
      <c r="A11" s="1390" t="s">
        <v>625</v>
      </c>
      <c r="B11" s="1391"/>
      <c r="C11" s="1391"/>
      <c r="D11" s="1391"/>
      <c r="E11" s="1391"/>
    </row>
    <row r="13" spans="1:6" ht="39" thickBot="1">
      <c r="A13" s="1393" t="s">
        <v>405</v>
      </c>
      <c r="B13" s="1394" t="s">
        <v>626</v>
      </c>
      <c r="C13" s="1395" t="s">
        <v>627</v>
      </c>
      <c r="D13" s="1395" t="s">
        <v>628</v>
      </c>
      <c r="E13" s="1395" t="s">
        <v>629</v>
      </c>
      <c r="F13" s="1396" t="s">
        <v>348</v>
      </c>
    </row>
    <row r="14" spans="1:6" ht="24.75" customHeight="1">
      <c r="A14" s="1397" t="s">
        <v>15</v>
      </c>
      <c r="B14" s="1398" t="s">
        <v>630</v>
      </c>
      <c r="C14" s="1399"/>
      <c r="D14" s="1399"/>
      <c r="E14" s="1399"/>
      <c r="F14" s="1400">
        <v>0</v>
      </c>
    </row>
    <row r="15" spans="1:6" ht="25.5">
      <c r="A15" s="1401" t="s">
        <v>170</v>
      </c>
      <c r="B15" s="1402" t="s">
        <v>631</v>
      </c>
      <c r="C15" s="1403"/>
      <c r="D15" s="1403"/>
      <c r="E15" s="1403"/>
      <c r="F15" s="1404">
        <v>0</v>
      </c>
    </row>
    <row r="16" spans="1:6" ht="25.5">
      <c r="A16" s="1401" t="s">
        <v>75</v>
      </c>
      <c r="B16" s="1402" t="s">
        <v>632</v>
      </c>
      <c r="C16" s="1403"/>
      <c r="D16" s="1403"/>
      <c r="E16" s="1403"/>
      <c r="F16" s="1404">
        <v>0</v>
      </c>
    </row>
    <row r="17" spans="1:6" ht="21" customHeight="1">
      <c r="A17" s="1401" t="s">
        <v>94</v>
      </c>
      <c r="B17" s="1402" t="s">
        <v>633</v>
      </c>
      <c r="C17" s="1403"/>
      <c r="D17" s="1403"/>
      <c r="E17" s="1403"/>
      <c r="F17" s="1404">
        <v>0</v>
      </c>
    </row>
    <row r="18" spans="1:6" ht="40.5" customHeight="1">
      <c r="A18" s="1401" t="s">
        <v>107</v>
      </c>
      <c r="B18" s="1402" t="s">
        <v>634</v>
      </c>
      <c r="C18" s="1403"/>
      <c r="D18" s="1403"/>
      <c r="E18" s="1403"/>
      <c r="F18" s="1404">
        <v>0</v>
      </c>
    </row>
    <row r="19" spans="1:6" ht="21.75" customHeight="1" thickBot="1">
      <c r="A19" s="1405" t="s">
        <v>115</v>
      </c>
      <c r="B19" s="1406" t="s">
        <v>635</v>
      </c>
      <c r="C19" s="1407"/>
      <c r="D19" s="1407"/>
      <c r="E19" s="1407"/>
      <c r="F19" s="1408">
        <v>0</v>
      </c>
    </row>
    <row r="20" spans="1:6" ht="21.75" customHeight="1" thickBot="1">
      <c r="A20" s="1409" t="s">
        <v>124</v>
      </c>
      <c r="B20" s="1410" t="s">
        <v>348</v>
      </c>
      <c r="C20" s="1411">
        <v>0</v>
      </c>
      <c r="D20" s="1411">
        <v>0</v>
      </c>
      <c r="E20" s="1411">
        <v>0</v>
      </c>
      <c r="F20" s="1412">
        <v>0</v>
      </c>
    </row>
    <row r="21" spans="1:6" ht="12.75">
      <c r="A21" s="1392"/>
      <c r="B21" s="1392"/>
      <c r="C21" s="1392"/>
      <c r="D21" s="1392"/>
      <c r="E21" s="1392"/>
      <c r="F21" s="1392"/>
    </row>
    <row r="22" spans="1:6" ht="12.75">
      <c r="A22" s="1392"/>
      <c r="B22" s="1392"/>
      <c r="C22" s="1392"/>
      <c r="D22" s="1392"/>
      <c r="E22" s="1392"/>
      <c r="F22" s="1392"/>
    </row>
    <row r="23" spans="1:6" ht="12.75">
      <c r="A23" s="1392"/>
      <c r="B23" s="1392"/>
      <c r="C23" s="1392"/>
      <c r="D23" s="1392"/>
      <c r="E23" s="1392"/>
      <c r="F23" s="1392"/>
    </row>
    <row r="24" spans="1:6" ht="15.75">
      <c r="A24" s="1389" t="s">
        <v>636</v>
      </c>
      <c r="B24" s="1392"/>
      <c r="C24" s="1392"/>
      <c r="D24" s="1392"/>
      <c r="E24" s="1392"/>
      <c r="F24" s="1392"/>
    </row>
    <row r="25" spans="1:6" ht="12.75">
      <c r="A25" s="1392"/>
      <c r="B25" s="1392"/>
      <c r="C25" s="1392"/>
      <c r="D25" s="1392"/>
      <c r="E25" s="1392"/>
      <c r="F25" s="1392"/>
    </row>
    <row r="26" spans="1:6" ht="12.75">
      <c r="A26" s="1392"/>
      <c r="B26" s="1392"/>
      <c r="C26" s="1392"/>
      <c r="D26" s="1392"/>
      <c r="E26" s="1392"/>
      <c r="F26" s="1392"/>
    </row>
    <row r="29" spans="3:5" ht="13.5">
      <c r="C29" s="1413"/>
      <c r="D29" s="1414" t="s">
        <v>637</v>
      </c>
      <c r="E29" s="1413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view="pageBreakPreview" zoomScale="60" zoomScaleNormal="70" zoomScalePageLayoutView="0" workbookViewId="0" topLeftCell="A9">
      <selection activeCell="A39" sqref="A39:D39"/>
    </sheetView>
  </sheetViews>
  <sheetFormatPr defaultColWidth="9.140625" defaultRowHeight="12.75"/>
  <cols>
    <col min="1" max="1" width="5.00390625" style="119" customWidth="1"/>
    <col min="2" max="2" width="3.8515625" style="120" customWidth="1"/>
    <col min="3" max="3" width="5.28125" style="120" customWidth="1"/>
    <col min="4" max="4" width="50.57421875" style="121" customWidth="1"/>
    <col min="5" max="5" width="7.140625" style="121" customWidth="1"/>
    <col min="6" max="6" width="21.421875" style="122" customWidth="1"/>
    <col min="7" max="11" width="0" style="122" hidden="1" customWidth="1"/>
    <col min="12" max="13" width="21.8515625" style="122" customWidth="1"/>
    <col min="14" max="14" width="20.140625" style="123" customWidth="1"/>
    <col min="15" max="19" width="0" style="123" hidden="1" customWidth="1"/>
    <col min="20" max="21" width="20.421875" style="123" customWidth="1"/>
    <col min="22" max="22" width="19.421875" style="123" customWidth="1"/>
    <col min="23" max="27" width="0" style="123" hidden="1" customWidth="1"/>
    <col min="28" max="29" width="18.8515625" style="123" customWidth="1"/>
    <col min="30" max="30" width="11.140625" style="123" customWidth="1"/>
    <col min="31" max="36" width="0" style="122" hidden="1" customWidth="1"/>
    <col min="37" max="16384" width="9.140625" style="122" customWidth="1"/>
  </cols>
  <sheetData>
    <row r="1" spans="1:30" ht="44.25" customHeight="1" hidden="1">
      <c r="A1" s="1473"/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473"/>
      <c r="Q1" s="1473"/>
      <c r="R1" s="1473"/>
      <c r="S1" s="1473"/>
      <c r="T1" s="1473"/>
      <c r="U1" s="1473"/>
      <c r="V1" s="1473"/>
      <c r="W1" s="1473"/>
      <c r="X1" s="1473"/>
      <c r="Y1" s="1473"/>
      <c r="Z1" s="1473"/>
      <c r="AA1" s="1473"/>
      <c r="AB1" s="1473"/>
      <c r="AC1" s="1473"/>
      <c r="AD1" s="1473"/>
    </row>
    <row r="2" spans="1:30" ht="21.75" customHeight="1" hidden="1">
      <c r="A2" s="1474"/>
      <c r="B2" s="1474"/>
      <c r="C2" s="125"/>
      <c r="D2" s="126"/>
      <c r="E2" s="126"/>
      <c r="AD2" s="127" t="s">
        <v>1</v>
      </c>
    </row>
    <row r="3" spans="1:30" ht="41.25" customHeight="1">
      <c r="A3" s="1475" t="s">
        <v>596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</row>
    <row r="4" spans="1:30" ht="36.75" customHeight="1">
      <c r="A4" s="124"/>
      <c r="B4" s="124"/>
      <c r="C4" s="125"/>
      <c r="D4" s="126"/>
      <c r="E4" s="1476"/>
      <c r="F4" s="1476"/>
      <c r="AD4" s="127"/>
    </row>
    <row r="5" spans="1:30" ht="18.75" customHeight="1" thickBot="1">
      <c r="A5" s="124"/>
      <c r="B5" s="124"/>
      <c r="C5" s="125"/>
      <c r="D5" s="126"/>
      <c r="E5" s="126"/>
      <c r="AD5" s="127" t="s">
        <v>484</v>
      </c>
    </row>
    <row r="6" spans="1:36" s="13" customFormat="1" ht="56.25" customHeight="1" thickBot="1">
      <c r="A6" s="1477" t="s">
        <v>141</v>
      </c>
      <c r="B6" s="1477"/>
      <c r="C6" s="1477"/>
      <c r="D6" s="1477"/>
      <c r="E6" s="101" t="s">
        <v>4</v>
      </c>
      <c r="F6" s="1470" t="s">
        <v>5</v>
      </c>
      <c r="G6" s="1471"/>
      <c r="H6" s="1471"/>
      <c r="I6" s="1471"/>
      <c r="J6" s="1471"/>
      <c r="K6" s="1471"/>
      <c r="L6" s="1471"/>
      <c r="M6" s="1472"/>
      <c r="N6" s="1470" t="s">
        <v>6</v>
      </c>
      <c r="O6" s="1471"/>
      <c r="P6" s="1471"/>
      <c r="Q6" s="1471"/>
      <c r="R6" s="1471"/>
      <c r="S6" s="1471"/>
      <c r="T6" s="1471"/>
      <c r="U6" s="1472"/>
      <c r="V6" s="1470" t="s">
        <v>7</v>
      </c>
      <c r="W6" s="1471"/>
      <c r="X6" s="1471"/>
      <c r="Y6" s="1471"/>
      <c r="Z6" s="1471"/>
      <c r="AA6" s="1471"/>
      <c r="AB6" s="1471"/>
      <c r="AC6" s="1472"/>
      <c r="AD6" s="1478" t="s">
        <v>142</v>
      </c>
      <c r="AE6" s="1478"/>
      <c r="AF6" s="1478"/>
      <c r="AG6" s="1478"/>
      <c r="AH6" s="1478"/>
      <c r="AI6" s="1478"/>
      <c r="AJ6" s="1478"/>
    </row>
    <row r="7" spans="1:36" s="13" customFormat="1" ht="31.5" hidden="1">
      <c r="A7" s="128"/>
      <c r="B7" s="129"/>
      <c r="C7" s="129"/>
      <c r="D7" s="129"/>
      <c r="E7" s="101"/>
      <c r="F7" s="130" t="s">
        <v>9</v>
      </c>
      <c r="G7" s="131" t="s">
        <v>143</v>
      </c>
      <c r="H7" s="131" t="s">
        <v>144</v>
      </c>
      <c r="I7" s="131" t="s">
        <v>145</v>
      </c>
      <c r="J7" s="131" t="s">
        <v>146</v>
      </c>
      <c r="K7" s="131" t="s">
        <v>147</v>
      </c>
      <c r="L7" s="131"/>
      <c r="M7" s="132"/>
      <c r="N7" s="130" t="s">
        <v>9</v>
      </c>
      <c r="O7" s="131" t="s">
        <v>143</v>
      </c>
      <c r="P7" s="131" t="s">
        <v>144</v>
      </c>
      <c r="Q7" s="131" t="s">
        <v>145</v>
      </c>
      <c r="R7" s="131" t="s">
        <v>146</v>
      </c>
      <c r="S7" s="131" t="s">
        <v>147</v>
      </c>
      <c r="T7" s="131"/>
      <c r="U7" s="132"/>
      <c r="V7" s="130" t="s">
        <v>9</v>
      </c>
      <c r="W7" s="131" t="s">
        <v>143</v>
      </c>
      <c r="X7" s="131" t="s">
        <v>144</v>
      </c>
      <c r="Y7" s="131" t="s">
        <v>145</v>
      </c>
      <c r="Z7" s="131" t="s">
        <v>146</v>
      </c>
      <c r="AA7" s="131" t="s">
        <v>147</v>
      </c>
      <c r="AB7" s="131"/>
      <c r="AC7" s="132"/>
      <c r="AD7" s="130" t="s">
        <v>9</v>
      </c>
      <c r="AE7" s="131" t="s">
        <v>143</v>
      </c>
      <c r="AF7" s="131" t="s">
        <v>144</v>
      </c>
      <c r="AG7" s="131" t="s">
        <v>145</v>
      </c>
      <c r="AH7" s="131" t="s">
        <v>146</v>
      </c>
      <c r="AI7" s="132" t="s">
        <v>147</v>
      </c>
      <c r="AJ7" s="132" t="s">
        <v>147</v>
      </c>
    </row>
    <row r="8" spans="1:36" s="13" customFormat="1" ht="39" customHeight="1" thickBot="1">
      <c r="A8" s="128"/>
      <c r="B8" s="129"/>
      <c r="C8" s="129"/>
      <c r="D8" s="129"/>
      <c r="E8" s="101"/>
      <c r="F8" s="130" t="s">
        <v>9</v>
      </c>
      <c r="G8" s="131"/>
      <c r="H8" s="131"/>
      <c r="I8" s="131"/>
      <c r="J8" s="131"/>
      <c r="K8" s="131"/>
      <c r="L8" s="131" t="s">
        <v>10</v>
      </c>
      <c r="M8" s="132" t="s">
        <v>11</v>
      </c>
      <c r="N8" s="130" t="s">
        <v>9</v>
      </c>
      <c r="O8" s="131"/>
      <c r="P8" s="131"/>
      <c r="Q8" s="131"/>
      <c r="R8" s="131"/>
      <c r="S8" s="131"/>
      <c r="T8" s="131" t="s">
        <v>10</v>
      </c>
      <c r="U8" s="132" t="s">
        <v>11</v>
      </c>
      <c r="V8" s="130" t="s">
        <v>9</v>
      </c>
      <c r="W8" s="131"/>
      <c r="X8" s="131"/>
      <c r="Y8" s="131"/>
      <c r="Z8" s="131"/>
      <c r="AA8" s="131"/>
      <c r="AB8" s="131" t="s">
        <v>10</v>
      </c>
      <c r="AC8" s="132" t="s">
        <v>11</v>
      </c>
      <c r="AD8" s="1183" t="s">
        <v>597</v>
      </c>
      <c r="AE8" s="734"/>
      <c r="AF8" s="734"/>
      <c r="AG8" s="734"/>
      <c r="AH8" s="734"/>
      <c r="AI8" s="733"/>
      <c r="AJ8" s="733"/>
    </row>
    <row r="9" spans="1:36" s="134" customFormat="1" ht="33" customHeight="1" thickBot="1">
      <c r="A9" s="67" t="s">
        <v>15</v>
      </c>
      <c r="B9" s="1464" t="s">
        <v>148</v>
      </c>
      <c r="C9" s="1464"/>
      <c r="D9" s="1464"/>
      <c r="E9" s="133"/>
      <c r="F9" s="906">
        <f>F10+F11+F12+F13+F14</f>
        <v>71107681</v>
      </c>
      <c r="G9" s="916">
        <f aca="true" t="shared" si="0" ref="G9:V9">G10+G11+G12+G13+G14</f>
        <v>0</v>
      </c>
      <c r="H9" s="916">
        <f t="shared" si="0"/>
        <v>0</v>
      </c>
      <c r="I9" s="916">
        <f t="shared" si="0"/>
        <v>0</v>
      </c>
      <c r="J9" s="916">
        <f t="shared" si="0"/>
        <v>0</v>
      </c>
      <c r="K9" s="916">
        <f t="shared" si="0"/>
        <v>0</v>
      </c>
      <c r="L9" s="916">
        <f>L10+L11+L12+L13+L14</f>
        <v>72648497</v>
      </c>
      <c r="M9" s="1184">
        <f>M10+M11+M12+M13+M14</f>
        <v>74529140</v>
      </c>
      <c r="N9" s="906">
        <f t="shared" si="0"/>
        <v>64651392</v>
      </c>
      <c r="O9" s="916">
        <f t="shared" si="0"/>
        <v>0</v>
      </c>
      <c r="P9" s="916">
        <f t="shared" si="0"/>
        <v>0</v>
      </c>
      <c r="Q9" s="916">
        <f t="shared" si="0"/>
        <v>0</v>
      </c>
      <c r="R9" s="916">
        <f t="shared" si="0"/>
        <v>0</v>
      </c>
      <c r="S9" s="916">
        <f t="shared" si="0"/>
        <v>0</v>
      </c>
      <c r="T9" s="916">
        <f>L9-AB9</f>
        <v>66040063</v>
      </c>
      <c r="U9" s="1184">
        <f>M9-AC9</f>
        <v>67688706</v>
      </c>
      <c r="V9" s="906">
        <f t="shared" si="0"/>
        <v>6456289</v>
      </c>
      <c r="W9" s="916"/>
      <c r="X9" s="916"/>
      <c r="Y9" s="916"/>
      <c r="Z9" s="916"/>
      <c r="AA9" s="916"/>
      <c r="AB9" s="916">
        <f>AB10+AB11+AB12+AB13+AB14</f>
        <v>6608434</v>
      </c>
      <c r="AC9" s="1184">
        <f>AC10+AC11+AC12+AC13+AC14</f>
        <v>6840434</v>
      </c>
      <c r="AD9" s="906"/>
      <c r="AE9" s="96" t="e">
        <f aca="true" t="shared" si="1" ref="AE9:AJ9">AE10+AE11+AE12+AE13+AE14</f>
        <v>#REF!</v>
      </c>
      <c r="AF9" s="96" t="e">
        <f t="shared" si="1"/>
        <v>#REF!</v>
      </c>
      <c r="AG9" s="96" t="e">
        <f t="shared" si="1"/>
        <v>#REF!</v>
      </c>
      <c r="AH9" s="96" t="e">
        <f t="shared" si="1"/>
        <v>#REF!</v>
      </c>
      <c r="AI9" s="96" t="e">
        <f t="shared" si="1"/>
        <v>#REF!</v>
      </c>
      <c r="AJ9" s="96" t="e">
        <f t="shared" si="1"/>
        <v>#REF!</v>
      </c>
    </row>
    <row r="10" spans="1:36" s="140" customFormat="1" ht="33" customHeight="1">
      <c r="A10" s="135"/>
      <c r="B10" s="136" t="s">
        <v>18</v>
      </c>
      <c r="C10" s="136"/>
      <c r="D10" s="137" t="s">
        <v>149</v>
      </c>
      <c r="E10" s="138" t="s">
        <v>150</v>
      </c>
      <c r="F10" s="914">
        <v>32969087</v>
      </c>
      <c r="G10" s="915"/>
      <c r="H10" s="915"/>
      <c r="I10" s="915"/>
      <c r="J10" s="915"/>
      <c r="K10" s="915"/>
      <c r="L10" s="915">
        <f>'4.sz.m.ÖNK kiadás'!L7+'5. sz. m óvoda'!P34</f>
        <v>33808817</v>
      </c>
      <c r="M10" s="1185">
        <f>'4.sz.m.ÖNK kiadás'!M7+'5. sz. m óvoda'!Q34</f>
        <v>34176454</v>
      </c>
      <c r="N10" s="914">
        <v>31499087</v>
      </c>
      <c r="O10" s="915"/>
      <c r="P10" s="915"/>
      <c r="Q10" s="915"/>
      <c r="R10" s="915"/>
      <c r="S10" s="915"/>
      <c r="T10" s="1191">
        <f aca="true" t="shared" si="2" ref="T10:U39">L10-AB10</f>
        <v>32259317</v>
      </c>
      <c r="U10" s="1192">
        <f t="shared" si="2"/>
        <v>32626954</v>
      </c>
      <c r="V10" s="914">
        <f>F10-N10</f>
        <v>1470000</v>
      </c>
      <c r="W10" s="915"/>
      <c r="X10" s="915"/>
      <c r="Y10" s="915"/>
      <c r="Z10" s="915"/>
      <c r="AA10" s="915"/>
      <c r="AB10" s="915">
        <v>1549500</v>
      </c>
      <c r="AC10" s="1185">
        <f>'4.sz.m.ÖNK kiadás'!AD7</f>
        <v>1549500</v>
      </c>
      <c r="AD10" s="914"/>
      <c r="AE10" s="139" t="e">
        <f>#REF!</f>
        <v>#REF!</v>
      </c>
      <c r="AF10" s="139" t="e">
        <f>#REF!</f>
        <v>#REF!</v>
      </c>
      <c r="AG10" s="139" t="e">
        <f>#REF!</f>
        <v>#REF!</v>
      </c>
      <c r="AH10" s="139" t="e">
        <f>#REF!</f>
        <v>#REF!</v>
      </c>
      <c r="AI10" s="139" t="e">
        <f>#REF!</f>
        <v>#REF!</v>
      </c>
      <c r="AJ10" s="139" t="e">
        <f>#REF!</f>
        <v>#REF!</v>
      </c>
    </row>
    <row r="11" spans="1:36" s="140" customFormat="1" ht="33" customHeight="1">
      <c r="A11" s="141"/>
      <c r="B11" s="142" t="s">
        <v>28</v>
      </c>
      <c r="C11" s="142"/>
      <c r="D11" s="143" t="s">
        <v>151</v>
      </c>
      <c r="E11" s="138" t="s">
        <v>152</v>
      </c>
      <c r="F11" s="914">
        <v>8816615</v>
      </c>
      <c r="G11" s="915"/>
      <c r="H11" s="915"/>
      <c r="I11" s="915"/>
      <c r="J11" s="915"/>
      <c r="K11" s="915"/>
      <c r="L11" s="915">
        <f>'4.sz.m.ÖNK kiadás'!L8+'5. sz. m óvoda'!P35</f>
        <v>9043341</v>
      </c>
      <c r="M11" s="1185">
        <f>'4.sz.m.ÖNK kiadás'!M8+'5. sz. m óvoda'!Q35</f>
        <v>9131796</v>
      </c>
      <c r="N11" s="914">
        <v>8414308</v>
      </c>
      <c r="O11" s="915"/>
      <c r="P11" s="915"/>
      <c r="Q11" s="915"/>
      <c r="R11" s="915"/>
      <c r="S11" s="915"/>
      <c r="T11" s="911">
        <f t="shared" si="2"/>
        <v>8619569</v>
      </c>
      <c r="U11" s="1193">
        <f t="shared" si="2"/>
        <v>8708024</v>
      </c>
      <c r="V11" s="914">
        <f aca="true" t="shared" si="3" ref="V11:V17">F11-N11</f>
        <v>402307</v>
      </c>
      <c r="W11" s="915"/>
      <c r="X11" s="915"/>
      <c r="Y11" s="915"/>
      <c r="Z11" s="915"/>
      <c r="AA11" s="915"/>
      <c r="AB11" s="915">
        <v>423772</v>
      </c>
      <c r="AC11" s="1185">
        <f>'4.sz.m.ÖNK kiadás'!AD8</f>
        <v>423772</v>
      </c>
      <c r="AD11" s="914"/>
      <c r="AE11" s="139" t="e">
        <f>#REF!</f>
        <v>#REF!</v>
      </c>
      <c r="AF11" s="139" t="e">
        <f>#REF!</f>
        <v>#REF!</v>
      </c>
      <c r="AG11" s="139" t="e">
        <f>#REF!</f>
        <v>#REF!</v>
      </c>
      <c r="AH11" s="139" t="e">
        <f>#REF!</f>
        <v>#REF!</v>
      </c>
      <c r="AI11" s="139" t="e">
        <f>#REF!</f>
        <v>#REF!</v>
      </c>
      <c r="AJ11" s="139" t="e">
        <f>#REF!</f>
        <v>#REF!</v>
      </c>
    </row>
    <row r="12" spans="1:36" s="140" customFormat="1" ht="33" customHeight="1">
      <c r="A12" s="141"/>
      <c r="B12" s="142" t="s">
        <v>153</v>
      </c>
      <c r="C12" s="142"/>
      <c r="D12" s="143" t="s">
        <v>154</v>
      </c>
      <c r="E12" s="138" t="s">
        <v>155</v>
      </c>
      <c r="F12" s="914">
        <v>25170358</v>
      </c>
      <c r="G12" s="915"/>
      <c r="H12" s="915"/>
      <c r="I12" s="915"/>
      <c r="J12" s="915"/>
      <c r="K12" s="915"/>
      <c r="L12" s="915">
        <f>'4.sz.m.ÖNK kiadás'!L9+'5. sz. m óvoda'!P36</f>
        <v>25593538</v>
      </c>
      <c r="M12" s="1185">
        <f>'4.sz.m.ÖNK kiadás'!M9+'5. sz. m óvoda'!Q36</f>
        <v>26425309</v>
      </c>
      <c r="N12" s="914">
        <v>23525302</v>
      </c>
      <c r="O12" s="915"/>
      <c r="P12" s="915"/>
      <c r="Q12" s="915"/>
      <c r="R12" s="915"/>
      <c r="S12" s="915"/>
      <c r="T12" s="911">
        <f t="shared" si="2"/>
        <v>23948482</v>
      </c>
      <c r="U12" s="1193">
        <f t="shared" si="2"/>
        <v>24780253</v>
      </c>
      <c r="V12" s="914">
        <f t="shared" si="3"/>
        <v>1645056</v>
      </c>
      <c r="W12" s="915"/>
      <c r="X12" s="915"/>
      <c r="Y12" s="915"/>
      <c r="Z12" s="915"/>
      <c r="AA12" s="915"/>
      <c r="AB12" s="915">
        <v>1645056</v>
      </c>
      <c r="AC12" s="1185">
        <f>'4.sz.m.ÖNK kiadás'!AD9</f>
        <v>1645056</v>
      </c>
      <c r="AD12" s="914"/>
      <c r="AE12" s="139" t="e">
        <f>#REF!</f>
        <v>#REF!</v>
      </c>
      <c r="AF12" s="139" t="e">
        <f>#REF!</f>
        <v>#REF!</v>
      </c>
      <c r="AG12" s="139" t="e">
        <f>#REF!</f>
        <v>#REF!</v>
      </c>
      <c r="AH12" s="139" t="e">
        <f>#REF!</f>
        <v>#REF!</v>
      </c>
      <c r="AI12" s="139" t="e">
        <f>#REF!</f>
        <v>#REF!</v>
      </c>
      <c r="AJ12" s="139" t="e">
        <f>#REF!</f>
        <v>#REF!</v>
      </c>
    </row>
    <row r="13" spans="1:36" s="140" customFormat="1" ht="33" customHeight="1">
      <c r="A13" s="141"/>
      <c r="B13" s="142" t="s">
        <v>38</v>
      </c>
      <c r="C13" s="142"/>
      <c r="D13" s="143" t="s">
        <v>156</v>
      </c>
      <c r="E13" s="138" t="s">
        <v>157</v>
      </c>
      <c r="F13" s="914">
        <v>2211000</v>
      </c>
      <c r="G13" s="915"/>
      <c r="H13" s="915"/>
      <c r="I13" s="915"/>
      <c r="J13" s="915"/>
      <c r="K13" s="915"/>
      <c r="L13" s="915">
        <v>2211000</v>
      </c>
      <c r="M13" s="1185">
        <f>'4.sz.m.ÖNK kiadás'!M10</f>
        <v>2211000</v>
      </c>
      <c r="N13" s="914">
        <v>455000</v>
      </c>
      <c r="O13" s="915"/>
      <c r="P13" s="915"/>
      <c r="Q13" s="915"/>
      <c r="R13" s="915"/>
      <c r="S13" s="915"/>
      <c r="T13" s="911">
        <f t="shared" si="2"/>
        <v>455000</v>
      </c>
      <c r="U13" s="1193">
        <f t="shared" si="2"/>
        <v>223000</v>
      </c>
      <c r="V13" s="914">
        <f t="shared" si="3"/>
        <v>1756000</v>
      </c>
      <c r="W13" s="915"/>
      <c r="X13" s="915"/>
      <c r="Y13" s="915"/>
      <c r="Z13" s="915"/>
      <c r="AA13" s="915"/>
      <c r="AB13" s="915">
        <v>1756000</v>
      </c>
      <c r="AC13" s="1185">
        <f>'4.sz.m.ÖNK kiadás'!AD10</f>
        <v>1988000</v>
      </c>
      <c r="AD13" s="914"/>
      <c r="AE13" s="139"/>
      <c r="AF13" s="139"/>
      <c r="AG13" s="139"/>
      <c r="AH13" s="139"/>
      <c r="AI13" s="139"/>
      <c r="AJ13" s="139"/>
    </row>
    <row r="14" spans="1:36" s="140" customFormat="1" ht="33" customHeight="1">
      <c r="A14" s="141"/>
      <c r="B14" s="142" t="s">
        <v>45</v>
      </c>
      <c r="C14" s="142"/>
      <c r="D14" s="144" t="s">
        <v>158</v>
      </c>
      <c r="E14" s="145" t="s">
        <v>159</v>
      </c>
      <c r="F14" s="914">
        <v>1940621</v>
      </c>
      <c r="G14" s="915"/>
      <c r="H14" s="915"/>
      <c r="I14" s="915"/>
      <c r="J14" s="915"/>
      <c r="K14" s="915"/>
      <c r="L14" s="915">
        <v>1991801</v>
      </c>
      <c r="M14" s="1185">
        <f>M15+M16+M17+M18</f>
        <v>2584581</v>
      </c>
      <c r="N14" s="914">
        <v>757695</v>
      </c>
      <c r="O14" s="915"/>
      <c r="P14" s="915"/>
      <c r="Q14" s="915"/>
      <c r="R14" s="915"/>
      <c r="S14" s="915"/>
      <c r="T14" s="911">
        <f t="shared" si="2"/>
        <v>757695</v>
      </c>
      <c r="U14" s="1193">
        <f t="shared" si="2"/>
        <v>1350475</v>
      </c>
      <c r="V14" s="914">
        <f t="shared" si="3"/>
        <v>1182926</v>
      </c>
      <c r="W14" s="915"/>
      <c r="X14" s="915"/>
      <c r="Y14" s="915"/>
      <c r="Z14" s="915"/>
      <c r="AA14" s="915"/>
      <c r="AB14" s="915">
        <v>1234106</v>
      </c>
      <c r="AC14" s="1185">
        <f>'4.sz.m.ÖNK kiadás'!AD11</f>
        <v>1234106</v>
      </c>
      <c r="AD14" s="914"/>
      <c r="AE14" s="139"/>
      <c r="AF14" s="139"/>
      <c r="AG14" s="139"/>
      <c r="AH14" s="139"/>
      <c r="AI14" s="139"/>
      <c r="AJ14" s="139"/>
    </row>
    <row r="15" spans="1:36" s="140" customFormat="1" ht="33" customHeight="1">
      <c r="A15" s="141"/>
      <c r="B15" s="146"/>
      <c r="C15" s="142" t="s">
        <v>160</v>
      </c>
      <c r="D15" s="147" t="s">
        <v>161</v>
      </c>
      <c r="E15" s="148"/>
      <c r="F15" s="914"/>
      <c r="G15" s="915"/>
      <c r="H15" s="915"/>
      <c r="I15" s="915"/>
      <c r="J15" s="915"/>
      <c r="K15" s="915"/>
      <c r="L15" s="915"/>
      <c r="M15" s="1185">
        <f>'4.sz.m.ÖNK kiadás'!M12</f>
        <v>65280</v>
      </c>
      <c r="N15" s="914"/>
      <c r="O15" s="915"/>
      <c r="P15" s="915"/>
      <c r="Q15" s="915"/>
      <c r="R15" s="915"/>
      <c r="S15" s="915"/>
      <c r="T15" s="911">
        <f t="shared" si="2"/>
        <v>0</v>
      </c>
      <c r="U15" s="1193">
        <f t="shared" si="2"/>
        <v>65280</v>
      </c>
      <c r="V15" s="914">
        <f t="shared" si="3"/>
        <v>0</v>
      </c>
      <c r="W15" s="915"/>
      <c r="X15" s="915"/>
      <c r="Y15" s="915"/>
      <c r="Z15" s="915"/>
      <c r="AA15" s="915"/>
      <c r="AB15" s="915"/>
      <c r="AC15" s="1185">
        <f>'4.sz.m.ÖNK kiadás'!AD12</f>
        <v>0</v>
      </c>
      <c r="AD15" s="914"/>
      <c r="AE15" s="139"/>
      <c r="AF15" s="139"/>
      <c r="AG15" s="139"/>
      <c r="AH15" s="139"/>
      <c r="AI15" s="139"/>
      <c r="AJ15" s="139"/>
    </row>
    <row r="16" spans="1:36" s="140" customFormat="1" ht="57.75" customHeight="1">
      <c r="A16" s="141"/>
      <c r="B16" s="142"/>
      <c r="C16" s="142" t="s">
        <v>162</v>
      </c>
      <c r="D16" s="143" t="s">
        <v>163</v>
      </c>
      <c r="E16" s="138"/>
      <c r="F16" s="914">
        <v>1168266</v>
      </c>
      <c r="G16" s="915"/>
      <c r="H16" s="915"/>
      <c r="I16" s="915"/>
      <c r="J16" s="915"/>
      <c r="K16" s="915"/>
      <c r="L16" s="915">
        <v>1219446</v>
      </c>
      <c r="M16" s="1185">
        <f>'4.sz.m.ÖNK kiadás'!M13</f>
        <v>1246946</v>
      </c>
      <c r="N16" s="914"/>
      <c r="O16" s="915"/>
      <c r="P16" s="915"/>
      <c r="Q16" s="915"/>
      <c r="R16" s="915"/>
      <c r="S16" s="915"/>
      <c r="T16" s="911">
        <f t="shared" si="2"/>
        <v>0</v>
      </c>
      <c r="U16" s="1193">
        <f t="shared" si="2"/>
        <v>0</v>
      </c>
      <c r="V16" s="914">
        <f t="shared" si="3"/>
        <v>1168266</v>
      </c>
      <c r="W16" s="915"/>
      <c r="X16" s="915"/>
      <c r="Y16" s="915"/>
      <c r="Z16" s="915"/>
      <c r="AA16" s="915"/>
      <c r="AB16" s="915">
        <v>1219446</v>
      </c>
      <c r="AC16" s="1185">
        <f>'4.sz.m.ÖNK kiadás'!AD13</f>
        <v>1246946</v>
      </c>
      <c r="AD16" s="914"/>
      <c r="AE16" s="139"/>
      <c r="AF16" s="139"/>
      <c r="AG16" s="139"/>
      <c r="AH16" s="139"/>
      <c r="AI16" s="139"/>
      <c r="AJ16" s="139"/>
    </row>
    <row r="17" spans="1:36" s="140" customFormat="1" ht="54.75" customHeight="1" thickBot="1">
      <c r="A17" s="149"/>
      <c r="B17" s="150"/>
      <c r="C17" s="142" t="s">
        <v>164</v>
      </c>
      <c r="D17" s="143" t="s">
        <v>165</v>
      </c>
      <c r="E17" s="138"/>
      <c r="F17" s="914">
        <v>772355</v>
      </c>
      <c r="G17" s="915"/>
      <c r="H17" s="915"/>
      <c r="I17" s="915"/>
      <c r="J17" s="915"/>
      <c r="K17" s="915"/>
      <c r="L17" s="915">
        <v>772355</v>
      </c>
      <c r="M17" s="1185">
        <v>772355</v>
      </c>
      <c r="N17" s="914">
        <v>757695</v>
      </c>
      <c r="O17" s="915"/>
      <c r="P17" s="915"/>
      <c r="Q17" s="915"/>
      <c r="R17" s="915"/>
      <c r="S17" s="915"/>
      <c r="T17" s="1194">
        <f t="shared" si="2"/>
        <v>757695</v>
      </c>
      <c r="U17" s="1195">
        <f t="shared" si="2"/>
        <v>757695</v>
      </c>
      <c r="V17" s="914">
        <f t="shared" si="3"/>
        <v>14660</v>
      </c>
      <c r="W17" s="915"/>
      <c r="X17" s="915"/>
      <c r="Y17" s="915"/>
      <c r="Z17" s="915"/>
      <c r="AA17" s="915"/>
      <c r="AB17" s="915">
        <v>14660</v>
      </c>
      <c r="AC17" s="1185">
        <f>'4.sz.m.ÖNK kiadás'!AD14</f>
        <v>14660</v>
      </c>
      <c r="AD17" s="914"/>
      <c r="AE17" s="139"/>
      <c r="AF17" s="139"/>
      <c r="AG17" s="139"/>
      <c r="AH17" s="139"/>
      <c r="AI17" s="139"/>
      <c r="AJ17" s="139"/>
    </row>
    <row r="18" spans="1:36" s="140" customFormat="1" ht="59.25" customHeight="1" thickBot="1">
      <c r="A18" s="141"/>
      <c r="B18" s="142"/>
      <c r="C18" s="142" t="s">
        <v>166</v>
      </c>
      <c r="D18" s="143" t="s">
        <v>575</v>
      </c>
      <c r="E18" s="138"/>
      <c r="F18" s="914"/>
      <c r="G18" s="915"/>
      <c r="H18" s="915"/>
      <c r="I18" s="915"/>
      <c r="J18" s="915"/>
      <c r="K18" s="915"/>
      <c r="L18" s="915"/>
      <c r="M18" s="1185">
        <f>'4.sz.m.ÖNK kiadás'!M15</f>
        <v>500000</v>
      </c>
      <c r="N18" s="914"/>
      <c r="O18" s="915"/>
      <c r="P18" s="915"/>
      <c r="Q18" s="915"/>
      <c r="R18" s="915"/>
      <c r="S18" s="915"/>
      <c r="T18" s="916">
        <f t="shared" si="2"/>
        <v>0</v>
      </c>
      <c r="U18" s="1184">
        <f t="shared" si="2"/>
        <v>0</v>
      </c>
      <c r="V18" s="914"/>
      <c r="W18" s="915"/>
      <c r="X18" s="915"/>
      <c r="Y18" s="915"/>
      <c r="Z18" s="915"/>
      <c r="AA18" s="915"/>
      <c r="AB18" s="915"/>
      <c r="AC18" s="1185">
        <f>'4.sz.m.ÖNK kiadás'!AD15</f>
        <v>500000</v>
      </c>
      <c r="AD18" s="914"/>
      <c r="AE18" s="139"/>
      <c r="AF18" s="139"/>
      <c r="AG18" s="139"/>
      <c r="AH18" s="139"/>
      <c r="AI18" s="139"/>
      <c r="AJ18" s="139"/>
    </row>
    <row r="19" spans="1:36" s="140" customFormat="1" ht="33" customHeight="1" hidden="1" thickBot="1">
      <c r="A19" s="151"/>
      <c r="B19" s="152"/>
      <c r="C19" s="152" t="s">
        <v>168</v>
      </c>
      <c r="D19" s="153" t="s">
        <v>169</v>
      </c>
      <c r="E19" s="154"/>
      <c r="F19" s="914"/>
      <c r="G19" s="915"/>
      <c r="H19" s="915"/>
      <c r="I19" s="915"/>
      <c r="J19" s="915"/>
      <c r="K19" s="915"/>
      <c r="L19" s="915"/>
      <c r="M19" s="1185"/>
      <c r="N19" s="914"/>
      <c r="O19" s="915"/>
      <c r="P19" s="915"/>
      <c r="Q19" s="915"/>
      <c r="R19" s="915"/>
      <c r="S19" s="915"/>
      <c r="T19" s="916">
        <f t="shared" si="2"/>
        <v>0</v>
      </c>
      <c r="U19" s="1184">
        <f t="shared" si="2"/>
        <v>0</v>
      </c>
      <c r="V19" s="914"/>
      <c r="W19" s="915"/>
      <c r="X19" s="915"/>
      <c r="Y19" s="915"/>
      <c r="Z19" s="915"/>
      <c r="AA19" s="915"/>
      <c r="AB19" s="915"/>
      <c r="AC19" s="1185"/>
      <c r="AD19" s="914"/>
      <c r="AE19" s="139"/>
      <c r="AF19" s="139"/>
      <c r="AG19" s="139"/>
      <c r="AH19" s="139"/>
      <c r="AI19" s="139"/>
      <c r="AJ19" s="139"/>
    </row>
    <row r="20" spans="1:36" s="140" customFormat="1" ht="33" customHeight="1" thickBot="1">
      <c r="A20" s="67" t="s">
        <v>170</v>
      </c>
      <c r="B20" s="1464" t="s">
        <v>171</v>
      </c>
      <c r="C20" s="1464"/>
      <c r="D20" s="1464"/>
      <c r="E20" s="133"/>
      <c r="F20" s="913">
        <f>F21+F22+F23</f>
        <v>2567549</v>
      </c>
      <c r="G20" s="1186">
        <f aca="true" t="shared" si="4" ref="G20:V20">G21+G22+G23</f>
        <v>0</v>
      </c>
      <c r="H20" s="1186">
        <f t="shared" si="4"/>
        <v>0</v>
      </c>
      <c r="I20" s="1186">
        <f t="shared" si="4"/>
        <v>0</v>
      </c>
      <c r="J20" s="1186">
        <f t="shared" si="4"/>
        <v>0</v>
      </c>
      <c r="K20" s="1186">
        <f t="shared" si="4"/>
        <v>0</v>
      </c>
      <c r="L20" s="1186">
        <f>L21+L22+L23</f>
        <v>2604150</v>
      </c>
      <c r="M20" s="1187">
        <f>M21+M22+M23</f>
        <v>2820050</v>
      </c>
      <c r="N20" s="913">
        <f t="shared" si="4"/>
        <v>2167549</v>
      </c>
      <c r="O20" s="1186">
        <f t="shared" si="4"/>
        <v>0</v>
      </c>
      <c r="P20" s="1186">
        <f t="shared" si="4"/>
        <v>0</v>
      </c>
      <c r="Q20" s="1186">
        <f t="shared" si="4"/>
        <v>0</v>
      </c>
      <c r="R20" s="1186">
        <f t="shared" si="4"/>
        <v>0</v>
      </c>
      <c r="S20" s="1186">
        <f t="shared" si="4"/>
        <v>0</v>
      </c>
      <c r="T20" s="916">
        <f t="shared" si="2"/>
        <v>2204150</v>
      </c>
      <c r="U20" s="1184">
        <f t="shared" si="2"/>
        <v>2420050</v>
      </c>
      <c r="V20" s="913">
        <f t="shared" si="4"/>
        <v>400000</v>
      </c>
      <c r="W20" s="1186"/>
      <c r="X20" s="1186"/>
      <c r="Y20" s="1186"/>
      <c r="Z20" s="1186"/>
      <c r="AA20" s="1186"/>
      <c r="AB20" s="1186">
        <v>400000</v>
      </c>
      <c r="AC20" s="1187">
        <v>400000</v>
      </c>
      <c r="AD20" s="913"/>
      <c r="AE20" s="155">
        <f aca="true" t="shared" si="5" ref="AE20:AJ20">SUM(AE21:AE23)</f>
        <v>0</v>
      </c>
      <c r="AF20" s="155">
        <f t="shared" si="5"/>
        <v>0</v>
      </c>
      <c r="AG20" s="155">
        <f t="shared" si="5"/>
        <v>0</v>
      </c>
      <c r="AH20" s="155">
        <f t="shared" si="5"/>
        <v>0</v>
      </c>
      <c r="AI20" s="155">
        <f t="shared" si="5"/>
        <v>0</v>
      </c>
      <c r="AJ20" s="155">
        <f t="shared" si="5"/>
        <v>0</v>
      </c>
    </row>
    <row r="21" spans="1:36" s="140" customFormat="1" ht="33" customHeight="1">
      <c r="A21" s="135"/>
      <c r="B21" s="136" t="s">
        <v>51</v>
      </c>
      <c r="C21" s="1465" t="s">
        <v>172</v>
      </c>
      <c r="D21" s="1465"/>
      <c r="E21" s="156" t="s">
        <v>173</v>
      </c>
      <c r="F21" s="914">
        <v>889000</v>
      </c>
      <c r="G21" s="915"/>
      <c r="H21" s="915"/>
      <c r="I21" s="915"/>
      <c r="J21" s="915"/>
      <c r="K21" s="915"/>
      <c r="L21" s="915">
        <f>'4.sz.m.ÖNK kiadás'!L18+'5. sz. m óvoda'!P40</f>
        <v>1148990</v>
      </c>
      <c r="M21" s="1185">
        <f>'4.sz.m.ÖNK kiadás'!M18+'5. sz. m óvoda'!Q40</f>
        <v>1364890</v>
      </c>
      <c r="N21" s="914">
        <v>889000</v>
      </c>
      <c r="O21" s="915"/>
      <c r="P21" s="915"/>
      <c r="Q21" s="915"/>
      <c r="R21" s="915"/>
      <c r="S21" s="915"/>
      <c r="T21" s="1191">
        <f t="shared" si="2"/>
        <v>1148990</v>
      </c>
      <c r="U21" s="1192">
        <f t="shared" si="2"/>
        <v>1364890</v>
      </c>
      <c r="V21" s="914"/>
      <c r="W21" s="915"/>
      <c r="X21" s="915"/>
      <c r="Y21" s="915"/>
      <c r="Z21" s="915"/>
      <c r="AA21" s="915"/>
      <c r="AB21" s="915"/>
      <c r="AC21" s="1185"/>
      <c r="AD21" s="914"/>
      <c r="AE21" s="139"/>
      <c r="AF21" s="139"/>
      <c r="AG21" s="139"/>
      <c r="AH21" s="139"/>
      <c r="AI21" s="139"/>
      <c r="AJ21" s="139"/>
    </row>
    <row r="22" spans="1:36" s="140" customFormat="1" ht="33" customHeight="1">
      <c r="A22" s="141"/>
      <c r="B22" s="142" t="s">
        <v>54</v>
      </c>
      <c r="C22" s="1466" t="s">
        <v>174</v>
      </c>
      <c r="D22" s="1466"/>
      <c r="E22" s="156" t="s">
        <v>175</v>
      </c>
      <c r="F22" s="914">
        <v>1278549</v>
      </c>
      <c r="G22" s="915"/>
      <c r="H22" s="915"/>
      <c r="I22" s="915"/>
      <c r="J22" s="915"/>
      <c r="K22" s="915"/>
      <c r="L22" s="915">
        <v>1055160</v>
      </c>
      <c r="M22" s="1185">
        <f>'4.sz.m.ÖNK kiadás'!M19</f>
        <v>1055160</v>
      </c>
      <c r="N22" s="914">
        <v>1278549</v>
      </c>
      <c r="O22" s="915"/>
      <c r="P22" s="915"/>
      <c r="Q22" s="915"/>
      <c r="R22" s="915"/>
      <c r="S22" s="915"/>
      <c r="T22" s="911">
        <f t="shared" si="2"/>
        <v>1055160</v>
      </c>
      <c r="U22" s="1193">
        <f t="shared" si="2"/>
        <v>1055160</v>
      </c>
      <c r="V22" s="914"/>
      <c r="W22" s="915"/>
      <c r="X22" s="915"/>
      <c r="Y22" s="915"/>
      <c r="Z22" s="915"/>
      <c r="AA22" s="915"/>
      <c r="AB22" s="915"/>
      <c r="AC22" s="1185"/>
      <c r="AD22" s="914"/>
      <c r="AE22" s="139"/>
      <c r="AF22" s="139"/>
      <c r="AG22" s="139"/>
      <c r="AH22" s="139"/>
      <c r="AI22" s="139"/>
      <c r="AJ22" s="139"/>
    </row>
    <row r="23" spans="1:36" s="140" customFormat="1" ht="33" customHeight="1">
      <c r="A23" s="157"/>
      <c r="B23" s="142" t="s">
        <v>57</v>
      </c>
      <c r="C23" s="1467" t="s">
        <v>176</v>
      </c>
      <c r="D23" s="1467"/>
      <c r="E23" s="159" t="s">
        <v>177</v>
      </c>
      <c r="F23" s="914">
        <v>400000</v>
      </c>
      <c r="G23" s="915"/>
      <c r="H23" s="915"/>
      <c r="I23" s="915"/>
      <c r="J23" s="915"/>
      <c r="K23" s="915"/>
      <c r="L23" s="915">
        <v>400000</v>
      </c>
      <c r="M23" s="1185">
        <f>SUM(M24:M27)</f>
        <v>400000</v>
      </c>
      <c r="N23" s="914"/>
      <c r="O23" s="915"/>
      <c r="P23" s="915"/>
      <c r="Q23" s="915"/>
      <c r="R23" s="915"/>
      <c r="S23" s="915"/>
      <c r="T23" s="911">
        <f t="shared" si="2"/>
        <v>0</v>
      </c>
      <c r="U23" s="1193">
        <f t="shared" si="2"/>
        <v>0</v>
      </c>
      <c r="V23" s="914">
        <v>400000</v>
      </c>
      <c r="W23" s="915"/>
      <c r="X23" s="915"/>
      <c r="Y23" s="915"/>
      <c r="Z23" s="915"/>
      <c r="AA23" s="915"/>
      <c r="AB23" s="915">
        <v>400000</v>
      </c>
      <c r="AC23" s="1185">
        <f>SUM(AC24:AC27)</f>
        <v>400000</v>
      </c>
      <c r="AD23" s="914"/>
      <c r="AE23" s="139"/>
      <c r="AF23" s="139"/>
      <c r="AG23" s="139"/>
      <c r="AH23" s="139"/>
      <c r="AI23" s="139"/>
      <c r="AJ23" s="139"/>
    </row>
    <row r="24" spans="1:36" s="140" customFormat="1" ht="33" customHeight="1">
      <c r="A24" s="160"/>
      <c r="B24" s="161"/>
      <c r="C24" s="161" t="s">
        <v>60</v>
      </c>
      <c r="D24" s="158" t="s">
        <v>178</v>
      </c>
      <c r="E24" s="159"/>
      <c r="F24" s="914">
        <v>400000</v>
      </c>
      <c r="G24" s="915"/>
      <c r="H24" s="915"/>
      <c r="I24" s="915"/>
      <c r="J24" s="915"/>
      <c r="K24" s="915"/>
      <c r="L24" s="915">
        <v>400000</v>
      </c>
      <c r="M24" s="1185">
        <f>'4.sz.m.ÖNK kiadás'!M21</f>
        <v>400000</v>
      </c>
      <c r="N24" s="914"/>
      <c r="O24" s="915"/>
      <c r="P24" s="915"/>
      <c r="Q24" s="915"/>
      <c r="R24" s="915"/>
      <c r="S24" s="915"/>
      <c r="T24" s="911">
        <f t="shared" si="2"/>
        <v>0</v>
      </c>
      <c r="U24" s="1193">
        <f t="shared" si="2"/>
        <v>0</v>
      </c>
      <c r="V24" s="914">
        <v>400000</v>
      </c>
      <c r="W24" s="915"/>
      <c r="X24" s="915"/>
      <c r="Y24" s="915"/>
      <c r="Z24" s="915"/>
      <c r="AA24" s="915"/>
      <c r="AB24" s="915">
        <v>400000</v>
      </c>
      <c r="AC24" s="1185">
        <f>'4.sz.m.ÖNK kiadás'!AD21</f>
        <v>400000</v>
      </c>
      <c r="AD24" s="914"/>
      <c r="AE24" s="139"/>
      <c r="AF24" s="139"/>
      <c r="AG24" s="139"/>
      <c r="AH24" s="139"/>
      <c r="AI24" s="139"/>
      <c r="AJ24" s="139"/>
    </row>
    <row r="25" spans="1:36" s="140" customFormat="1" ht="33" customHeight="1">
      <c r="A25" s="160"/>
      <c r="B25" s="161"/>
      <c r="C25" s="161" t="s">
        <v>62</v>
      </c>
      <c r="D25" s="158" t="s">
        <v>179</v>
      </c>
      <c r="E25" s="159"/>
      <c r="F25" s="914"/>
      <c r="G25" s="915"/>
      <c r="H25" s="915"/>
      <c r="I25" s="915"/>
      <c r="J25" s="915"/>
      <c r="K25" s="915"/>
      <c r="L25" s="915"/>
      <c r="M25" s="1185"/>
      <c r="N25" s="914"/>
      <c r="O25" s="915"/>
      <c r="P25" s="915"/>
      <c r="Q25" s="915"/>
      <c r="R25" s="915"/>
      <c r="S25" s="915"/>
      <c r="T25" s="911">
        <f t="shared" si="2"/>
        <v>0</v>
      </c>
      <c r="U25" s="1193">
        <f t="shared" si="2"/>
        <v>0</v>
      </c>
      <c r="V25" s="914"/>
      <c r="W25" s="915"/>
      <c r="X25" s="915"/>
      <c r="Y25" s="915"/>
      <c r="Z25" s="915"/>
      <c r="AA25" s="915"/>
      <c r="AB25" s="915"/>
      <c r="AC25" s="1185"/>
      <c r="AD25" s="914"/>
      <c r="AE25" s="139"/>
      <c r="AF25" s="139"/>
      <c r="AG25" s="139"/>
      <c r="AH25" s="139"/>
      <c r="AI25" s="139"/>
      <c r="AJ25" s="139"/>
    </row>
    <row r="26" spans="1:36" s="140" customFormat="1" ht="33" customHeight="1">
      <c r="A26" s="157"/>
      <c r="B26" s="158"/>
      <c r="C26" s="161" t="s">
        <v>64</v>
      </c>
      <c r="D26" s="158" t="s">
        <v>167</v>
      </c>
      <c r="E26" s="159"/>
      <c r="F26" s="914"/>
      <c r="G26" s="915"/>
      <c r="H26" s="915"/>
      <c r="I26" s="915"/>
      <c r="J26" s="915"/>
      <c r="K26" s="915"/>
      <c r="L26" s="915"/>
      <c r="M26" s="1185"/>
      <c r="N26" s="914"/>
      <c r="O26" s="915"/>
      <c r="P26" s="915"/>
      <c r="Q26" s="915"/>
      <c r="R26" s="915"/>
      <c r="S26" s="915"/>
      <c r="T26" s="911">
        <f t="shared" si="2"/>
        <v>0</v>
      </c>
      <c r="U26" s="1193">
        <f t="shared" si="2"/>
        <v>0</v>
      </c>
      <c r="V26" s="914"/>
      <c r="W26" s="915"/>
      <c r="X26" s="915"/>
      <c r="Y26" s="915"/>
      <c r="Z26" s="915"/>
      <c r="AA26" s="915"/>
      <c r="AB26" s="915"/>
      <c r="AC26" s="1185"/>
      <c r="AD26" s="914"/>
      <c r="AE26" s="139"/>
      <c r="AF26" s="139"/>
      <c r="AG26" s="139"/>
      <c r="AH26" s="139"/>
      <c r="AI26" s="139"/>
      <c r="AJ26" s="139"/>
    </row>
    <row r="27" spans="1:36" s="140" customFormat="1" ht="33" customHeight="1" thickBot="1">
      <c r="A27" s="162"/>
      <c r="B27" s="163"/>
      <c r="C27" s="164" t="s">
        <v>180</v>
      </c>
      <c r="D27" s="163" t="s">
        <v>181</v>
      </c>
      <c r="E27" s="165"/>
      <c r="F27" s="914"/>
      <c r="G27" s="915"/>
      <c r="H27" s="915"/>
      <c r="I27" s="915"/>
      <c r="J27" s="915"/>
      <c r="K27" s="915"/>
      <c r="L27" s="915"/>
      <c r="M27" s="1185"/>
      <c r="N27" s="914"/>
      <c r="O27" s="915"/>
      <c r="P27" s="915"/>
      <c r="Q27" s="915"/>
      <c r="R27" s="915"/>
      <c r="S27" s="915"/>
      <c r="T27" s="1194">
        <f t="shared" si="2"/>
        <v>0</v>
      </c>
      <c r="U27" s="1195">
        <f t="shared" si="2"/>
        <v>0</v>
      </c>
      <c r="V27" s="914"/>
      <c r="W27" s="915"/>
      <c r="X27" s="915"/>
      <c r="Y27" s="915"/>
      <c r="Z27" s="915"/>
      <c r="AA27" s="915"/>
      <c r="AB27" s="915"/>
      <c r="AC27" s="1185"/>
      <c r="AD27" s="914"/>
      <c r="AE27" s="139"/>
      <c r="AF27" s="139"/>
      <c r="AG27" s="139"/>
      <c r="AH27" s="139"/>
      <c r="AI27" s="139"/>
      <c r="AJ27" s="139"/>
    </row>
    <row r="28" spans="1:36" s="140" customFormat="1" ht="33" customHeight="1" thickBot="1">
      <c r="A28" s="67" t="s">
        <v>75</v>
      </c>
      <c r="B28" s="1464" t="s">
        <v>182</v>
      </c>
      <c r="C28" s="1464"/>
      <c r="D28" s="1464"/>
      <c r="E28" s="133" t="s">
        <v>183</v>
      </c>
      <c r="F28" s="913">
        <f>F29+F30+F31</f>
        <v>10234211</v>
      </c>
      <c r="G28" s="1186">
        <f aca="true" t="shared" si="6" ref="G28:V28">G29+G30+G31</f>
        <v>0</v>
      </c>
      <c r="H28" s="1186">
        <f t="shared" si="6"/>
        <v>0</v>
      </c>
      <c r="I28" s="1186">
        <f t="shared" si="6"/>
        <v>0</v>
      </c>
      <c r="J28" s="1186">
        <f t="shared" si="6"/>
        <v>0</v>
      </c>
      <c r="K28" s="1186">
        <f t="shared" si="6"/>
        <v>0</v>
      </c>
      <c r="L28" s="1186">
        <f>L29+L31</f>
        <v>10111523</v>
      </c>
      <c r="M28" s="1187">
        <f>M29+M31</f>
        <v>11129800</v>
      </c>
      <c r="N28" s="913">
        <f t="shared" si="6"/>
        <v>10234211</v>
      </c>
      <c r="O28" s="1186">
        <f t="shared" si="6"/>
        <v>0</v>
      </c>
      <c r="P28" s="1186">
        <f t="shared" si="6"/>
        <v>0</v>
      </c>
      <c r="Q28" s="1186">
        <f t="shared" si="6"/>
        <v>0</v>
      </c>
      <c r="R28" s="1186">
        <f t="shared" si="6"/>
        <v>0</v>
      </c>
      <c r="S28" s="1186">
        <f t="shared" si="6"/>
        <v>0</v>
      </c>
      <c r="T28" s="916">
        <f t="shared" si="2"/>
        <v>10111523</v>
      </c>
      <c r="U28" s="1184">
        <f t="shared" si="2"/>
        <v>11129800</v>
      </c>
      <c r="V28" s="913">
        <f t="shared" si="6"/>
        <v>0</v>
      </c>
      <c r="W28" s="1186"/>
      <c r="X28" s="1186"/>
      <c r="Y28" s="1186"/>
      <c r="Z28" s="1186"/>
      <c r="AA28" s="1186"/>
      <c r="AB28" s="1186"/>
      <c r="AC28" s="1187"/>
      <c r="AD28" s="913"/>
      <c r="AE28" s="155">
        <f aca="true" t="shared" si="7" ref="AE28:AJ28">SUM(AE29:AE31)</f>
        <v>0</v>
      </c>
      <c r="AF28" s="155">
        <f t="shared" si="7"/>
        <v>0</v>
      </c>
      <c r="AG28" s="155">
        <f t="shared" si="7"/>
        <v>0</v>
      </c>
      <c r="AH28" s="155">
        <f t="shared" si="7"/>
        <v>0</v>
      </c>
      <c r="AI28" s="155">
        <f t="shared" si="7"/>
        <v>0</v>
      </c>
      <c r="AJ28" s="155">
        <f t="shared" si="7"/>
        <v>0</v>
      </c>
    </row>
    <row r="29" spans="1:36" s="140" customFormat="1" ht="33" customHeight="1">
      <c r="A29" s="135"/>
      <c r="B29" s="136" t="s">
        <v>78</v>
      </c>
      <c r="C29" s="1465" t="s">
        <v>184</v>
      </c>
      <c r="D29" s="1465"/>
      <c r="E29" s="156"/>
      <c r="F29" s="914">
        <v>2804211</v>
      </c>
      <c r="G29" s="915"/>
      <c r="H29" s="915"/>
      <c r="I29" s="915"/>
      <c r="J29" s="915"/>
      <c r="K29" s="915"/>
      <c r="L29" s="915">
        <f>'4.sz.m.ÖNK kiadás'!L26</f>
        <v>2318124</v>
      </c>
      <c r="M29" s="1185">
        <f>'4.sz.m.ÖNK kiadás'!M26</f>
        <v>3336401</v>
      </c>
      <c r="N29" s="914">
        <v>2804211</v>
      </c>
      <c r="O29" s="915"/>
      <c r="P29" s="915"/>
      <c r="Q29" s="915"/>
      <c r="R29" s="915"/>
      <c r="S29" s="915"/>
      <c r="T29" s="1191">
        <f t="shared" si="2"/>
        <v>2318124</v>
      </c>
      <c r="U29" s="1192">
        <f t="shared" si="2"/>
        <v>3336401</v>
      </c>
      <c r="V29" s="914"/>
      <c r="W29" s="915"/>
      <c r="X29" s="915"/>
      <c r="Y29" s="915"/>
      <c r="Z29" s="915"/>
      <c r="AA29" s="915"/>
      <c r="AB29" s="915"/>
      <c r="AC29" s="1185"/>
      <c r="AD29" s="914"/>
      <c r="AE29" s="139"/>
      <c r="AF29" s="139"/>
      <c r="AG29" s="139"/>
      <c r="AH29" s="139"/>
      <c r="AI29" s="139"/>
      <c r="AJ29" s="139"/>
    </row>
    <row r="30" spans="1:36" s="134" customFormat="1" ht="33" customHeight="1">
      <c r="A30" s="166"/>
      <c r="B30" s="142" t="s">
        <v>81</v>
      </c>
      <c r="C30" s="1468" t="s">
        <v>185</v>
      </c>
      <c r="D30" s="1468"/>
      <c r="E30" s="167"/>
      <c r="F30" s="914"/>
      <c r="G30" s="915"/>
      <c r="H30" s="915"/>
      <c r="I30" s="915"/>
      <c r="J30" s="915"/>
      <c r="K30" s="915"/>
      <c r="L30" s="915">
        <f>'4.sz.m.ÖNK kiadás'!L27</f>
        <v>0</v>
      </c>
      <c r="M30" s="1185">
        <f>'4.sz.m.ÖNK kiadás'!M27</f>
        <v>0</v>
      </c>
      <c r="N30" s="914"/>
      <c r="O30" s="915"/>
      <c r="P30" s="915"/>
      <c r="Q30" s="915"/>
      <c r="R30" s="915"/>
      <c r="S30" s="915"/>
      <c r="T30" s="911">
        <f t="shared" si="2"/>
        <v>0</v>
      </c>
      <c r="U30" s="1193">
        <f t="shared" si="2"/>
        <v>0</v>
      </c>
      <c r="V30" s="914"/>
      <c r="W30" s="915"/>
      <c r="X30" s="915"/>
      <c r="Y30" s="915"/>
      <c r="Z30" s="915"/>
      <c r="AA30" s="915"/>
      <c r="AB30" s="915"/>
      <c r="AC30" s="1185"/>
      <c r="AD30" s="914"/>
      <c r="AE30" s="139"/>
      <c r="AF30" s="139"/>
      <c r="AG30" s="139"/>
      <c r="AH30" s="139"/>
      <c r="AI30" s="139"/>
      <c r="AJ30" s="139"/>
    </row>
    <row r="31" spans="1:36" s="134" customFormat="1" ht="33" customHeight="1" thickBot="1">
      <c r="A31" s="168"/>
      <c r="B31" s="152" t="s">
        <v>83</v>
      </c>
      <c r="C31" s="169" t="s">
        <v>186</v>
      </c>
      <c r="D31" s="169"/>
      <c r="E31" s="170"/>
      <c r="F31" s="914">
        <v>7430000</v>
      </c>
      <c r="G31" s="915"/>
      <c r="H31" s="915"/>
      <c r="I31" s="915"/>
      <c r="J31" s="915"/>
      <c r="K31" s="915"/>
      <c r="L31" s="915">
        <f>'4.sz.m.ÖNK kiadás'!L28</f>
        <v>7793399</v>
      </c>
      <c r="M31" s="1185">
        <f>'4.sz.m.ÖNK kiadás'!M28</f>
        <v>7793399</v>
      </c>
      <c r="N31" s="914">
        <v>7430000</v>
      </c>
      <c r="O31" s="915"/>
      <c r="P31" s="915"/>
      <c r="Q31" s="915"/>
      <c r="R31" s="915"/>
      <c r="S31" s="915"/>
      <c r="T31" s="1194">
        <f t="shared" si="2"/>
        <v>7793399</v>
      </c>
      <c r="U31" s="1195">
        <f t="shared" si="2"/>
        <v>7793399</v>
      </c>
      <c r="V31" s="914"/>
      <c r="W31" s="915"/>
      <c r="X31" s="915"/>
      <c r="Y31" s="915"/>
      <c r="Z31" s="915"/>
      <c r="AA31" s="915"/>
      <c r="AB31" s="915"/>
      <c r="AC31" s="1185"/>
      <c r="AD31" s="914"/>
      <c r="AE31" s="139"/>
      <c r="AF31" s="139"/>
      <c r="AG31" s="139"/>
      <c r="AH31" s="139"/>
      <c r="AI31" s="139"/>
      <c r="AJ31" s="139"/>
    </row>
    <row r="32" spans="1:36" s="134" customFormat="1" ht="33" customHeight="1" thickBot="1">
      <c r="A32" s="171" t="s">
        <v>94</v>
      </c>
      <c r="B32" s="172" t="s">
        <v>187</v>
      </c>
      <c r="C32" s="172"/>
      <c r="D32" s="172"/>
      <c r="E32" s="173"/>
      <c r="F32" s="906"/>
      <c r="G32" s="916"/>
      <c r="H32" s="916"/>
      <c r="I32" s="916"/>
      <c r="J32" s="916"/>
      <c r="K32" s="916"/>
      <c r="L32" s="916"/>
      <c r="M32" s="1184"/>
      <c r="N32" s="906"/>
      <c r="O32" s="916"/>
      <c r="P32" s="916"/>
      <c r="Q32" s="916"/>
      <c r="R32" s="916"/>
      <c r="S32" s="916"/>
      <c r="T32" s="916">
        <f t="shared" si="2"/>
        <v>0</v>
      </c>
      <c r="U32" s="1184">
        <f t="shared" si="2"/>
        <v>0</v>
      </c>
      <c r="V32" s="906"/>
      <c r="W32" s="916"/>
      <c r="X32" s="916"/>
      <c r="Y32" s="916"/>
      <c r="Z32" s="916"/>
      <c r="AA32" s="916"/>
      <c r="AB32" s="916"/>
      <c r="AC32" s="1184"/>
      <c r="AD32" s="906"/>
      <c r="AE32" s="174"/>
      <c r="AF32" s="174"/>
      <c r="AG32" s="174"/>
      <c r="AH32" s="174"/>
      <c r="AI32" s="174"/>
      <c r="AJ32" s="174"/>
    </row>
    <row r="33" spans="1:36" s="134" customFormat="1" ht="33" customHeight="1" thickBot="1">
      <c r="A33" s="67" t="s">
        <v>107</v>
      </c>
      <c r="B33" s="1469" t="s">
        <v>188</v>
      </c>
      <c r="C33" s="1469"/>
      <c r="D33" s="1469"/>
      <c r="E33" s="105"/>
      <c r="F33" s="906">
        <f>F9+F20+F28</f>
        <v>83909441</v>
      </c>
      <c r="G33" s="916">
        <f aca="true" t="shared" si="8" ref="G33:V33">G9+G20+G28</f>
        <v>0</v>
      </c>
      <c r="H33" s="916">
        <f t="shared" si="8"/>
        <v>0</v>
      </c>
      <c r="I33" s="916">
        <f t="shared" si="8"/>
        <v>0</v>
      </c>
      <c r="J33" s="916">
        <f t="shared" si="8"/>
        <v>0</v>
      </c>
      <c r="K33" s="916">
        <f t="shared" si="8"/>
        <v>0</v>
      </c>
      <c r="L33" s="916">
        <f>L9+L20+L28</f>
        <v>85364170</v>
      </c>
      <c r="M33" s="1184">
        <f>M9+M20+M28</f>
        <v>88478990</v>
      </c>
      <c r="N33" s="906">
        <f t="shared" si="8"/>
        <v>77053152</v>
      </c>
      <c r="O33" s="916">
        <f t="shared" si="8"/>
        <v>0</v>
      </c>
      <c r="P33" s="916">
        <f t="shared" si="8"/>
        <v>0</v>
      </c>
      <c r="Q33" s="916">
        <f t="shared" si="8"/>
        <v>0</v>
      </c>
      <c r="R33" s="916">
        <f t="shared" si="8"/>
        <v>0</v>
      </c>
      <c r="S33" s="916">
        <f t="shared" si="8"/>
        <v>0</v>
      </c>
      <c r="T33" s="916">
        <f t="shared" si="2"/>
        <v>78355736</v>
      </c>
      <c r="U33" s="1184">
        <f t="shared" si="2"/>
        <v>81238556</v>
      </c>
      <c r="V33" s="906">
        <f t="shared" si="8"/>
        <v>6856289</v>
      </c>
      <c r="W33" s="916"/>
      <c r="X33" s="916"/>
      <c r="Y33" s="916"/>
      <c r="Z33" s="916"/>
      <c r="AA33" s="916"/>
      <c r="AB33" s="916">
        <f>AB9+AB20</f>
        <v>7008434</v>
      </c>
      <c r="AC33" s="1184">
        <f>AC9+AC20</f>
        <v>7240434</v>
      </c>
      <c r="AD33" s="906"/>
      <c r="AE33" s="175" t="e">
        <f aca="true" t="shared" si="9" ref="AE33:AJ33">AE9+AE20+AE28+AE32</f>
        <v>#REF!</v>
      </c>
      <c r="AF33" s="175" t="e">
        <f t="shared" si="9"/>
        <v>#REF!</v>
      </c>
      <c r="AG33" s="175" t="e">
        <f t="shared" si="9"/>
        <v>#REF!</v>
      </c>
      <c r="AH33" s="175" t="e">
        <f t="shared" si="9"/>
        <v>#REF!</v>
      </c>
      <c r="AI33" s="175" t="e">
        <f t="shared" si="9"/>
        <v>#REF!</v>
      </c>
      <c r="AJ33" s="175" t="e">
        <f t="shared" si="9"/>
        <v>#REF!</v>
      </c>
    </row>
    <row r="34" spans="1:36" s="134" customFormat="1" ht="33" customHeight="1" thickBot="1">
      <c r="A34" s="176" t="s">
        <v>115</v>
      </c>
      <c r="B34" s="1456" t="s">
        <v>189</v>
      </c>
      <c r="C34" s="1456"/>
      <c r="D34" s="1456"/>
      <c r="E34" s="177" t="s">
        <v>190</v>
      </c>
      <c r="F34" s="883">
        <f>F35+F36</f>
        <v>619055</v>
      </c>
      <c r="G34" s="886">
        <f aca="true" t="shared" si="10" ref="G34:V34">G35+G36</f>
        <v>0</v>
      </c>
      <c r="H34" s="886">
        <f t="shared" si="10"/>
        <v>0</v>
      </c>
      <c r="I34" s="886">
        <f t="shared" si="10"/>
        <v>0</v>
      </c>
      <c r="J34" s="886">
        <f t="shared" si="10"/>
        <v>0</v>
      </c>
      <c r="K34" s="886">
        <f t="shared" si="10"/>
        <v>0</v>
      </c>
      <c r="L34" s="886">
        <v>619055</v>
      </c>
      <c r="M34" s="1188">
        <v>619055</v>
      </c>
      <c r="N34" s="883">
        <f t="shared" si="10"/>
        <v>619055</v>
      </c>
      <c r="O34" s="886">
        <f t="shared" si="10"/>
        <v>0</v>
      </c>
      <c r="P34" s="886">
        <f t="shared" si="10"/>
        <v>0</v>
      </c>
      <c r="Q34" s="886">
        <f t="shared" si="10"/>
        <v>0</v>
      </c>
      <c r="R34" s="886">
        <f t="shared" si="10"/>
        <v>0</v>
      </c>
      <c r="S34" s="886">
        <f t="shared" si="10"/>
        <v>0</v>
      </c>
      <c r="T34" s="916">
        <f t="shared" si="2"/>
        <v>619055</v>
      </c>
      <c r="U34" s="1184">
        <f t="shared" si="2"/>
        <v>619055</v>
      </c>
      <c r="V34" s="883">
        <f t="shared" si="10"/>
        <v>0</v>
      </c>
      <c r="W34" s="886"/>
      <c r="X34" s="886"/>
      <c r="Y34" s="886"/>
      <c r="Z34" s="886"/>
      <c r="AA34" s="886"/>
      <c r="AB34" s="886"/>
      <c r="AC34" s="1188"/>
      <c r="AD34" s="883"/>
      <c r="AE34" s="71"/>
      <c r="AF34" s="71"/>
      <c r="AG34" s="71"/>
      <c r="AH34" s="71"/>
      <c r="AI34" s="71"/>
      <c r="AJ34" s="71"/>
    </row>
    <row r="35" spans="1:36" s="140" customFormat="1" ht="33" customHeight="1">
      <c r="A35" s="178"/>
      <c r="B35" s="136" t="s">
        <v>118</v>
      </c>
      <c r="C35" s="1421" t="s">
        <v>191</v>
      </c>
      <c r="D35" s="1421"/>
      <c r="E35" s="59"/>
      <c r="F35" s="914"/>
      <c r="G35" s="915"/>
      <c r="H35" s="915"/>
      <c r="I35" s="915"/>
      <c r="J35" s="915"/>
      <c r="K35" s="915"/>
      <c r="L35" s="915"/>
      <c r="M35" s="1185"/>
      <c r="N35" s="914"/>
      <c r="O35" s="915"/>
      <c r="P35" s="915"/>
      <c r="Q35" s="915"/>
      <c r="R35" s="915"/>
      <c r="S35" s="915"/>
      <c r="T35" s="1191">
        <f t="shared" si="2"/>
        <v>0</v>
      </c>
      <c r="U35" s="1192">
        <f t="shared" si="2"/>
        <v>0</v>
      </c>
      <c r="V35" s="914"/>
      <c r="W35" s="915"/>
      <c r="X35" s="915"/>
      <c r="Y35" s="915"/>
      <c r="Z35" s="915"/>
      <c r="AA35" s="915"/>
      <c r="AB35" s="915"/>
      <c r="AC35" s="1185"/>
      <c r="AD35" s="914"/>
      <c r="AE35" s="139"/>
      <c r="AF35" s="139"/>
      <c r="AG35" s="139"/>
      <c r="AH35" s="139"/>
      <c r="AI35" s="139"/>
      <c r="AJ35" s="139"/>
    </row>
    <row r="36" spans="1:36" s="140" customFormat="1" ht="33" customHeight="1" thickBot="1">
      <c r="A36" s="151"/>
      <c r="B36" s="152" t="s">
        <v>121</v>
      </c>
      <c r="C36" s="1463" t="s">
        <v>482</v>
      </c>
      <c r="D36" s="1463"/>
      <c r="E36" s="179"/>
      <c r="F36" s="917">
        <v>619055</v>
      </c>
      <c r="G36" s="918"/>
      <c r="H36" s="918"/>
      <c r="I36" s="918"/>
      <c r="J36" s="918"/>
      <c r="K36" s="918"/>
      <c r="L36" s="918">
        <v>619055</v>
      </c>
      <c r="M36" s="1189">
        <f>'4.sz.m.ÖNK kiadás'!M34</f>
        <v>619055</v>
      </c>
      <c r="N36" s="917">
        <v>619055</v>
      </c>
      <c r="O36" s="918"/>
      <c r="P36" s="918"/>
      <c r="Q36" s="918"/>
      <c r="R36" s="918"/>
      <c r="S36" s="918"/>
      <c r="T36" s="1194">
        <f t="shared" si="2"/>
        <v>619055</v>
      </c>
      <c r="U36" s="1195">
        <f t="shared" si="2"/>
        <v>619055</v>
      </c>
      <c r="V36" s="917"/>
      <c r="W36" s="918"/>
      <c r="X36" s="918"/>
      <c r="Y36" s="918"/>
      <c r="Z36" s="918"/>
      <c r="AA36" s="918"/>
      <c r="AB36" s="918"/>
      <c r="AC36" s="1189"/>
      <c r="AD36" s="917"/>
      <c r="AE36" s="180"/>
      <c r="AF36" s="180"/>
      <c r="AG36" s="180"/>
      <c r="AH36" s="180"/>
      <c r="AI36" s="180"/>
      <c r="AJ36" s="180"/>
    </row>
    <row r="37" spans="1:36" s="140" customFormat="1" ht="33" customHeight="1" hidden="1">
      <c r="A37" s="181" t="s">
        <v>124</v>
      </c>
      <c r="B37" s="1458"/>
      <c r="C37" s="1458"/>
      <c r="D37" s="1458"/>
      <c r="E37" s="183"/>
      <c r="F37" s="919"/>
      <c r="G37" s="920"/>
      <c r="H37" s="920"/>
      <c r="I37" s="920"/>
      <c r="J37" s="920"/>
      <c r="K37" s="920"/>
      <c r="L37" s="920"/>
      <c r="M37" s="1190"/>
      <c r="N37" s="919"/>
      <c r="O37" s="920"/>
      <c r="P37" s="920"/>
      <c r="Q37" s="920"/>
      <c r="R37" s="920"/>
      <c r="S37" s="920"/>
      <c r="T37" s="916">
        <f t="shared" si="2"/>
        <v>0</v>
      </c>
      <c r="U37" s="1184">
        <f t="shared" si="2"/>
        <v>0</v>
      </c>
      <c r="V37" s="919"/>
      <c r="W37" s="920"/>
      <c r="X37" s="920"/>
      <c r="Y37" s="920"/>
      <c r="Z37" s="920"/>
      <c r="AA37" s="920"/>
      <c r="AB37" s="920"/>
      <c r="AC37" s="1190"/>
      <c r="AD37" s="919"/>
      <c r="AE37" s="184" t="e">
        <f aca="true" t="shared" si="11" ref="AE37:AJ37">AE33+AE34</f>
        <v>#REF!</v>
      </c>
      <c r="AF37" s="184" t="e">
        <f t="shared" si="11"/>
        <v>#REF!</v>
      </c>
      <c r="AG37" s="184" t="e">
        <f t="shared" si="11"/>
        <v>#REF!</v>
      </c>
      <c r="AH37" s="184" t="e">
        <f t="shared" si="11"/>
        <v>#REF!</v>
      </c>
      <c r="AI37" s="184" t="e">
        <f t="shared" si="11"/>
        <v>#REF!</v>
      </c>
      <c r="AJ37" s="184" t="e">
        <f t="shared" si="11"/>
        <v>#REF!</v>
      </c>
    </row>
    <row r="38" spans="1:36" s="140" customFormat="1" ht="33" customHeight="1" hidden="1">
      <c r="A38" s="1459" t="s">
        <v>192</v>
      </c>
      <c r="B38" s="1459"/>
      <c r="C38" s="1459"/>
      <c r="D38" s="1459"/>
      <c r="E38" s="185"/>
      <c r="F38" s="921"/>
      <c r="G38" s="922"/>
      <c r="H38" s="922"/>
      <c r="I38" s="922"/>
      <c r="J38" s="918"/>
      <c r="K38" s="918"/>
      <c r="L38" s="918"/>
      <c r="M38" s="1189"/>
      <c r="N38" s="921"/>
      <c r="O38" s="922"/>
      <c r="P38" s="922"/>
      <c r="Q38" s="922"/>
      <c r="R38" s="918"/>
      <c r="S38" s="918"/>
      <c r="T38" s="916">
        <f t="shared" si="2"/>
        <v>0</v>
      </c>
      <c r="U38" s="1184">
        <f t="shared" si="2"/>
        <v>0</v>
      </c>
      <c r="V38" s="921"/>
      <c r="W38" s="922"/>
      <c r="X38" s="922"/>
      <c r="Y38" s="922"/>
      <c r="Z38" s="918"/>
      <c r="AA38" s="918"/>
      <c r="AB38" s="918"/>
      <c r="AC38" s="1189"/>
      <c r="AD38" s="921"/>
      <c r="AE38" s="186"/>
      <c r="AF38" s="186"/>
      <c r="AG38" s="186"/>
      <c r="AH38" s="180"/>
      <c r="AI38" s="180"/>
      <c r="AJ38" s="180"/>
    </row>
    <row r="39" spans="1:36" s="140" customFormat="1" ht="43.5" customHeight="1" thickBot="1">
      <c r="A39" s="1424" t="s">
        <v>193</v>
      </c>
      <c r="B39" s="1424"/>
      <c r="C39" s="1424"/>
      <c r="D39" s="1424"/>
      <c r="E39" s="105"/>
      <c r="F39" s="913">
        <f>F33+F34</f>
        <v>84528496</v>
      </c>
      <c r="G39" s="1186">
        <f aca="true" t="shared" si="12" ref="G39:V39">G33+G34</f>
        <v>0</v>
      </c>
      <c r="H39" s="1186">
        <f t="shared" si="12"/>
        <v>0</v>
      </c>
      <c r="I39" s="1186">
        <f t="shared" si="12"/>
        <v>0</v>
      </c>
      <c r="J39" s="1186">
        <f t="shared" si="12"/>
        <v>0</v>
      </c>
      <c r="K39" s="1186">
        <f t="shared" si="12"/>
        <v>0</v>
      </c>
      <c r="L39" s="1186">
        <f>L33+L34</f>
        <v>85983225</v>
      </c>
      <c r="M39" s="1187">
        <f>M33+M34</f>
        <v>89098045</v>
      </c>
      <c r="N39" s="913">
        <f t="shared" si="12"/>
        <v>77672207</v>
      </c>
      <c r="O39" s="1186">
        <f t="shared" si="12"/>
        <v>0</v>
      </c>
      <c r="P39" s="1186">
        <f t="shared" si="12"/>
        <v>0</v>
      </c>
      <c r="Q39" s="1186">
        <f t="shared" si="12"/>
        <v>0</v>
      </c>
      <c r="R39" s="1186">
        <f t="shared" si="12"/>
        <v>0</v>
      </c>
      <c r="S39" s="1186">
        <f t="shared" si="12"/>
        <v>0</v>
      </c>
      <c r="T39" s="916">
        <f t="shared" si="2"/>
        <v>78974791</v>
      </c>
      <c r="U39" s="1184">
        <f t="shared" si="2"/>
        <v>81857611</v>
      </c>
      <c r="V39" s="913">
        <f t="shared" si="12"/>
        <v>6856289</v>
      </c>
      <c r="W39" s="1186"/>
      <c r="X39" s="1186"/>
      <c r="Y39" s="1186"/>
      <c r="Z39" s="1186"/>
      <c r="AA39" s="1186"/>
      <c r="AB39" s="1186">
        <f>AB33+AB34</f>
        <v>7008434</v>
      </c>
      <c r="AC39" s="1187">
        <f>AC33+AC34</f>
        <v>7240434</v>
      </c>
      <c r="AD39" s="913"/>
      <c r="AE39" s="155" t="e">
        <f aca="true" t="shared" si="13" ref="AE39:AJ39">AE37+AE38</f>
        <v>#REF!</v>
      </c>
      <c r="AF39" s="155" t="e">
        <f t="shared" si="13"/>
        <v>#REF!</v>
      </c>
      <c r="AG39" s="155" t="e">
        <f t="shared" si="13"/>
        <v>#REF!</v>
      </c>
      <c r="AH39" s="155" t="e">
        <f t="shared" si="13"/>
        <v>#REF!</v>
      </c>
      <c r="AI39" s="155" t="e">
        <f t="shared" si="13"/>
        <v>#REF!</v>
      </c>
      <c r="AJ39" s="155" t="e">
        <f t="shared" si="13"/>
        <v>#REF!</v>
      </c>
    </row>
    <row r="40" spans="1:35" s="140" customFormat="1" ht="19.5" customHeight="1">
      <c r="A40" s="187"/>
      <c r="B40" s="125"/>
      <c r="C40" s="187"/>
      <c r="D40" s="187"/>
      <c r="E40" s="187"/>
      <c r="F40" s="188"/>
      <c r="G40" s="188"/>
      <c r="H40" s="188"/>
      <c r="I40" s="188"/>
      <c r="J40" s="188"/>
      <c r="K40" s="188"/>
      <c r="L40" s="188"/>
      <c r="M40" s="188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90"/>
      <c r="AE40" s="190"/>
      <c r="AF40" s="190"/>
      <c r="AG40" s="190"/>
      <c r="AH40" s="190"/>
      <c r="AI40" s="190"/>
    </row>
    <row r="41" spans="1:35" s="140" customFormat="1" ht="19.5" customHeight="1">
      <c r="A41" s="187"/>
      <c r="B41" s="125"/>
      <c r="C41" s="187"/>
      <c r="D41" s="187"/>
      <c r="E41" s="187"/>
      <c r="F41" s="188"/>
      <c r="G41" s="188"/>
      <c r="H41" s="188"/>
      <c r="I41" s="188"/>
      <c r="J41" s="188"/>
      <c r="K41" s="188"/>
      <c r="L41" s="188"/>
      <c r="M41" s="18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91"/>
      <c r="AE41" s="191"/>
      <c r="AF41" s="191"/>
      <c r="AG41" s="191"/>
      <c r="AH41" s="191"/>
      <c r="AI41" s="191"/>
    </row>
    <row r="42" spans="1:35" s="140" customFormat="1" ht="19.5" customHeight="1">
      <c r="A42" s="187"/>
      <c r="B42" s="125"/>
      <c r="C42" s="1460" t="s">
        <v>194</v>
      </c>
      <c r="D42" s="1460"/>
      <c r="E42" s="1460"/>
      <c r="F42" s="1460"/>
      <c r="G42" s="1460"/>
      <c r="H42" s="1460"/>
      <c r="I42" s="1460"/>
      <c r="J42" s="1460"/>
      <c r="K42" s="1460"/>
      <c r="L42" s="1460"/>
      <c r="M42" s="1460"/>
      <c r="N42" s="1460"/>
      <c r="O42" s="1460"/>
      <c r="P42" s="1460"/>
      <c r="Q42" s="1460"/>
      <c r="R42" s="1460"/>
      <c r="S42" s="1460"/>
      <c r="T42" s="1460"/>
      <c r="U42" s="1460"/>
      <c r="V42" s="1460"/>
      <c r="W42" s="192"/>
      <c r="X42" s="192"/>
      <c r="Y42" s="192"/>
      <c r="Z42" s="192"/>
      <c r="AA42" s="192"/>
      <c r="AB42" s="192"/>
      <c r="AC42" s="192"/>
      <c r="AD42" s="193"/>
      <c r="AE42" s="193"/>
      <c r="AF42" s="193"/>
      <c r="AG42" s="193"/>
      <c r="AH42" s="193"/>
      <c r="AI42" s="194"/>
    </row>
    <row r="43" spans="1:35" s="140" customFormat="1" ht="19.5" customHeight="1" thickBot="1">
      <c r="A43" s="195" t="s">
        <v>195</v>
      </c>
      <c r="B43" s="195"/>
      <c r="F43" s="196"/>
      <c r="G43" s="196"/>
      <c r="H43" s="196"/>
      <c r="I43" s="196"/>
      <c r="J43" s="196"/>
      <c r="K43" s="196"/>
      <c r="L43" s="196"/>
      <c r="M43" s="196"/>
      <c r="N43" s="197"/>
      <c r="O43" s="197"/>
      <c r="P43" s="197"/>
      <c r="Q43" s="197"/>
      <c r="R43" s="197"/>
      <c r="S43" s="197"/>
      <c r="T43" s="197"/>
      <c r="U43" s="197"/>
      <c r="V43" s="198">
        <v>0</v>
      </c>
      <c r="W43" s="198"/>
      <c r="X43" s="198"/>
      <c r="Y43" s="198"/>
      <c r="Z43" s="198"/>
      <c r="AA43" s="198"/>
      <c r="AB43" s="198"/>
      <c r="AC43" s="198"/>
      <c r="AD43" s="199"/>
      <c r="AE43" s="199"/>
      <c r="AF43" s="199"/>
      <c r="AG43" s="199"/>
      <c r="AH43" s="199"/>
      <c r="AI43" s="200"/>
    </row>
    <row r="44" spans="1:36" ht="52.5" customHeight="1" thickBot="1">
      <c r="A44" s="201">
        <v>1</v>
      </c>
      <c r="B44" s="1461" t="s">
        <v>196</v>
      </c>
      <c r="C44" s="1461"/>
      <c r="D44" s="1461"/>
      <c r="E44" s="928"/>
      <c r="F44" s="929">
        <v>-20103766</v>
      </c>
      <c r="G44" s="929">
        <f>'1.sz.m-önk.össze.bev'!G58-'1 .sz.m.önk.össz.kiad.'!G33</f>
        <v>0</v>
      </c>
      <c r="H44" s="929">
        <f>'1.sz.m-önk.össze.bev'!H58-'1 .sz.m.önk.össz.kiad.'!H33</f>
        <v>0</v>
      </c>
      <c r="I44" s="929">
        <f>'1.sz.m-önk.össze.bev'!I58-'1 .sz.m.önk.össz.kiad.'!I33</f>
        <v>0</v>
      </c>
      <c r="J44" s="929">
        <f>'1.sz.m-önk.össze.bev'!J58-'1 .sz.m.önk.össz.kiad.'!J33</f>
        <v>0</v>
      </c>
      <c r="K44" s="929">
        <f>'1.sz.m-önk.össze.bev'!K58-'1 .sz.m.önk.össz.kiad.'!K33</f>
        <v>0</v>
      </c>
      <c r="L44" s="929">
        <f>'1.sz.m-önk.össze.bev'!L58-'1 .sz.m.önk.össz.kiad.'!L33</f>
        <v>-20103766</v>
      </c>
      <c r="M44" s="929">
        <f>'1.sz.m-önk.össze.bev'!M58-'1 .sz.m.önk.össz.kiad.'!M33</f>
        <v>-20103766</v>
      </c>
      <c r="N44" s="929">
        <f>'1.sz.m-önk.össze.bev'!N58-'1 .sz.m.önk.össz.kiad.'!N33</f>
        <v>-20103766</v>
      </c>
      <c r="O44" s="929">
        <f>'1.sz.m-önk.össze.bev'!O58-'1 .sz.m.önk.össz.kiad.'!O33</f>
        <v>0</v>
      </c>
      <c r="P44" s="929">
        <f>'1.sz.m-önk.össze.bev'!P58-'1 .sz.m.önk.össz.kiad.'!P33</f>
        <v>0</v>
      </c>
      <c r="Q44" s="929">
        <f>'1.sz.m-önk.össze.bev'!Q58-'1 .sz.m.önk.össz.kiad.'!Q33</f>
        <v>0</v>
      </c>
      <c r="R44" s="929">
        <f>'1.sz.m-önk.össze.bev'!R58-'1 .sz.m.önk.össz.kiad.'!R33</f>
        <v>0</v>
      </c>
      <c r="S44" s="929">
        <f>'1.sz.m-önk.össze.bev'!S58-'1 .sz.m.önk.össz.kiad.'!S33</f>
        <v>0</v>
      </c>
      <c r="T44" s="929">
        <f>'1.sz.m-önk.össze.bev'!T58-'1 .sz.m.önk.össz.kiad.'!T33</f>
        <v>-20103766</v>
      </c>
      <c r="U44" s="929">
        <f>'1.sz.m-önk.össze.bev'!U58-'1 .sz.m.önk.össz.kiad.'!U33</f>
        <v>-20103766</v>
      </c>
      <c r="V44" s="929">
        <f>'1.sz.m-önk.össze.bev'!V58-'1 .sz.m.önk.össz.kiad.'!V33</f>
        <v>0</v>
      </c>
      <c r="W44" s="929" t="e">
        <f>'1.sz.m-önk.össze.bev'!W58-'1 .sz.m.önk.össz.kiad.'!W33</f>
        <v>#REF!</v>
      </c>
      <c r="X44" s="929" t="e">
        <f>'1.sz.m-önk.össze.bev'!X58-'1 .sz.m.önk.össz.kiad.'!X33</f>
        <v>#REF!</v>
      </c>
      <c r="Y44" s="929" t="e">
        <f>'1.sz.m-önk.össze.bev'!Y58-'1 .sz.m.önk.össz.kiad.'!Y33</f>
        <v>#REF!</v>
      </c>
      <c r="Z44" s="929" t="e">
        <f>'1.sz.m-önk.össze.bev'!Z58-'1 .sz.m.önk.össz.kiad.'!Z33</f>
        <v>#REF!</v>
      </c>
      <c r="AA44" s="929" t="e">
        <f>'1.sz.m-önk.össze.bev'!AA58-'1 .sz.m.önk.össz.kiad.'!AA33</f>
        <v>#REF!</v>
      </c>
      <c r="AB44" s="929">
        <f>'1.sz.m-önk.össze.bev'!AB58-'1 .sz.m.önk.össz.kiad.'!AB33</f>
        <v>0</v>
      </c>
      <c r="AC44" s="929"/>
      <c r="AD44" s="929">
        <f>'1.sz.m-önk.össze.bev'!AD58-'1 .sz.m.önk.össz.kiad.'!AD33</f>
        <v>0</v>
      </c>
      <c r="AE44" s="202" t="e">
        <f>#REF!-'1 .sz.m.önk.össz.kiad.'!AE33</f>
        <v>#REF!</v>
      </c>
      <c r="AF44" s="202" t="e">
        <f>#REF!-'1 .sz.m.önk.össz.kiad.'!AF33</f>
        <v>#REF!</v>
      </c>
      <c r="AG44" s="202" t="e">
        <f>#REF!-'1 .sz.m.önk.össz.kiad.'!AG33</f>
        <v>#REF!</v>
      </c>
      <c r="AH44" s="202" t="e">
        <f>#REF!-'1 .sz.m.önk.össz.kiad.'!AH33</f>
        <v>#REF!</v>
      </c>
      <c r="AI44" s="202" t="e">
        <f>#REF!-'1 .sz.m.önk.össz.kiad.'!AI33</f>
        <v>#REF!</v>
      </c>
      <c r="AJ44" s="202" t="e">
        <f>#REF!-'1 .sz.m.önk.össz.kiad.'!AJ33</f>
        <v>#REF!</v>
      </c>
    </row>
    <row r="45" spans="1:29" ht="18.75" customHeight="1">
      <c r="A45" s="203"/>
      <c r="B45" s="204"/>
      <c r="C45" s="930"/>
      <c r="D45" s="930"/>
      <c r="E45" s="930"/>
      <c r="F45" s="205"/>
      <c r="G45" s="205"/>
      <c r="H45" s="205"/>
      <c r="I45" s="205"/>
      <c r="J45" s="205"/>
      <c r="K45" s="205"/>
      <c r="L45" s="205"/>
      <c r="M45" s="205"/>
      <c r="N45" s="931"/>
      <c r="O45" s="931"/>
      <c r="P45" s="931"/>
      <c r="Q45" s="931"/>
      <c r="R45" s="931"/>
      <c r="S45" s="931"/>
      <c r="T45" s="931"/>
      <c r="U45" s="931"/>
      <c r="V45" s="932">
        <v>0</v>
      </c>
      <c r="W45" s="932"/>
      <c r="X45" s="932"/>
      <c r="Y45" s="932"/>
      <c r="Z45" s="932"/>
      <c r="AA45" s="932"/>
      <c r="AB45" s="932"/>
      <c r="AC45" s="932"/>
    </row>
    <row r="46" spans="1:29" ht="15.75" customHeight="1">
      <c r="A46" s="203"/>
      <c r="B46" s="204"/>
      <c r="C46" s="1450"/>
      <c r="D46" s="1450"/>
      <c r="E46" s="1450"/>
      <c r="F46" s="1450"/>
      <c r="G46" s="1450"/>
      <c r="H46" s="1450"/>
      <c r="I46" s="1450"/>
      <c r="J46" s="1450"/>
      <c r="K46" s="1450"/>
      <c r="L46" s="1450"/>
      <c r="M46" s="1450"/>
      <c r="N46" s="1450"/>
      <c r="O46" s="1450"/>
      <c r="P46" s="1450"/>
      <c r="Q46" s="1450"/>
      <c r="R46" s="1450"/>
      <c r="S46" s="1450"/>
      <c r="T46" s="1450"/>
      <c r="U46" s="1450"/>
      <c r="V46" s="1450"/>
      <c r="W46" s="206"/>
      <c r="X46" s="206"/>
      <c r="Y46" s="206"/>
      <c r="Z46" s="206"/>
      <c r="AA46" s="206"/>
      <c r="AB46" s="206"/>
      <c r="AC46" s="206"/>
    </row>
    <row r="47" spans="1:29" ht="16.5" customHeight="1" thickBot="1">
      <c r="A47" s="195" t="s">
        <v>197</v>
      </c>
      <c r="B47" s="204"/>
      <c r="C47" s="1462"/>
      <c r="D47" s="1462"/>
      <c r="E47" s="933"/>
      <c r="F47" s="930"/>
      <c r="G47" s="930"/>
      <c r="H47" s="930"/>
      <c r="I47" s="930"/>
      <c r="J47" s="930"/>
      <c r="K47" s="930"/>
      <c r="L47" s="930"/>
      <c r="M47" s="930"/>
      <c r="N47" s="931"/>
      <c r="O47" s="931"/>
      <c r="P47" s="931"/>
      <c r="Q47" s="931"/>
      <c r="R47" s="931"/>
      <c r="S47" s="931"/>
      <c r="T47" s="931"/>
      <c r="U47" s="931"/>
      <c r="V47" s="932"/>
      <c r="W47" s="932"/>
      <c r="X47" s="932"/>
      <c r="Y47" s="932"/>
      <c r="Z47" s="932"/>
      <c r="AA47" s="932"/>
      <c r="AB47" s="932"/>
      <c r="AC47" s="932"/>
    </row>
    <row r="48" spans="1:36" ht="27.75" customHeight="1">
      <c r="A48" s="1040" t="s">
        <v>15</v>
      </c>
      <c r="B48" s="1441" t="s">
        <v>552</v>
      </c>
      <c r="C48" s="1442"/>
      <c r="D48" s="1443"/>
      <c r="E48" s="934"/>
      <c r="F48" s="1051">
        <f>'2.sz.m.összehasonlító'!B15</f>
        <v>15508821</v>
      </c>
      <c r="G48" s="1051" t="str">
        <f>'2.sz.m.összehasonlító'!J15</f>
        <v>Működési hitelek törlesztése</v>
      </c>
      <c r="H48" s="1051">
        <f>'2.sz.m.összehasonlító'!K15</f>
        <v>0</v>
      </c>
      <c r="I48" s="1051">
        <f>'2.sz.m.összehasonlító'!L15</f>
        <v>0</v>
      </c>
      <c r="J48" s="1051">
        <f>'2.sz.m.összehasonlító'!M15</f>
        <v>0</v>
      </c>
      <c r="K48" s="1051">
        <f>'2.sz.m.összehasonlító'!N15</f>
        <v>0</v>
      </c>
      <c r="L48" s="1051">
        <f>'2.sz.m.összehasonlító'!H15</f>
        <v>15508821</v>
      </c>
      <c r="M48" s="1051">
        <f>'2.sz.m.összehasonlító'!I15</f>
        <v>15292921</v>
      </c>
      <c r="N48" s="1051">
        <f>'2.sz.m.összehasonlító'!B15</f>
        <v>15508821</v>
      </c>
      <c r="O48" s="1051">
        <f>'2.sz.m.összehasonlító'!Q15</f>
        <v>0</v>
      </c>
      <c r="P48" s="1051">
        <f>'2.sz.m.összehasonlító'!R15</f>
        <v>0</v>
      </c>
      <c r="Q48" s="1051">
        <f>'2.sz.m.összehasonlító'!S15</f>
        <v>0</v>
      </c>
      <c r="R48" s="1051">
        <f>'2.sz.m.összehasonlító'!T15</f>
        <v>0</v>
      </c>
      <c r="S48" s="1051">
        <f>'2.sz.m.összehasonlító'!U15</f>
        <v>0</v>
      </c>
      <c r="T48" s="1051">
        <f>'2.sz.m.összehasonlító'!H15</f>
        <v>15508821</v>
      </c>
      <c r="U48" s="1051">
        <f>'2.sz.m.összehasonlító'!I15</f>
        <v>15292921</v>
      </c>
      <c r="V48" s="935"/>
      <c r="W48" s="935"/>
      <c r="X48" s="935"/>
      <c r="Y48" s="935"/>
      <c r="Z48" s="935"/>
      <c r="AA48" s="935"/>
      <c r="AB48" s="935"/>
      <c r="AC48" s="935"/>
      <c r="AD48" s="935"/>
      <c r="AE48" s="207" t="e">
        <f>#REF!</f>
        <v>#REF!</v>
      </c>
      <c r="AF48" s="207" t="e">
        <f>#REF!</f>
        <v>#REF!</v>
      </c>
      <c r="AG48" s="207" t="e">
        <f>#REF!</f>
        <v>#REF!</v>
      </c>
      <c r="AH48" s="207" t="e">
        <f>#REF!</f>
        <v>#REF!</v>
      </c>
      <c r="AI48" s="207" t="e">
        <f>#REF!</f>
        <v>#REF!</v>
      </c>
      <c r="AJ48" s="207" t="e">
        <f>#REF!</f>
        <v>#REF!</v>
      </c>
    </row>
    <row r="49" spans="1:36" ht="27.75" customHeight="1">
      <c r="A49" s="1041" t="s">
        <v>170</v>
      </c>
      <c r="B49" s="1444" t="s">
        <v>553</v>
      </c>
      <c r="C49" s="1445"/>
      <c r="D49" s="1446"/>
      <c r="E49" s="936"/>
      <c r="F49" s="1052">
        <f>'2.sz.m.összehasonlító'!B28</f>
        <v>5214000</v>
      </c>
      <c r="G49" s="1052"/>
      <c r="H49" s="1052"/>
      <c r="I49" s="1052"/>
      <c r="J49" s="1052"/>
      <c r="K49" s="1052"/>
      <c r="L49" s="1052">
        <f>'2.sz.m.összehasonlító'!H28</f>
        <v>5214000</v>
      </c>
      <c r="M49" s="1052">
        <f>'2.sz.m.összehasonlító'!I28</f>
        <v>5429900</v>
      </c>
      <c r="N49" s="1052">
        <f>'2.sz.m.összehasonlító'!B28</f>
        <v>5214000</v>
      </c>
      <c r="O49" s="1052"/>
      <c r="P49" s="1052"/>
      <c r="Q49" s="1052"/>
      <c r="R49" s="1052"/>
      <c r="S49" s="1052"/>
      <c r="T49" s="1052">
        <f>'2.sz.m.összehasonlító'!H28</f>
        <v>5214000</v>
      </c>
      <c r="U49" s="1052">
        <f>'2.sz.m.összehasonlító'!I28</f>
        <v>5429900</v>
      </c>
      <c r="V49" s="937"/>
      <c r="W49" s="937"/>
      <c r="X49" s="937"/>
      <c r="Y49" s="937"/>
      <c r="Z49" s="937"/>
      <c r="AA49" s="937"/>
      <c r="AB49" s="937"/>
      <c r="AC49" s="937"/>
      <c r="AD49" s="937"/>
      <c r="AE49" s="208"/>
      <c r="AF49" s="208"/>
      <c r="AG49" s="208"/>
      <c r="AH49" s="208"/>
      <c r="AI49" s="208"/>
      <c r="AJ49" s="208"/>
    </row>
    <row r="50" spans="1:36" ht="27.75" customHeight="1" thickBot="1">
      <c r="A50" s="1042" t="s">
        <v>75</v>
      </c>
      <c r="B50" s="1453" t="s">
        <v>554</v>
      </c>
      <c r="C50" s="1454"/>
      <c r="D50" s="1455"/>
      <c r="E50" s="938"/>
      <c r="F50" s="1050">
        <f>F48+F49</f>
        <v>20722821</v>
      </c>
      <c r="G50" s="1050" t="e">
        <f aca="true" t="shared" si="14" ref="G50:T50">G48+G49</f>
        <v>#VALUE!</v>
      </c>
      <c r="H50" s="1050">
        <f t="shared" si="14"/>
        <v>0</v>
      </c>
      <c r="I50" s="1050">
        <f t="shared" si="14"/>
        <v>0</v>
      </c>
      <c r="J50" s="1050">
        <f t="shared" si="14"/>
        <v>0</v>
      </c>
      <c r="K50" s="1050">
        <f t="shared" si="14"/>
        <v>0</v>
      </c>
      <c r="L50" s="1050">
        <f t="shared" si="14"/>
        <v>20722821</v>
      </c>
      <c r="M50" s="1050">
        <f>M48+M49</f>
        <v>20722821</v>
      </c>
      <c r="N50" s="1050">
        <f t="shared" si="14"/>
        <v>20722821</v>
      </c>
      <c r="O50" s="1050">
        <f t="shared" si="14"/>
        <v>0</v>
      </c>
      <c r="P50" s="1050">
        <f t="shared" si="14"/>
        <v>0</v>
      </c>
      <c r="Q50" s="1050">
        <f t="shared" si="14"/>
        <v>0</v>
      </c>
      <c r="R50" s="1050">
        <f t="shared" si="14"/>
        <v>0</v>
      </c>
      <c r="S50" s="1050">
        <f t="shared" si="14"/>
        <v>0</v>
      </c>
      <c r="T50" s="1050">
        <f t="shared" si="14"/>
        <v>20722821</v>
      </c>
      <c r="U50" s="1050">
        <f>U48+U49</f>
        <v>20722821</v>
      </c>
      <c r="V50" s="939"/>
      <c r="W50" s="939"/>
      <c r="X50" s="939"/>
      <c r="Y50" s="939"/>
      <c r="Z50" s="939"/>
      <c r="AA50" s="939"/>
      <c r="AB50" s="939"/>
      <c r="AC50" s="939"/>
      <c r="AD50" s="939"/>
      <c r="AE50" s="209" t="e">
        <f aca="true" t="shared" si="15" ref="AE50:AJ50">AE48+AE49</f>
        <v>#REF!</v>
      </c>
      <c r="AF50" s="209" t="e">
        <f t="shared" si="15"/>
        <v>#REF!</v>
      </c>
      <c r="AG50" s="209" t="e">
        <f t="shared" si="15"/>
        <v>#REF!</v>
      </c>
      <c r="AH50" s="209" t="e">
        <f t="shared" si="15"/>
        <v>#REF!</v>
      </c>
      <c r="AI50" s="209" t="e">
        <f t="shared" si="15"/>
        <v>#REF!</v>
      </c>
      <c r="AJ50" s="209" t="e">
        <f t="shared" si="15"/>
        <v>#REF!</v>
      </c>
    </row>
    <row r="51" spans="1:30" ht="15.75">
      <c r="A51" s="203"/>
      <c r="B51" s="204"/>
      <c r="C51" s="940"/>
      <c r="D51" s="941"/>
      <c r="E51" s="941"/>
      <c r="F51" s="942"/>
      <c r="G51" s="942"/>
      <c r="H51" s="942"/>
      <c r="I51" s="942"/>
      <c r="J51" s="942"/>
      <c r="K51" s="942"/>
      <c r="L51" s="942"/>
      <c r="M51" s="942"/>
      <c r="N51" s="931"/>
      <c r="O51" s="931"/>
      <c r="P51" s="931"/>
      <c r="Q51" s="931"/>
      <c r="R51" s="931"/>
      <c r="S51" s="931"/>
      <c r="T51" s="931"/>
      <c r="U51" s="931"/>
      <c r="V51" s="932"/>
      <c r="W51" s="932"/>
      <c r="X51" s="932"/>
      <c r="Y51" s="932"/>
      <c r="Z51" s="932"/>
      <c r="AA51" s="932"/>
      <c r="AB51" s="932"/>
      <c r="AC51" s="932"/>
      <c r="AD51" s="943"/>
    </row>
    <row r="52" spans="1:29" ht="15.75" customHeight="1">
      <c r="A52" s="203"/>
      <c r="B52" s="204"/>
      <c r="C52" s="1450"/>
      <c r="D52" s="1450"/>
      <c r="E52" s="1450"/>
      <c r="F52" s="1450"/>
      <c r="G52" s="1450"/>
      <c r="H52" s="1450"/>
      <c r="I52" s="1450"/>
      <c r="J52" s="1450"/>
      <c r="K52" s="1450"/>
      <c r="L52" s="1450"/>
      <c r="M52" s="1450"/>
      <c r="N52" s="1450"/>
      <c r="O52" s="1450"/>
      <c r="P52" s="1450"/>
      <c r="Q52" s="1450"/>
      <c r="R52" s="1450"/>
      <c r="S52" s="1450"/>
      <c r="T52" s="1450"/>
      <c r="U52" s="1450"/>
      <c r="V52" s="1450"/>
      <c r="W52" s="206"/>
      <c r="X52" s="206"/>
      <c r="Y52" s="206"/>
      <c r="Z52" s="206"/>
      <c r="AA52" s="206"/>
      <c r="AB52" s="206"/>
      <c r="AC52" s="206"/>
    </row>
    <row r="53" spans="1:29" ht="16.5" customHeight="1" thickBot="1">
      <c r="A53" s="195" t="s">
        <v>198</v>
      </c>
      <c r="B53" s="944"/>
      <c r="C53" s="1457"/>
      <c r="D53" s="1457"/>
      <c r="E53" s="933"/>
      <c r="F53" s="930"/>
      <c r="G53" s="930"/>
      <c r="H53" s="930"/>
      <c r="I53" s="930"/>
      <c r="J53" s="930"/>
      <c r="K53" s="930"/>
      <c r="L53" s="930"/>
      <c r="M53" s="930"/>
      <c r="N53" s="931"/>
      <c r="O53" s="931"/>
      <c r="P53" s="931"/>
      <c r="Q53" s="931"/>
      <c r="R53" s="931"/>
      <c r="S53" s="931"/>
      <c r="T53" s="931"/>
      <c r="U53" s="931"/>
      <c r="V53" s="932"/>
      <c r="W53" s="932"/>
      <c r="X53" s="932"/>
      <c r="Y53" s="932"/>
      <c r="Z53" s="932"/>
      <c r="AA53" s="932"/>
      <c r="AB53" s="932"/>
      <c r="AC53" s="932"/>
    </row>
    <row r="54" spans="1:36" ht="27.75" customHeight="1">
      <c r="A54" s="1040" t="s">
        <v>15</v>
      </c>
      <c r="B54" s="1441" t="s">
        <v>555</v>
      </c>
      <c r="C54" s="1442"/>
      <c r="D54" s="1443"/>
      <c r="E54" s="934"/>
      <c r="F54" s="945">
        <f>'1.sz.m-önk.össze.bev'!F61</f>
        <v>0</v>
      </c>
      <c r="G54" s="945">
        <f>'1.sz.m-önk.össze.bev'!G61</f>
        <v>0</v>
      </c>
      <c r="H54" s="945">
        <f>'1.sz.m-önk.össze.bev'!H61</f>
        <v>0</v>
      </c>
      <c r="I54" s="945">
        <f>'1.sz.m-önk.össze.bev'!I61</f>
        <v>0</v>
      </c>
      <c r="J54" s="945">
        <f>'1.sz.m-önk.össze.bev'!J61</f>
        <v>0</v>
      </c>
      <c r="K54" s="945">
        <f>'1.sz.m-önk.össze.bev'!K61</f>
        <v>0</v>
      </c>
      <c r="L54" s="945">
        <f>'1.sz.m-önk.össze.bev'!L61</f>
        <v>0</v>
      </c>
      <c r="M54" s="945">
        <f>'1.sz.m-önk.össze.bev'!M61</f>
        <v>0</v>
      </c>
      <c r="N54" s="945">
        <f>'1.sz.m-önk.össze.bev'!N61</f>
        <v>0</v>
      </c>
      <c r="O54" s="945">
        <f>'1.sz.m-önk.össze.bev'!O61</f>
        <v>0</v>
      </c>
      <c r="P54" s="945">
        <f>'1.sz.m-önk.össze.bev'!P61</f>
        <v>0</v>
      </c>
      <c r="Q54" s="945">
        <f>'1.sz.m-önk.össze.bev'!Q61</f>
        <v>0</v>
      </c>
      <c r="R54" s="945">
        <f>'1.sz.m-önk.össze.bev'!R61</f>
        <v>0</v>
      </c>
      <c r="S54" s="945">
        <f>'1.sz.m-önk.össze.bev'!S61</f>
        <v>0</v>
      </c>
      <c r="T54" s="945">
        <f>'1.sz.m-önk.össze.bev'!T61</f>
        <v>0</v>
      </c>
      <c r="U54" s="945">
        <f>'1.sz.m-önk.össze.bev'!U61</f>
        <v>0</v>
      </c>
      <c r="V54" s="945">
        <f>'1.sz.m-önk.össze.bev'!V61</f>
        <v>0</v>
      </c>
      <c r="W54" s="945">
        <f>'1.sz.m-önk.össze.bev'!W61</f>
        <v>0</v>
      </c>
      <c r="X54" s="945">
        <f>'1.sz.m-önk.össze.bev'!X61</f>
        <v>0</v>
      </c>
      <c r="Y54" s="945">
        <f>'1.sz.m-önk.össze.bev'!Y61</f>
        <v>0</v>
      </c>
      <c r="Z54" s="945">
        <f>'1.sz.m-önk.össze.bev'!Z61</f>
        <v>0</v>
      </c>
      <c r="AA54" s="945">
        <f>'1.sz.m-önk.össze.bev'!AA61</f>
        <v>0</v>
      </c>
      <c r="AB54" s="945">
        <f>'1.sz.m-önk.össze.bev'!AB61</f>
        <v>0</v>
      </c>
      <c r="AC54" s="945">
        <f>'1.sz.m-önk.össze.bev'!AC61</f>
        <v>0</v>
      </c>
      <c r="AD54" s="945">
        <f>'1.sz.m-önk.össze.bev'!AD61</f>
        <v>0</v>
      </c>
      <c r="AE54" s="945">
        <f>'1.sz.m-önk.össze.bev'!AE61</f>
        <v>0</v>
      </c>
      <c r="AF54" s="945">
        <f>'1.sz.m-önk.össze.bev'!AF61</f>
        <v>0</v>
      </c>
      <c r="AG54" s="945">
        <f>'1.sz.m-önk.össze.bev'!AG61</f>
        <v>0</v>
      </c>
      <c r="AH54" s="945">
        <f>'1.sz.m-önk.össze.bev'!AH61</f>
        <v>0</v>
      </c>
      <c r="AI54" s="945">
        <f>'1.sz.m-önk.össze.bev'!AI61</f>
        <v>0</v>
      </c>
      <c r="AJ54" s="945">
        <f>'1.sz.m-önk.össze.bev'!AJ61</f>
        <v>0</v>
      </c>
    </row>
    <row r="55" spans="1:36" ht="27.75" customHeight="1">
      <c r="A55" s="1041" t="s">
        <v>170</v>
      </c>
      <c r="B55" s="1444" t="s">
        <v>556</v>
      </c>
      <c r="C55" s="1445"/>
      <c r="D55" s="1446"/>
      <c r="E55" s="936"/>
      <c r="F55" s="946">
        <f>'1.sz.m-önk.össze.bev'!L60</f>
        <v>0</v>
      </c>
      <c r="G55" s="946">
        <f>'1.sz.m-önk.össze.bev'!N60</f>
        <v>0</v>
      </c>
      <c r="H55" s="946">
        <f>'1.sz.m-önk.össze.bev'!O60</f>
        <v>0</v>
      </c>
      <c r="I55" s="946">
        <f>'1.sz.m-önk.össze.bev'!P60</f>
        <v>0</v>
      </c>
      <c r="J55" s="946">
        <f>'1.sz.m-önk.össze.bev'!Q60</f>
        <v>0</v>
      </c>
      <c r="K55" s="946">
        <f>'1.sz.m-önk.össze.bev'!R60</f>
        <v>0</v>
      </c>
      <c r="L55" s="946">
        <f>'1.sz.m-önk.össze.bev'!S60</f>
        <v>0</v>
      </c>
      <c r="M55" s="946">
        <f>'1.sz.m-önk.össze.bev'!S60</f>
        <v>0</v>
      </c>
      <c r="N55" s="946">
        <f>'1.sz.m-önk.össze.bev'!U60</f>
        <v>0</v>
      </c>
      <c r="O55" s="946">
        <f>'1.sz.m-önk.össze.bev'!V60</f>
        <v>0</v>
      </c>
      <c r="P55" s="946">
        <f>'1.sz.m-önk.össze.bev'!W60</f>
        <v>0</v>
      </c>
      <c r="Q55" s="946">
        <f>'1.sz.m-önk.össze.bev'!X60</f>
        <v>0</v>
      </c>
      <c r="R55" s="946">
        <f>'1.sz.m-önk.össze.bev'!Y60</f>
        <v>0</v>
      </c>
      <c r="S55" s="946">
        <f>'1.sz.m-önk.össze.bev'!Z60</f>
        <v>0</v>
      </c>
      <c r="T55" s="946">
        <f>'1.sz.m-önk.össze.bev'!Z60</f>
        <v>0</v>
      </c>
      <c r="U55" s="946">
        <f>'1.sz.m-önk.össze.bev'!AB60</f>
        <v>0</v>
      </c>
      <c r="V55" s="946">
        <f>'1.sz.m-önk.össze.bev'!AC60</f>
        <v>0</v>
      </c>
      <c r="W55" s="946">
        <f>'1.sz.m-önk.össze.bev'!AD60</f>
        <v>0</v>
      </c>
      <c r="X55" s="946">
        <f>'1.sz.m-önk.össze.bev'!AE60</f>
        <v>0</v>
      </c>
      <c r="Y55" s="946">
        <f>'1.sz.m-önk.össze.bev'!AF60</f>
        <v>0</v>
      </c>
      <c r="Z55" s="946">
        <f>'1.sz.m-önk.össze.bev'!AG60</f>
        <v>0</v>
      </c>
      <c r="AA55" s="946">
        <f>'1.sz.m-önk.össze.bev'!AG60</f>
        <v>0</v>
      </c>
      <c r="AB55" s="946">
        <f>'1.sz.m-önk.össze.bev'!AI60</f>
        <v>0</v>
      </c>
      <c r="AC55" s="946">
        <f>'1.sz.m-önk.össze.bev'!AJ60</f>
        <v>0</v>
      </c>
      <c r="AD55" s="946">
        <f>'1.sz.m-önk.össze.bev'!AK60</f>
        <v>0</v>
      </c>
      <c r="AE55" s="210" t="e">
        <f>#REF!</f>
        <v>#REF!</v>
      </c>
      <c r="AF55" s="210" t="e">
        <f>#REF!</f>
        <v>#REF!</v>
      </c>
      <c r="AG55" s="210" t="e">
        <f>#REF!</f>
        <v>#REF!</v>
      </c>
      <c r="AH55" s="210" t="e">
        <f>#REF!</f>
        <v>#REF!</v>
      </c>
      <c r="AI55" s="210" t="e">
        <f>#REF!</f>
        <v>#REF!</v>
      </c>
      <c r="AJ55" s="210" t="e">
        <f>#REF!</f>
        <v>#REF!</v>
      </c>
    </row>
    <row r="56" spans="1:36" ht="27.75" customHeight="1" thickBot="1">
      <c r="A56" s="1042" t="s">
        <v>75</v>
      </c>
      <c r="B56" s="1447" t="s">
        <v>557</v>
      </c>
      <c r="C56" s="1448"/>
      <c r="D56" s="1449"/>
      <c r="E56" s="947"/>
      <c r="F56" s="948">
        <f>F54+F55</f>
        <v>0</v>
      </c>
      <c r="G56" s="948">
        <f aca="true" t="shared" si="16" ref="G56:M56">G54+G55</f>
        <v>0</v>
      </c>
      <c r="H56" s="948">
        <f t="shared" si="16"/>
        <v>0</v>
      </c>
      <c r="I56" s="948">
        <f t="shared" si="16"/>
        <v>0</v>
      </c>
      <c r="J56" s="948">
        <f t="shared" si="16"/>
        <v>0</v>
      </c>
      <c r="K56" s="948">
        <f t="shared" si="16"/>
        <v>0</v>
      </c>
      <c r="L56" s="948">
        <f t="shared" si="16"/>
        <v>0</v>
      </c>
      <c r="M56" s="948">
        <f t="shared" si="16"/>
        <v>0</v>
      </c>
      <c r="N56" s="948">
        <f aca="true" t="shared" si="17" ref="N56:AD56">N54+N55</f>
        <v>0</v>
      </c>
      <c r="O56" s="948">
        <f t="shared" si="17"/>
        <v>0</v>
      </c>
      <c r="P56" s="948">
        <f t="shared" si="17"/>
        <v>0</v>
      </c>
      <c r="Q56" s="948">
        <f t="shared" si="17"/>
        <v>0</v>
      </c>
      <c r="R56" s="948">
        <f t="shared" si="17"/>
        <v>0</v>
      </c>
      <c r="S56" s="948">
        <f t="shared" si="17"/>
        <v>0</v>
      </c>
      <c r="T56" s="948">
        <f t="shared" si="17"/>
        <v>0</v>
      </c>
      <c r="U56" s="948">
        <f t="shared" si="17"/>
        <v>0</v>
      </c>
      <c r="V56" s="948">
        <f t="shared" si="17"/>
        <v>0</v>
      </c>
      <c r="W56" s="948">
        <f t="shared" si="17"/>
        <v>0</v>
      </c>
      <c r="X56" s="948">
        <f t="shared" si="17"/>
        <v>0</v>
      </c>
      <c r="Y56" s="948">
        <f t="shared" si="17"/>
        <v>0</v>
      </c>
      <c r="Z56" s="948">
        <f t="shared" si="17"/>
        <v>0</v>
      </c>
      <c r="AA56" s="948">
        <f t="shared" si="17"/>
        <v>0</v>
      </c>
      <c r="AB56" s="948">
        <f t="shared" si="17"/>
        <v>0</v>
      </c>
      <c r="AC56" s="948">
        <f t="shared" si="17"/>
        <v>0</v>
      </c>
      <c r="AD56" s="948">
        <f t="shared" si="17"/>
        <v>0</v>
      </c>
      <c r="AE56" s="211" t="e">
        <f aca="true" t="shared" si="18" ref="AE56:AJ56">AE54+AE55</f>
        <v>#REF!</v>
      </c>
      <c r="AF56" s="211" t="e">
        <f t="shared" si="18"/>
        <v>#REF!</v>
      </c>
      <c r="AG56" s="211" t="e">
        <f t="shared" si="18"/>
        <v>#REF!</v>
      </c>
      <c r="AH56" s="211" t="e">
        <f t="shared" si="18"/>
        <v>#REF!</v>
      </c>
      <c r="AI56" s="211" t="e">
        <f t="shared" si="18"/>
        <v>#REF!</v>
      </c>
      <c r="AJ56" s="211" t="e">
        <f t="shared" si="18"/>
        <v>#REF!</v>
      </c>
    </row>
    <row r="57" spans="1:34" ht="15.75">
      <c r="A57" s="203"/>
      <c r="B57" s="204"/>
      <c r="C57" s="940"/>
      <c r="D57" s="941"/>
      <c r="E57" s="941"/>
      <c r="F57" s="942"/>
      <c r="G57" s="942"/>
      <c r="H57" s="942"/>
      <c r="I57" s="942"/>
      <c r="J57" s="942"/>
      <c r="K57" s="942"/>
      <c r="L57" s="942"/>
      <c r="M57" s="942"/>
      <c r="N57" s="931"/>
      <c r="O57" s="931"/>
      <c r="P57" s="931"/>
      <c r="Q57" s="931"/>
      <c r="R57" s="931"/>
      <c r="S57" s="931"/>
      <c r="T57" s="931"/>
      <c r="U57" s="931"/>
      <c r="V57" s="932"/>
      <c r="W57" s="932"/>
      <c r="X57" s="932"/>
      <c r="Y57" s="932"/>
      <c r="Z57" s="932"/>
      <c r="AA57" s="932"/>
      <c r="AB57" s="932"/>
      <c r="AC57" s="932"/>
      <c r="AH57" s="123"/>
    </row>
    <row r="58" spans="1:30" ht="15.75" customHeight="1">
      <c r="A58" s="203"/>
      <c r="B58" s="204"/>
      <c r="C58" s="1450"/>
      <c r="D58" s="1450"/>
      <c r="E58" s="1450"/>
      <c r="F58" s="1450"/>
      <c r="G58" s="1450"/>
      <c r="H58" s="1450"/>
      <c r="I58" s="1450"/>
      <c r="J58" s="1450"/>
      <c r="K58" s="1450"/>
      <c r="L58" s="1450"/>
      <c r="M58" s="1450"/>
      <c r="N58" s="1450"/>
      <c r="O58" s="1450"/>
      <c r="P58" s="1450"/>
      <c r="Q58" s="1450"/>
      <c r="R58" s="1450"/>
      <c r="S58" s="1450"/>
      <c r="T58" s="1450"/>
      <c r="U58" s="1450"/>
      <c r="V58" s="1450"/>
      <c r="W58" s="206"/>
      <c r="X58" s="206"/>
      <c r="Y58" s="206"/>
      <c r="Z58" s="206"/>
      <c r="AA58" s="206"/>
      <c r="AB58" s="206"/>
      <c r="AC58" s="206"/>
      <c r="AD58" s="212"/>
    </row>
    <row r="59" spans="1:29" ht="15.75">
      <c r="A59" s="203"/>
      <c r="B59" s="204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949"/>
      <c r="O59" s="949"/>
      <c r="P59" s="949"/>
      <c r="Q59" s="949"/>
      <c r="R59" s="949"/>
      <c r="S59" s="949"/>
      <c r="T59" s="949"/>
      <c r="U59" s="949"/>
      <c r="V59" s="930"/>
      <c r="W59" s="930"/>
      <c r="X59" s="930"/>
      <c r="Y59" s="930"/>
      <c r="Z59" s="930"/>
      <c r="AA59" s="930"/>
      <c r="AB59" s="930"/>
      <c r="AC59" s="930"/>
    </row>
    <row r="60" spans="1:29" ht="16.5" thickBot="1">
      <c r="A60" s="195" t="s">
        <v>199</v>
      </c>
      <c r="C60" s="1451"/>
      <c r="D60" s="1451"/>
      <c r="E60" s="950"/>
      <c r="F60" s="213"/>
      <c r="G60" s="213"/>
      <c r="H60" s="213"/>
      <c r="I60" s="213"/>
      <c r="J60" s="213"/>
      <c r="K60" s="213"/>
      <c r="L60" s="213"/>
      <c r="M60" s="213"/>
      <c r="N60" s="949"/>
      <c r="O60" s="949"/>
      <c r="P60" s="949"/>
      <c r="Q60" s="949"/>
      <c r="R60" s="949"/>
      <c r="S60" s="949"/>
      <c r="T60" s="949"/>
      <c r="U60" s="949"/>
      <c r="V60" s="930"/>
      <c r="W60" s="930"/>
      <c r="X60" s="930"/>
      <c r="Y60" s="930"/>
      <c r="Z60" s="930"/>
      <c r="AA60" s="930"/>
      <c r="AB60" s="930"/>
      <c r="AC60" s="930"/>
    </row>
    <row r="61" spans="1:36" ht="58.5" customHeight="1">
      <c r="A61" s="214" t="s">
        <v>15</v>
      </c>
      <c r="B61" s="1452" t="s">
        <v>200</v>
      </c>
      <c r="C61" s="1452"/>
      <c r="D61" s="1452"/>
      <c r="E61" s="951"/>
      <c r="F61" s="952">
        <v>20103766</v>
      </c>
      <c r="G61" s="952">
        <f>G62-G65</f>
        <v>0</v>
      </c>
      <c r="H61" s="952" t="e">
        <f>H62-H65</f>
        <v>#DIV/0!</v>
      </c>
      <c r="I61" s="952">
        <f>I62-I65</f>
        <v>0</v>
      </c>
      <c r="J61" s="952">
        <f>J62-J65</f>
        <v>0</v>
      </c>
      <c r="K61" s="952">
        <f>K62-K65</f>
        <v>41639216</v>
      </c>
      <c r="L61" s="952">
        <v>20103766</v>
      </c>
      <c r="M61" s="952">
        <v>20103767</v>
      </c>
      <c r="N61" s="952">
        <v>20103766</v>
      </c>
      <c r="O61" s="952" t="e">
        <f>O62-O65</f>
        <v>#DIV/0!</v>
      </c>
      <c r="P61" s="952">
        <f>P62-P65</f>
        <v>0</v>
      </c>
      <c r="Q61" s="952">
        <f>Q62-Q65</f>
        <v>0</v>
      </c>
      <c r="R61" s="952">
        <f>R62-R65</f>
        <v>2886422</v>
      </c>
      <c r="S61" s="952">
        <f>S62-S65</f>
        <v>0</v>
      </c>
      <c r="T61" s="952">
        <v>20103766</v>
      </c>
      <c r="U61" s="952">
        <v>20103767</v>
      </c>
      <c r="V61" s="952">
        <v>0</v>
      </c>
      <c r="W61" s="952" t="e">
        <f aca="true" t="shared" si="19" ref="W61:AJ61">W62-W65</f>
        <v>#REF!</v>
      </c>
      <c r="X61" s="952" t="e">
        <f t="shared" si="19"/>
        <v>#REF!</v>
      </c>
      <c r="Y61" s="952">
        <f t="shared" si="19"/>
        <v>0</v>
      </c>
      <c r="Z61" s="952">
        <f t="shared" si="19"/>
        <v>0</v>
      </c>
      <c r="AA61" s="952">
        <f t="shared" si="19"/>
        <v>0</v>
      </c>
      <c r="AB61" s="952">
        <v>0</v>
      </c>
      <c r="AC61" s="952"/>
      <c r="AD61" s="952">
        <f t="shared" si="19"/>
        <v>0</v>
      </c>
      <c r="AE61" s="215" t="e">
        <f t="shared" si="19"/>
        <v>#REF!</v>
      </c>
      <c r="AF61" s="215" t="e">
        <f t="shared" si="19"/>
        <v>#REF!</v>
      </c>
      <c r="AG61" s="215" t="e">
        <f t="shared" si="19"/>
        <v>#REF!</v>
      </c>
      <c r="AH61" s="215" t="e">
        <f t="shared" si="19"/>
        <v>#REF!</v>
      </c>
      <c r="AI61" s="215" t="e">
        <f t="shared" si="19"/>
        <v>#REF!</v>
      </c>
      <c r="AJ61" s="215" t="e">
        <f t="shared" si="19"/>
        <v>#REF!</v>
      </c>
    </row>
    <row r="62" spans="1:36" ht="27" customHeight="1">
      <c r="A62" s="1043" t="s">
        <v>558</v>
      </c>
      <c r="B62" s="1438" t="s">
        <v>559</v>
      </c>
      <c r="C62" s="1438"/>
      <c r="D62" s="1438"/>
      <c r="E62" s="1044"/>
      <c r="F62" s="1044">
        <f>F63+F64</f>
        <v>20722821</v>
      </c>
      <c r="G62" s="1044">
        <f aca="true" t="shared" si="20" ref="G62:AJ62">G63+G64</f>
        <v>0</v>
      </c>
      <c r="H62" s="1044" t="e">
        <f t="shared" si="20"/>
        <v>#DIV/0!</v>
      </c>
      <c r="I62" s="1044">
        <f t="shared" si="20"/>
        <v>0</v>
      </c>
      <c r="J62" s="1044">
        <f t="shared" si="20"/>
        <v>0</v>
      </c>
      <c r="K62" s="1044">
        <f t="shared" si="20"/>
        <v>41639216</v>
      </c>
      <c r="L62" s="1044">
        <f t="shared" si="20"/>
        <v>20722821</v>
      </c>
      <c r="M62" s="1044">
        <f>M63+M64</f>
        <v>20722821</v>
      </c>
      <c r="N62" s="1044">
        <f t="shared" si="20"/>
        <v>20722821</v>
      </c>
      <c r="O62" s="1044" t="e">
        <f t="shared" si="20"/>
        <v>#DIV/0!</v>
      </c>
      <c r="P62" s="1044">
        <f t="shared" si="20"/>
        <v>0</v>
      </c>
      <c r="Q62" s="1044">
        <f t="shared" si="20"/>
        <v>0</v>
      </c>
      <c r="R62" s="1044">
        <f t="shared" si="20"/>
        <v>2886422</v>
      </c>
      <c r="S62" s="1044">
        <f t="shared" si="20"/>
        <v>0</v>
      </c>
      <c r="T62" s="1044">
        <f t="shared" si="20"/>
        <v>20722821</v>
      </c>
      <c r="U62" s="1044">
        <f>U63+U64</f>
        <v>20722821</v>
      </c>
      <c r="V62" s="1044">
        <v>0</v>
      </c>
      <c r="W62" s="1044" t="e">
        <f t="shared" si="20"/>
        <v>#REF!</v>
      </c>
      <c r="X62" s="1044" t="e">
        <f t="shared" si="20"/>
        <v>#REF!</v>
      </c>
      <c r="Y62" s="1044">
        <f t="shared" si="20"/>
        <v>0</v>
      </c>
      <c r="Z62" s="1044">
        <f t="shared" si="20"/>
        <v>0</v>
      </c>
      <c r="AA62" s="1044">
        <f t="shared" si="20"/>
        <v>0</v>
      </c>
      <c r="AB62" s="1044">
        <f t="shared" si="20"/>
        <v>0</v>
      </c>
      <c r="AC62" s="1044"/>
      <c r="AD62" s="1044">
        <f t="shared" si="20"/>
        <v>0</v>
      </c>
      <c r="AE62" s="1044" t="e">
        <f t="shared" si="20"/>
        <v>#REF!</v>
      </c>
      <c r="AF62" s="1044" t="e">
        <f t="shared" si="20"/>
        <v>#REF!</v>
      </c>
      <c r="AG62" s="1044" t="e">
        <f t="shared" si="20"/>
        <v>#REF!</v>
      </c>
      <c r="AH62" s="1044" t="e">
        <f t="shared" si="20"/>
        <v>#REF!</v>
      </c>
      <c r="AI62" s="1044" t="e">
        <f t="shared" si="20"/>
        <v>#REF!</v>
      </c>
      <c r="AJ62" s="1044" t="e">
        <f t="shared" si="20"/>
        <v>#REF!</v>
      </c>
    </row>
    <row r="63" spans="1:36" ht="27" customHeight="1">
      <c r="A63" s="1043" t="s">
        <v>560</v>
      </c>
      <c r="B63" s="1439" t="s">
        <v>561</v>
      </c>
      <c r="C63" s="1439"/>
      <c r="D63" s="1439"/>
      <c r="E63" s="1044"/>
      <c r="F63" s="1044">
        <f>'2.sz.m.összehasonlító'!B17</f>
        <v>15508821</v>
      </c>
      <c r="G63" s="1044">
        <f>'[1]1.sz.m-önk.össze.bev'!G61</f>
        <v>0</v>
      </c>
      <c r="H63" s="1044" t="e">
        <f>'[1]1.sz.m-önk.össze.bev'!H61</f>
        <v>#DIV/0!</v>
      </c>
      <c r="I63" s="1044">
        <f>'[1]1.sz.m-önk.össze.bev'!I61</f>
        <v>0</v>
      </c>
      <c r="J63" s="1044">
        <f>'[1]1.sz.m-önk.össze.bev'!J61</f>
        <v>0</v>
      </c>
      <c r="K63" s="1044">
        <f>'[1]1.sz.m-önk.össze.bev'!K61</f>
        <v>0</v>
      </c>
      <c r="L63" s="1044">
        <f>'2.sz.m.összehasonlító'!B17</f>
        <v>15508821</v>
      </c>
      <c r="M63" s="1044">
        <f>'2.sz.m.összehasonlító'!I17</f>
        <v>15292921</v>
      </c>
      <c r="N63" s="1044">
        <f>'2.sz.m.összehasonlító'!B17</f>
        <v>15508821</v>
      </c>
      <c r="O63" s="1044">
        <f>'[1]1.sz.m-önk.össze.bev'!N61</f>
        <v>0</v>
      </c>
      <c r="P63" s="1044">
        <f>'[1]1.sz.m-önk.össze.bev'!O61</f>
        <v>0</v>
      </c>
      <c r="Q63" s="1044">
        <f>'[1]1.sz.m-önk.össze.bev'!P61</f>
        <v>0</v>
      </c>
      <c r="R63" s="1044">
        <f>'[1]1.sz.m-önk.össze.bev'!Q61</f>
        <v>0</v>
      </c>
      <c r="S63" s="1044">
        <f>'[1]1.sz.m-önk.össze.bev'!R61</f>
        <v>0</v>
      </c>
      <c r="T63" s="1044">
        <f>'2.sz.m.összehasonlító'!B17</f>
        <v>15508821</v>
      </c>
      <c r="U63" s="1044">
        <f>'2.sz.m.összehasonlító'!I17</f>
        <v>15292921</v>
      </c>
      <c r="V63" s="1044">
        <v>0</v>
      </c>
      <c r="W63" s="1044">
        <f>'[1]1.sz.m-önk.össze.bev'!U61</f>
        <v>0</v>
      </c>
      <c r="X63" s="1044">
        <f>'[1]1.sz.m-önk.össze.bev'!V61</f>
        <v>0</v>
      </c>
      <c r="Y63" s="1044">
        <f>'[1]1.sz.m-önk.össze.bev'!W61</f>
        <v>0</v>
      </c>
      <c r="Z63" s="1044">
        <f>'[1]1.sz.m-önk.össze.bev'!X61</f>
        <v>0</v>
      </c>
      <c r="AA63" s="1044">
        <f>'[1]1.sz.m-önk.össze.bev'!Y61</f>
        <v>0</v>
      </c>
      <c r="AB63" s="1044">
        <f>'2.sz.m.összehasonlító'!W17</f>
        <v>0</v>
      </c>
      <c r="AC63" s="1044"/>
      <c r="AD63" s="1044">
        <f>'2.sz.m.összehasonlító'!X17</f>
        <v>0</v>
      </c>
      <c r="AE63" s="216" t="e">
        <f>#REF!</f>
        <v>#REF!</v>
      </c>
      <c r="AF63" s="217" t="e">
        <f>#REF!</f>
        <v>#REF!</v>
      </c>
      <c r="AG63" s="217" t="e">
        <f>#REF!</f>
        <v>#REF!</v>
      </c>
      <c r="AH63" s="217" t="e">
        <f>#REF!</f>
        <v>#REF!</v>
      </c>
      <c r="AI63" s="217" t="e">
        <f>#REF!</f>
        <v>#REF!</v>
      </c>
      <c r="AJ63" s="217" t="e">
        <f>#REF!</f>
        <v>#REF!</v>
      </c>
    </row>
    <row r="64" spans="1:36" ht="27" customHeight="1">
      <c r="A64" s="1045" t="s">
        <v>562</v>
      </c>
      <c r="B64" s="1439" t="s">
        <v>563</v>
      </c>
      <c r="C64" s="1439"/>
      <c r="D64" s="1439"/>
      <c r="E64" s="1044"/>
      <c r="F64" s="1044">
        <f>'2.sz.m.összehasonlító'!B30</f>
        <v>5214000</v>
      </c>
      <c r="G64" s="1044">
        <f>'[1]1.sz.m-önk.össze.bev'!G59</f>
        <v>0</v>
      </c>
      <c r="H64" s="1044" t="e">
        <f>'[1]1.sz.m-önk.össze.bev'!H59</f>
        <v>#DIV/0!</v>
      </c>
      <c r="I64" s="1044">
        <f>'[1]1.sz.m-önk.össze.bev'!I59</f>
        <v>0</v>
      </c>
      <c r="J64" s="1044">
        <f>'[1]1.sz.m-önk.össze.bev'!J59</f>
        <v>0</v>
      </c>
      <c r="K64" s="1044">
        <f>'[1]1.sz.m-önk.össze.bev'!K59</f>
        <v>41639216</v>
      </c>
      <c r="L64" s="1044">
        <f>'2.sz.m.összehasonlító'!H30</f>
        <v>5214000</v>
      </c>
      <c r="M64" s="1044">
        <f>'2.sz.m.összehasonlító'!I30</f>
        <v>5429900</v>
      </c>
      <c r="N64" s="1044">
        <f>'2.sz.m.összehasonlító'!B30</f>
        <v>5214000</v>
      </c>
      <c r="O64" s="1044" t="e">
        <f>'[1]1.sz.m-önk.össze.bev'!N59</f>
        <v>#DIV/0!</v>
      </c>
      <c r="P64" s="1044">
        <f>'[1]1.sz.m-önk.össze.bev'!O59</f>
        <v>0</v>
      </c>
      <c r="Q64" s="1044">
        <f>'[1]1.sz.m-önk.össze.bev'!P59</f>
        <v>0</v>
      </c>
      <c r="R64" s="1044">
        <f>'[1]1.sz.m-önk.össze.bev'!Q59</f>
        <v>2886422</v>
      </c>
      <c r="S64" s="1044">
        <f>'[1]1.sz.m-önk.össze.bev'!R59</f>
        <v>0</v>
      </c>
      <c r="T64" s="1044">
        <f>'2.sz.m.összehasonlító'!H30</f>
        <v>5214000</v>
      </c>
      <c r="U64" s="1044">
        <f>'2.sz.m.összehasonlító'!I30</f>
        <v>5429900</v>
      </c>
      <c r="V64" s="1044">
        <f>'2.sz.m.összehasonlító'!Q30</f>
        <v>0</v>
      </c>
      <c r="W64" s="1044" t="e">
        <f>'[1]1.sz.m-önk.össze.bev'!U59</f>
        <v>#REF!</v>
      </c>
      <c r="X64" s="1044" t="e">
        <f>'[1]1.sz.m-önk.össze.bev'!V59</f>
        <v>#REF!</v>
      </c>
      <c r="Y64" s="1044">
        <f>'[1]1.sz.m-önk.össze.bev'!W59</f>
        <v>0</v>
      </c>
      <c r="Z64" s="1044">
        <f>'[1]1.sz.m-önk.össze.bev'!X59</f>
        <v>0</v>
      </c>
      <c r="AA64" s="1044">
        <f>'[1]1.sz.m-önk.össze.bev'!Y59</f>
        <v>0</v>
      </c>
      <c r="AB64" s="1044">
        <f>'2.sz.m.összehasonlító'!W30</f>
        <v>0</v>
      </c>
      <c r="AC64" s="1044"/>
      <c r="AD64" s="1044">
        <f>'2.sz.m.összehasonlító'!X30</f>
        <v>0</v>
      </c>
      <c r="AE64" s="216" t="e">
        <f>#REF!</f>
        <v>#REF!</v>
      </c>
      <c r="AF64" s="217" t="e">
        <f>#REF!</f>
        <v>#REF!</v>
      </c>
      <c r="AG64" s="217" t="e">
        <f>#REF!</f>
        <v>#REF!</v>
      </c>
      <c r="AH64" s="217" t="e">
        <f>#REF!</f>
        <v>#REF!</v>
      </c>
      <c r="AI64" s="217" t="e">
        <f>#REF!</f>
        <v>#REF!</v>
      </c>
      <c r="AJ64" s="217" t="e">
        <f>#REF!</f>
        <v>#REF!</v>
      </c>
    </row>
    <row r="65" spans="1:36" ht="27" customHeight="1">
      <c r="A65" s="1046" t="s">
        <v>564</v>
      </c>
      <c r="B65" s="1438" t="s">
        <v>565</v>
      </c>
      <c r="C65" s="1438"/>
      <c r="D65" s="1438"/>
      <c r="E65" s="1047"/>
      <c r="F65" s="1047">
        <f>F34</f>
        <v>619055</v>
      </c>
      <c r="G65" s="1047">
        <f aca="true" t="shared" si="21" ref="G65:T65">G34</f>
        <v>0</v>
      </c>
      <c r="H65" s="1047">
        <f t="shared" si="21"/>
        <v>0</v>
      </c>
      <c r="I65" s="1047">
        <f t="shared" si="21"/>
        <v>0</v>
      </c>
      <c r="J65" s="1047">
        <f t="shared" si="21"/>
        <v>0</v>
      </c>
      <c r="K65" s="1047">
        <f t="shared" si="21"/>
        <v>0</v>
      </c>
      <c r="L65" s="1047">
        <f t="shared" si="21"/>
        <v>619055</v>
      </c>
      <c r="M65" s="1047">
        <f>M34</f>
        <v>619055</v>
      </c>
      <c r="N65" s="1047">
        <f t="shared" si="21"/>
        <v>619055</v>
      </c>
      <c r="O65" s="1047">
        <f t="shared" si="21"/>
        <v>0</v>
      </c>
      <c r="P65" s="1047">
        <f t="shared" si="21"/>
        <v>0</v>
      </c>
      <c r="Q65" s="1047">
        <f t="shared" si="21"/>
        <v>0</v>
      </c>
      <c r="R65" s="1047">
        <f t="shared" si="21"/>
        <v>0</v>
      </c>
      <c r="S65" s="1047">
        <f t="shared" si="21"/>
        <v>0</v>
      </c>
      <c r="T65" s="1047">
        <f t="shared" si="21"/>
        <v>619055</v>
      </c>
      <c r="U65" s="1047">
        <f>U34</f>
        <v>619055</v>
      </c>
      <c r="V65" s="1047">
        <v>0</v>
      </c>
      <c r="W65" s="1047">
        <f>W33</f>
        <v>0</v>
      </c>
      <c r="X65" s="1047">
        <f>X33</f>
        <v>0</v>
      </c>
      <c r="Y65" s="1047">
        <f>Y33</f>
        <v>0</v>
      </c>
      <c r="Z65" s="1047">
        <f>Z33</f>
        <v>0</v>
      </c>
      <c r="AA65" s="1047">
        <f>AA33</f>
        <v>0</v>
      </c>
      <c r="AB65" s="1047">
        <v>0</v>
      </c>
      <c r="AC65" s="1047"/>
      <c r="AD65" s="1047">
        <v>0</v>
      </c>
      <c r="AE65" s="218">
        <f aca="true" t="shared" si="22" ref="AE65:AJ65">AE34</f>
        <v>0</v>
      </c>
      <c r="AF65" s="219">
        <f t="shared" si="22"/>
        <v>0</v>
      </c>
      <c r="AG65" s="219">
        <f t="shared" si="22"/>
        <v>0</v>
      </c>
      <c r="AH65" s="219">
        <f t="shared" si="22"/>
        <v>0</v>
      </c>
      <c r="AI65" s="219">
        <f t="shared" si="22"/>
        <v>0</v>
      </c>
      <c r="AJ65" s="219">
        <f t="shared" si="22"/>
        <v>0</v>
      </c>
    </row>
    <row r="66" spans="1:36" ht="27" customHeight="1">
      <c r="A66" s="1043" t="s">
        <v>566</v>
      </c>
      <c r="B66" s="1439" t="s">
        <v>567</v>
      </c>
      <c r="C66" s="1439"/>
      <c r="D66" s="1439"/>
      <c r="E66" s="1044"/>
      <c r="F66" s="1044">
        <f>F34</f>
        <v>619055</v>
      </c>
      <c r="G66" s="1044">
        <f aca="true" t="shared" si="23" ref="G66:T66">G34</f>
        <v>0</v>
      </c>
      <c r="H66" s="1044">
        <f t="shared" si="23"/>
        <v>0</v>
      </c>
      <c r="I66" s="1044">
        <f t="shared" si="23"/>
        <v>0</v>
      </c>
      <c r="J66" s="1044">
        <f t="shared" si="23"/>
        <v>0</v>
      </c>
      <c r="K66" s="1044">
        <f t="shared" si="23"/>
        <v>0</v>
      </c>
      <c r="L66" s="1044">
        <f t="shared" si="23"/>
        <v>619055</v>
      </c>
      <c r="M66" s="1044">
        <f>M34</f>
        <v>619055</v>
      </c>
      <c r="N66" s="1044">
        <f t="shared" si="23"/>
        <v>619055</v>
      </c>
      <c r="O66" s="1044">
        <f t="shared" si="23"/>
        <v>0</v>
      </c>
      <c r="P66" s="1044">
        <f t="shared" si="23"/>
        <v>0</v>
      </c>
      <c r="Q66" s="1044">
        <f t="shared" si="23"/>
        <v>0</v>
      </c>
      <c r="R66" s="1044">
        <f t="shared" si="23"/>
        <v>0</v>
      </c>
      <c r="S66" s="1044">
        <f t="shared" si="23"/>
        <v>0</v>
      </c>
      <c r="T66" s="1044">
        <f t="shared" si="23"/>
        <v>619055</v>
      </c>
      <c r="U66" s="1044">
        <f>U34</f>
        <v>619055</v>
      </c>
      <c r="V66" s="1044">
        <v>0</v>
      </c>
      <c r="W66" s="1044">
        <f>W33</f>
        <v>0</v>
      </c>
      <c r="X66" s="1044">
        <f>X34</f>
        <v>0</v>
      </c>
      <c r="Y66" s="1044">
        <v>0</v>
      </c>
      <c r="Z66" s="1044">
        <v>0</v>
      </c>
      <c r="AA66" s="1044">
        <v>0</v>
      </c>
      <c r="AB66" s="1044">
        <v>0</v>
      </c>
      <c r="AC66" s="1044"/>
      <c r="AD66" s="1044">
        <v>0</v>
      </c>
      <c r="AE66" s="216">
        <v>0</v>
      </c>
      <c r="AF66" s="217">
        <v>0</v>
      </c>
      <c r="AG66" s="217">
        <v>0</v>
      </c>
      <c r="AH66" s="217">
        <v>0</v>
      </c>
      <c r="AI66" s="217">
        <v>0</v>
      </c>
      <c r="AJ66" s="217">
        <v>0</v>
      </c>
    </row>
    <row r="67" spans="1:36" ht="27" customHeight="1" thickBot="1">
      <c r="A67" s="1048" t="s">
        <v>568</v>
      </c>
      <c r="B67" s="1440" t="s">
        <v>569</v>
      </c>
      <c r="C67" s="1440"/>
      <c r="D67" s="1440"/>
      <c r="E67" s="1049"/>
      <c r="F67" s="1049">
        <v>0</v>
      </c>
      <c r="G67" s="1049">
        <v>0</v>
      </c>
      <c r="H67" s="1049">
        <v>0</v>
      </c>
      <c r="I67" s="1049">
        <v>0</v>
      </c>
      <c r="J67" s="1049">
        <v>0</v>
      </c>
      <c r="K67" s="1049">
        <v>0</v>
      </c>
      <c r="L67" s="1049">
        <v>0</v>
      </c>
      <c r="M67" s="1049">
        <v>1</v>
      </c>
      <c r="N67" s="1049">
        <v>0</v>
      </c>
      <c r="O67" s="1049">
        <v>0</v>
      </c>
      <c r="P67" s="1049">
        <v>0</v>
      </c>
      <c r="Q67" s="1049">
        <v>0</v>
      </c>
      <c r="R67" s="1049">
        <v>0</v>
      </c>
      <c r="S67" s="1049">
        <v>0</v>
      </c>
      <c r="T67" s="1049">
        <v>0</v>
      </c>
      <c r="U67" s="1049">
        <v>1</v>
      </c>
      <c r="V67" s="1049">
        <v>0</v>
      </c>
      <c r="W67" s="1049">
        <v>0</v>
      </c>
      <c r="X67" s="1049">
        <v>0</v>
      </c>
      <c r="Y67" s="1049">
        <v>0</v>
      </c>
      <c r="Z67" s="1049">
        <v>0</v>
      </c>
      <c r="AA67" s="1049">
        <v>0</v>
      </c>
      <c r="AB67" s="1049">
        <v>0</v>
      </c>
      <c r="AC67" s="1049"/>
      <c r="AD67" s="1049">
        <v>0</v>
      </c>
      <c r="AE67" s="220">
        <v>0</v>
      </c>
      <c r="AF67" s="221">
        <v>0</v>
      </c>
      <c r="AG67" s="221">
        <v>0</v>
      </c>
      <c r="AH67" s="221">
        <v>0</v>
      </c>
      <c r="AI67" s="221">
        <v>0</v>
      </c>
      <c r="AJ67" s="221">
        <v>0</v>
      </c>
    </row>
  </sheetData>
  <sheetProtection selectLockedCells="1" selectUnlockedCells="1"/>
  <mergeCells count="45">
    <mergeCell ref="V6:AC6"/>
    <mergeCell ref="N6:U6"/>
    <mergeCell ref="A1:AD1"/>
    <mergeCell ref="A2:B2"/>
    <mergeCell ref="A3:AD3"/>
    <mergeCell ref="E4:F4"/>
    <mergeCell ref="A6:D6"/>
    <mergeCell ref="AD6:AJ6"/>
    <mergeCell ref="F6:M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V42"/>
    <mergeCell ref="B44:D44"/>
    <mergeCell ref="C46:V46"/>
    <mergeCell ref="C47:D47"/>
    <mergeCell ref="B63:D63"/>
    <mergeCell ref="B64:D64"/>
    <mergeCell ref="B48:D48"/>
    <mergeCell ref="B49:D49"/>
    <mergeCell ref="B50:D50"/>
    <mergeCell ref="C52:V52"/>
    <mergeCell ref="B65:D65"/>
    <mergeCell ref="B66:D66"/>
    <mergeCell ref="B67:D67"/>
    <mergeCell ref="B54:D54"/>
    <mergeCell ref="B55:D55"/>
    <mergeCell ref="B56:D56"/>
    <mergeCell ref="C58:V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30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4">
      <selection activeCell="S27" sqref="S27"/>
    </sheetView>
  </sheetViews>
  <sheetFormatPr defaultColWidth="9.140625" defaultRowHeight="12.75"/>
  <cols>
    <col min="1" max="1" width="39.00390625" style="222" customWidth="1"/>
    <col min="2" max="2" width="11.57421875" style="222" customWidth="1"/>
    <col min="3" max="7" width="0" style="222" hidden="1" customWidth="1"/>
    <col min="8" max="9" width="12.57421875" style="222" customWidth="1"/>
    <col min="10" max="10" width="36.7109375" style="222" customWidth="1"/>
    <col min="11" max="11" width="11.421875" style="222" customWidth="1"/>
    <col min="12" max="16" width="0" style="222" hidden="1" customWidth="1"/>
    <col min="17" max="17" width="10.140625" style="222" bestFit="1" customWidth="1"/>
    <col min="18" max="18" width="12.421875" style="222" customWidth="1"/>
    <col min="19" max="16384" width="9.140625" style="222" customWidth="1"/>
  </cols>
  <sheetData>
    <row r="1" spans="10:11" ht="12.75">
      <c r="J1" s="1479" t="s">
        <v>201</v>
      </c>
      <c r="K1" s="1479"/>
    </row>
    <row r="2" spans="1:11" ht="14.25" customHeight="1">
      <c r="A2" s="1480" t="s">
        <v>573</v>
      </c>
      <c r="B2" s="1480"/>
      <c r="C2" s="1480"/>
      <c r="D2" s="1480"/>
      <c r="E2" s="1480"/>
      <c r="F2" s="1480"/>
      <c r="G2" s="1480"/>
      <c r="H2" s="1480"/>
      <c r="I2" s="1480"/>
      <c r="J2" s="1480"/>
      <c r="K2" s="1480"/>
    </row>
    <row r="3" spans="1:11" ht="11.25" customHeight="1">
      <c r="A3" s="223"/>
      <c r="B3" s="223" t="s">
        <v>483</v>
      </c>
      <c r="C3" s="223"/>
      <c r="D3" s="223"/>
      <c r="E3" s="223"/>
      <c r="F3" s="223"/>
      <c r="G3" s="223"/>
      <c r="H3" s="223"/>
      <c r="I3" s="223"/>
      <c r="J3" s="13"/>
      <c r="K3" s="694" t="s">
        <v>484</v>
      </c>
    </row>
    <row r="4" spans="1:11" ht="17.25" customHeight="1" thickBot="1">
      <c r="A4" s="1481" t="s">
        <v>202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</row>
    <row r="5" spans="1:18" ht="22.5" customHeight="1" thickBot="1">
      <c r="A5" s="224" t="s">
        <v>140</v>
      </c>
      <c r="B5" s="225" t="s">
        <v>203</v>
      </c>
      <c r="C5" s="226" t="s">
        <v>143</v>
      </c>
      <c r="D5" s="226" t="s">
        <v>204</v>
      </c>
      <c r="E5" s="226" t="s">
        <v>145</v>
      </c>
      <c r="F5" s="226" t="s">
        <v>146</v>
      </c>
      <c r="G5" s="764" t="s">
        <v>147</v>
      </c>
      <c r="H5" s="227" t="s">
        <v>10</v>
      </c>
      <c r="I5" s="1220" t="s">
        <v>11</v>
      </c>
      <c r="J5" s="1220" t="s">
        <v>205</v>
      </c>
      <c r="K5" s="225" t="s">
        <v>203</v>
      </c>
      <c r="L5" s="226" t="s">
        <v>143</v>
      </c>
      <c r="M5" s="226" t="s">
        <v>144</v>
      </c>
      <c r="N5" s="226" t="s">
        <v>145</v>
      </c>
      <c r="O5" s="226" t="s">
        <v>146</v>
      </c>
      <c r="P5" s="764" t="s">
        <v>147</v>
      </c>
      <c r="Q5" s="1219" t="s">
        <v>10</v>
      </c>
      <c r="R5" s="1219" t="s">
        <v>11</v>
      </c>
    </row>
    <row r="6" spans="1:18" ht="12.75">
      <c r="A6" s="735" t="s">
        <v>206</v>
      </c>
      <c r="B6" s="228">
        <v>16900000</v>
      </c>
      <c r="C6" s="229"/>
      <c r="D6" s="229"/>
      <c r="E6" s="229"/>
      <c r="F6" s="229"/>
      <c r="G6" s="765"/>
      <c r="H6" s="775">
        <f>'3.sz.m Önk  bev.'!L7-2000000</f>
        <v>16930000</v>
      </c>
      <c r="I6" s="775">
        <f>'3.sz.m Önk  bev.'!M7-2000000</f>
        <v>16930000</v>
      </c>
      <c r="J6" s="750" t="s">
        <v>207</v>
      </c>
      <c r="K6" s="230">
        <v>32969087</v>
      </c>
      <c r="L6" s="231" t="e">
        <f>'4.sz.m.ÖNK kiadás'!G7+#REF!+'5. sz. m óvoda'!E34+#REF!</f>
        <v>#REF!</v>
      </c>
      <c r="M6" s="231" t="e">
        <f>'4.sz.m.ÖNK kiadás'!H7+#REF!+'5. sz. m óvoda'!F34+#REF!</f>
        <v>#REF!</v>
      </c>
      <c r="N6" s="231" t="e">
        <f>'4.sz.m.ÖNK kiadás'!I7+#REF!+'5. sz. m óvoda'!G34+#REF!</f>
        <v>#REF!</v>
      </c>
      <c r="O6" s="231" t="e">
        <f>'4.sz.m.ÖNK kiadás'!J7+#REF!+'5. sz. m óvoda'!H34+#REF!</f>
        <v>#REF!</v>
      </c>
      <c r="P6" s="786" t="e">
        <f>'4.sz.m.ÖNK kiadás'!K7+#REF!+'5. sz. m óvoda'!I34+#REF!</f>
        <v>#REF!</v>
      </c>
      <c r="Q6" s="954">
        <f>'1 .sz.m.önk.össz.kiad.'!L10</f>
        <v>33808817</v>
      </c>
      <c r="R6" s="954">
        <f>'1 .sz.m.önk.össz.kiad.'!M10</f>
        <v>34176454</v>
      </c>
    </row>
    <row r="7" spans="1:18" ht="12.75">
      <c r="A7" s="736" t="s">
        <v>208</v>
      </c>
      <c r="B7" s="232">
        <v>8275806</v>
      </c>
      <c r="C7" s="233"/>
      <c r="D7" s="233"/>
      <c r="E7" s="233"/>
      <c r="F7" s="233"/>
      <c r="G7" s="766"/>
      <c r="H7" s="774">
        <f>'3.sz.m Önk  bev.'!L21+'5. sz. m óvoda'!P9-2783549</f>
        <v>8607611</v>
      </c>
      <c r="I7" s="774">
        <f>'3.sz.m Önk  bev.'!M21+'5. sz. m óvoda'!Q9-2783549</f>
        <v>10406368</v>
      </c>
      <c r="J7" s="751" t="s">
        <v>209</v>
      </c>
      <c r="K7" s="232">
        <v>8816615</v>
      </c>
      <c r="L7" s="233" t="e">
        <f>'4.sz.m.ÖNK kiadás'!G8+#REF!+'5. sz. m óvoda'!E35+#REF!</f>
        <v>#REF!</v>
      </c>
      <c r="M7" s="233" t="e">
        <f>'4.sz.m.ÖNK kiadás'!H8+#REF!+'5. sz. m óvoda'!F35+#REF!</f>
        <v>#REF!</v>
      </c>
      <c r="N7" s="233" t="e">
        <f>'4.sz.m.ÖNK kiadás'!I8+#REF!+'5. sz. m óvoda'!G35+#REF!</f>
        <v>#REF!</v>
      </c>
      <c r="O7" s="233" t="e">
        <f>'4.sz.m.ÖNK kiadás'!J8+#REF!+'5. sz. m óvoda'!H35+#REF!</f>
        <v>#REF!</v>
      </c>
      <c r="P7" s="766" t="e">
        <f>'4.sz.m.ÖNK kiadás'!K8+#REF!+'5. sz. m óvoda'!I35+#REF!</f>
        <v>#REF!</v>
      </c>
      <c r="Q7" s="955">
        <f>'1 .sz.m.önk.össz.kiad.'!L11</f>
        <v>9043341</v>
      </c>
      <c r="R7" s="955">
        <f>'1 .sz.m.önk.össz.kiad.'!M11</f>
        <v>9131796</v>
      </c>
    </row>
    <row r="8" spans="1:18" ht="17.25" customHeight="1">
      <c r="A8" s="736" t="s">
        <v>210</v>
      </c>
      <c r="B8" s="232">
        <v>33306320</v>
      </c>
      <c r="C8" s="233"/>
      <c r="D8" s="233"/>
      <c r="E8" s="233"/>
      <c r="F8" s="233"/>
      <c r="G8" s="766"/>
      <c r="H8" s="774">
        <f>'3.sz.m Önk  bev.'!L34+'5. sz. m óvoda'!P15</f>
        <v>33959244</v>
      </c>
      <c r="I8" s="774">
        <f>'3.sz.m Önk  bev.'!M34+'5. sz. m óvoda'!Q15</f>
        <v>34375307</v>
      </c>
      <c r="J8" s="751" t="s">
        <v>211</v>
      </c>
      <c r="K8" s="232">
        <v>25170358</v>
      </c>
      <c r="L8" s="233" t="e">
        <f>'4.sz.m.ÖNK kiadás'!G9+#REF!+'5. sz. m óvoda'!E36+#REF!</f>
        <v>#REF!</v>
      </c>
      <c r="M8" s="233" t="e">
        <f>'4.sz.m.ÖNK kiadás'!H9+#REF!+'5. sz. m óvoda'!F36+#REF!</f>
        <v>#REF!</v>
      </c>
      <c r="N8" s="233" t="e">
        <f>'4.sz.m.ÖNK kiadás'!I9+#REF!+'5. sz. m óvoda'!G36+#REF!</f>
        <v>#REF!</v>
      </c>
      <c r="O8" s="233" t="e">
        <f>'4.sz.m.ÖNK kiadás'!J9+#REF!+'5. sz. m óvoda'!H36+#REF!</f>
        <v>#REF!</v>
      </c>
      <c r="P8" s="766" t="e">
        <f>'4.sz.m.ÖNK kiadás'!K9+#REF!+'5. sz. m óvoda'!I36+#REF!</f>
        <v>#REF!</v>
      </c>
      <c r="Q8" s="955">
        <f>'4.sz.m.ÖNK kiadás'!L9+'5. sz. m óvoda'!P36</f>
        <v>25593538</v>
      </c>
      <c r="R8" s="955">
        <f>'4.sz.m.ÖNK kiadás'!M9+'5. sz. m óvoda'!Q36</f>
        <v>26425309</v>
      </c>
    </row>
    <row r="9" spans="1:18" ht="12.75">
      <c r="A9" s="736" t="s">
        <v>212</v>
      </c>
      <c r="B9" s="232">
        <v>540000</v>
      </c>
      <c r="C9" s="233"/>
      <c r="D9" s="233"/>
      <c r="E9" s="233"/>
      <c r="F9" s="233"/>
      <c r="G9" s="766"/>
      <c r="H9" s="774">
        <f>'3.sz.m Önk  bev.'!L50</f>
        <v>580000</v>
      </c>
      <c r="I9" s="774">
        <f>'3.sz.m Önk  bev.'!M50</f>
        <v>1480000</v>
      </c>
      <c r="J9" s="751" t="s">
        <v>213</v>
      </c>
      <c r="K9" s="234">
        <v>2211000</v>
      </c>
      <c r="L9" s="235" t="e">
        <f>'4.sz.m.ÖNK kiadás'!G10+#REF!+'5. sz. m óvoda'!E37+#REF!</f>
        <v>#REF!</v>
      </c>
      <c r="M9" s="235" t="e">
        <f>'4.sz.m.ÖNK kiadás'!H10+#REF!+'5. sz. m óvoda'!F37+#REF!</f>
        <v>#REF!</v>
      </c>
      <c r="N9" s="235" t="e">
        <f>'4.sz.m.ÖNK kiadás'!I10+#REF!+'5. sz. m óvoda'!G37+#REF!</f>
        <v>#REF!</v>
      </c>
      <c r="O9" s="235" t="e">
        <f>'4.sz.m.ÖNK kiadás'!J10+#REF!+'5. sz. m óvoda'!H37+#REF!</f>
        <v>#REF!</v>
      </c>
      <c r="P9" s="787" t="e">
        <f>'4.sz.m.ÖNK kiadás'!K10+#REF!+'5. sz. m óvoda'!I37+#REF!</f>
        <v>#REF!</v>
      </c>
      <c r="Q9" s="955">
        <v>2211000</v>
      </c>
      <c r="R9" s="955">
        <f>'4.sz.m.ÖNK kiadás'!M10</f>
        <v>2211000</v>
      </c>
    </row>
    <row r="10" spans="1:18" ht="11.25" customHeight="1">
      <c r="A10" s="736"/>
      <c r="B10" s="232"/>
      <c r="C10" s="233"/>
      <c r="D10" s="233"/>
      <c r="E10" s="233"/>
      <c r="F10" s="233"/>
      <c r="G10" s="766"/>
      <c r="H10" s="774"/>
      <c r="I10" s="774"/>
      <c r="J10" s="752" t="s">
        <v>214</v>
      </c>
      <c r="K10" s="232">
        <v>1940621</v>
      </c>
      <c r="L10" s="233" t="e">
        <f>'4.sz.m.ÖNK kiadás'!G11+#REF!+'5. sz. m óvoda'!E38+#REF!</f>
        <v>#REF!</v>
      </c>
      <c r="M10" s="233" t="e">
        <f>'4.sz.m.ÖNK kiadás'!H11+#REF!+'5. sz. m óvoda'!F38+#REF!</f>
        <v>#REF!</v>
      </c>
      <c r="N10" s="233" t="e">
        <f>'4.sz.m.ÖNK kiadás'!I11+#REF!+'5. sz. m óvoda'!G38+#REF!</f>
        <v>#REF!</v>
      </c>
      <c r="O10" s="233" t="e">
        <f>'4.sz.m.ÖNK kiadás'!J11+#REF!+'5. sz. m óvoda'!H38+#REF!</f>
        <v>#REF!</v>
      </c>
      <c r="P10" s="766" t="e">
        <f>'4.sz.m.ÖNK kiadás'!K11+#REF!+'5. sz. m óvoda'!I38+#REF!</f>
        <v>#REF!</v>
      </c>
      <c r="Q10" s="955">
        <v>1991801</v>
      </c>
      <c r="R10" s="955">
        <f>'4.sz.m.ÖNK kiadás'!M11</f>
        <v>2584581</v>
      </c>
    </row>
    <row r="11" spans="1:18" ht="12.75">
      <c r="A11" s="736"/>
      <c r="B11" s="232"/>
      <c r="C11" s="233"/>
      <c r="D11" s="233"/>
      <c r="E11" s="233"/>
      <c r="F11" s="233"/>
      <c r="G11" s="766"/>
      <c r="H11" s="774"/>
      <c r="I11" s="774"/>
      <c r="J11" s="751" t="s">
        <v>215</v>
      </c>
      <c r="K11" s="234">
        <v>2804211</v>
      </c>
      <c r="L11" s="235">
        <f>'4.sz.m.ÖNK kiadás'!G25</f>
        <v>0</v>
      </c>
      <c r="M11" s="235">
        <f>'4.sz.m.ÖNK kiadás'!H25</f>
        <v>0</v>
      </c>
      <c r="N11" s="235" t="e">
        <f>'4.sz.m.ÖNK kiadás'!I25+#REF!</f>
        <v>#REF!</v>
      </c>
      <c r="O11" s="235" t="e">
        <f>'4.sz.m.ÖNK kiadás'!J25+#REF!</f>
        <v>#REF!</v>
      </c>
      <c r="P11" s="787" t="e">
        <f>'4.sz.m.ÖNK kiadás'!K25+#REF!</f>
        <v>#REF!</v>
      </c>
      <c r="Q11" s="955">
        <f>'4.sz.m.ÖNK kiadás'!L26</f>
        <v>2318124</v>
      </c>
      <c r="R11" s="955">
        <f>'4.sz.m.ÖNK kiadás'!M26</f>
        <v>3336401</v>
      </c>
    </row>
    <row r="12" spans="1:18" ht="12.75" hidden="1">
      <c r="A12" s="737"/>
      <c r="B12" s="236"/>
      <c r="C12" s="237"/>
      <c r="D12" s="237"/>
      <c r="E12" s="237"/>
      <c r="F12" s="237"/>
      <c r="G12" s="767"/>
      <c r="H12" s="774"/>
      <c r="I12" s="774"/>
      <c r="J12" s="753"/>
      <c r="K12" s="236"/>
      <c r="L12" s="237"/>
      <c r="M12" s="237"/>
      <c r="N12" s="237"/>
      <c r="O12" s="237"/>
      <c r="P12" s="767"/>
      <c r="Q12" s="955"/>
      <c r="R12" s="955"/>
    </row>
    <row r="13" spans="1:18" ht="16.5" customHeight="1" hidden="1" thickBot="1">
      <c r="A13" s="738"/>
      <c r="B13" s="238"/>
      <c r="C13" s="239"/>
      <c r="D13" s="239"/>
      <c r="E13" s="239"/>
      <c r="F13" s="239"/>
      <c r="G13" s="768"/>
      <c r="H13" s="774"/>
      <c r="I13" s="774"/>
      <c r="J13" s="754"/>
      <c r="K13" s="238"/>
      <c r="L13" s="239"/>
      <c r="M13" s="239"/>
      <c r="N13" s="239"/>
      <c r="O13" s="239"/>
      <c r="P13" s="768"/>
      <c r="Q13" s="955"/>
      <c r="R13" s="955"/>
    </row>
    <row r="14" spans="1:18" ht="18" customHeight="1" thickBot="1">
      <c r="A14" s="739" t="s">
        <v>216</v>
      </c>
      <c r="B14" s="240">
        <f>SUM(B6:B13)</f>
        <v>59022126</v>
      </c>
      <c r="C14" s="241">
        <f>C6+C9+C10+C11+C13</f>
        <v>0</v>
      </c>
      <c r="D14" s="241">
        <f>D6+D9+D10+D11+D13</f>
        <v>0</v>
      </c>
      <c r="E14" s="241">
        <f>E6+E9+E10+E11+E13</f>
        <v>0</v>
      </c>
      <c r="F14" s="241">
        <f>F6+F9+F10+F11+F13</f>
        <v>0</v>
      </c>
      <c r="G14" s="769">
        <f>G6+G9+G10+G11+G13</f>
        <v>0</v>
      </c>
      <c r="H14" s="776">
        <f>H6+H7+H8+H9</f>
        <v>60076855</v>
      </c>
      <c r="I14" s="776">
        <f>I6+I7+I8+I9</f>
        <v>63191675</v>
      </c>
      <c r="J14" s="755" t="s">
        <v>217</v>
      </c>
      <c r="K14" s="696">
        <f aca="true" t="shared" si="0" ref="K14:P14">SUM(K6:K13)</f>
        <v>73911892</v>
      </c>
      <c r="L14" s="241" t="e">
        <f t="shared" si="0"/>
        <v>#REF!</v>
      </c>
      <c r="M14" s="241" t="e">
        <f t="shared" si="0"/>
        <v>#REF!</v>
      </c>
      <c r="N14" s="241" t="e">
        <f t="shared" si="0"/>
        <v>#REF!</v>
      </c>
      <c r="O14" s="241" t="e">
        <f t="shared" si="0"/>
        <v>#REF!</v>
      </c>
      <c r="P14" s="769" t="e">
        <f t="shared" si="0"/>
        <v>#REF!</v>
      </c>
      <c r="Q14" s="956">
        <f>Q6+Q7+Q8+Q9+Q10+Q11</f>
        <v>74966621</v>
      </c>
      <c r="R14" s="956">
        <f>R6+R7+R8+R9+R10+R11</f>
        <v>77865541</v>
      </c>
    </row>
    <row r="15" spans="1:18" ht="15.75" customHeight="1">
      <c r="A15" s="740" t="s">
        <v>524</v>
      </c>
      <c r="B15" s="695">
        <v>15508821</v>
      </c>
      <c r="C15" s="242" t="e">
        <f>'3.sz.m Önk  bev.'!G59+#REF!+'5. sz. m óvoda'!E25+#REF!</f>
        <v>#REF!</v>
      </c>
      <c r="D15" s="242" t="e">
        <f>'3.sz.m Önk  bev.'!H59+#REF!+'5. sz. m óvoda'!F25+#REF!</f>
        <v>#REF!</v>
      </c>
      <c r="E15" s="242" t="e">
        <f>'3.sz.m Önk  bev.'!I59+#REF!+'5. sz. m óvoda'!G25+#REF!</f>
        <v>#REF!</v>
      </c>
      <c r="F15" s="242" t="e">
        <f>'3.sz.m Önk  bev.'!J59+#REF!+'5. sz. m óvoda'!H25+#REF!</f>
        <v>#REF!</v>
      </c>
      <c r="G15" s="770" t="e">
        <f>'3.sz.m Önk  bev.'!K59+#REF!+'5. sz. m óvoda'!I25+#REF!</f>
        <v>#REF!</v>
      </c>
      <c r="H15" s="953">
        <v>15508821</v>
      </c>
      <c r="I15" s="953">
        <f>15508821-215900</f>
        <v>15292921</v>
      </c>
      <c r="J15" s="750" t="s">
        <v>218</v>
      </c>
      <c r="K15" s="228"/>
      <c r="L15" s="229">
        <v>0</v>
      </c>
      <c r="M15" s="229">
        <v>0</v>
      </c>
      <c r="N15" s="229">
        <v>0</v>
      </c>
      <c r="O15" s="229">
        <v>0</v>
      </c>
      <c r="P15" s="765">
        <v>0</v>
      </c>
      <c r="Q15" s="954"/>
      <c r="R15" s="954"/>
    </row>
    <row r="16" spans="1:18" ht="12.75" customHeight="1" thickBot="1">
      <c r="A16" s="741" t="s">
        <v>219</v>
      </c>
      <c r="B16" s="243"/>
      <c r="C16" s="244"/>
      <c r="D16" s="244"/>
      <c r="E16" s="244"/>
      <c r="F16" s="244"/>
      <c r="G16" s="771"/>
      <c r="H16" s="777"/>
      <c r="I16" s="777"/>
      <c r="J16" s="753" t="s">
        <v>482</v>
      </c>
      <c r="K16" s="236">
        <v>619055</v>
      </c>
      <c r="L16" s="237"/>
      <c r="M16" s="237"/>
      <c r="N16" s="237"/>
      <c r="O16" s="237"/>
      <c r="P16" s="767"/>
      <c r="Q16" s="957">
        <v>619055</v>
      </c>
      <c r="R16" s="957">
        <v>619055</v>
      </c>
    </row>
    <row r="17" spans="1:18" ht="18.75" customHeight="1" thickBot="1">
      <c r="A17" s="742" t="s">
        <v>220</v>
      </c>
      <c r="B17" s="245">
        <v>15508821</v>
      </c>
      <c r="C17" s="246" t="e">
        <f>SUM(C15:C16)</f>
        <v>#REF!</v>
      </c>
      <c r="D17" s="246" t="e">
        <f>SUM(D15:D16)</f>
        <v>#REF!</v>
      </c>
      <c r="E17" s="246" t="e">
        <f>SUM(E15:E16)</f>
        <v>#REF!</v>
      </c>
      <c r="F17" s="246" t="e">
        <f>SUM(F15:F16)</f>
        <v>#REF!</v>
      </c>
      <c r="G17" s="772" t="e">
        <f>SUM(G15:G16)</f>
        <v>#REF!</v>
      </c>
      <c r="H17" s="778">
        <v>15508821</v>
      </c>
      <c r="I17" s="778">
        <f>SUM(I15:I16)</f>
        <v>15292921</v>
      </c>
      <c r="J17" s="756" t="s">
        <v>221</v>
      </c>
      <c r="K17" s="245">
        <f>SUM(K16)</f>
        <v>619055</v>
      </c>
      <c r="L17" s="246">
        <f>SUM(L15:L16)</f>
        <v>0</v>
      </c>
      <c r="M17" s="246">
        <f>SUM(M15:M16)</f>
        <v>0</v>
      </c>
      <c r="N17" s="246">
        <f>SUM(N15:N16)</f>
        <v>0</v>
      </c>
      <c r="O17" s="246">
        <f>SUM(O15:O16)</f>
        <v>0</v>
      </c>
      <c r="P17" s="772">
        <f>SUM(P15:P16)</f>
        <v>0</v>
      </c>
      <c r="Q17" s="958">
        <v>619055</v>
      </c>
      <c r="R17" s="958">
        <v>619055</v>
      </c>
    </row>
    <row r="18" spans="1:18" ht="17.25" customHeight="1" thickBot="1">
      <c r="A18" s="743" t="s">
        <v>222</v>
      </c>
      <c r="B18" s="247">
        <f aca="true" t="shared" si="1" ref="B18:G18">B14+B17</f>
        <v>74530947</v>
      </c>
      <c r="C18" s="248" t="e">
        <f t="shared" si="1"/>
        <v>#REF!</v>
      </c>
      <c r="D18" s="248" t="e">
        <f t="shared" si="1"/>
        <v>#REF!</v>
      </c>
      <c r="E18" s="248" t="e">
        <f t="shared" si="1"/>
        <v>#REF!</v>
      </c>
      <c r="F18" s="248" t="e">
        <f t="shared" si="1"/>
        <v>#REF!</v>
      </c>
      <c r="G18" s="773" t="e">
        <f t="shared" si="1"/>
        <v>#REF!</v>
      </c>
      <c r="H18" s="779">
        <f>H14+H17</f>
        <v>75585676</v>
      </c>
      <c r="I18" s="779">
        <f>I14+I17</f>
        <v>78484596</v>
      </c>
      <c r="J18" s="757" t="s">
        <v>223</v>
      </c>
      <c r="K18" s="247">
        <f aca="true" t="shared" si="2" ref="K18:P18">K14+K17</f>
        <v>74530947</v>
      </c>
      <c r="L18" s="248" t="e">
        <f t="shared" si="2"/>
        <v>#REF!</v>
      </c>
      <c r="M18" s="248" t="e">
        <f t="shared" si="2"/>
        <v>#REF!</v>
      </c>
      <c r="N18" s="248" t="e">
        <f t="shared" si="2"/>
        <v>#REF!</v>
      </c>
      <c r="O18" s="248" t="e">
        <f t="shared" si="2"/>
        <v>#REF!</v>
      </c>
      <c r="P18" s="773" t="e">
        <f t="shared" si="2"/>
        <v>#REF!</v>
      </c>
      <c r="Q18" s="959">
        <f>Q14+Q17</f>
        <v>75585676</v>
      </c>
      <c r="R18" s="959">
        <f>R14+R17</f>
        <v>78484596</v>
      </c>
    </row>
    <row r="19" spans="1:18" ht="17.25" customHeight="1" thickBot="1">
      <c r="A19" s="744" t="s">
        <v>224</v>
      </c>
      <c r="B19" s="780"/>
      <c r="C19" s="250"/>
      <c r="D19" s="250"/>
      <c r="E19" s="250"/>
      <c r="F19" s="250"/>
      <c r="G19" s="250"/>
      <c r="H19" s="780">
        <v>-14889766</v>
      </c>
      <c r="I19" s="780">
        <v>-14673866</v>
      </c>
      <c r="J19" s="758" t="s">
        <v>225</v>
      </c>
      <c r="K19" s="249"/>
      <c r="L19" s="250"/>
      <c r="M19" s="250"/>
      <c r="N19" s="250"/>
      <c r="O19" s="250"/>
      <c r="P19" s="250"/>
      <c r="Q19" s="960"/>
      <c r="R19" s="960"/>
    </row>
    <row r="20" spans="1:18" ht="17.25" customHeight="1" thickBot="1">
      <c r="A20" s="744" t="s">
        <v>226</v>
      </c>
      <c r="B20" s="780">
        <v>-14889766</v>
      </c>
      <c r="C20" s="250"/>
      <c r="D20" s="250"/>
      <c r="E20" s="250"/>
      <c r="F20" s="250"/>
      <c r="G20" s="250"/>
      <c r="H20" s="779">
        <v>-15508821</v>
      </c>
      <c r="I20" s="779">
        <v>-15292921</v>
      </c>
      <c r="J20" s="758" t="s">
        <v>227</v>
      </c>
      <c r="K20" s="249"/>
      <c r="L20" s="250"/>
      <c r="M20" s="250"/>
      <c r="N20" s="250"/>
      <c r="O20" s="250"/>
      <c r="P20" s="250"/>
      <c r="Q20" s="960"/>
      <c r="R20" s="960"/>
    </row>
    <row r="21" spans="1:17" ht="22.5" customHeight="1" thickBot="1">
      <c r="A21" s="1481" t="s">
        <v>228</v>
      </c>
      <c r="B21" s="1481"/>
      <c r="C21" s="1481"/>
      <c r="D21" s="1481"/>
      <c r="E21" s="1481"/>
      <c r="F21" s="1481"/>
      <c r="G21" s="1481"/>
      <c r="H21" s="1481"/>
      <c r="I21" s="1481"/>
      <c r="J21" s="1481"/>
      <c r="K21" s="1481"/>
      <c r="L21" s="251"/>
      <c r="M21" s="251"/>
      <c r="Q21" s="251"/>
    </row>
    <row r="22" spans="1:18" ht="22.5">
      <c r="A22" s="735" t="s">
        <v>229</v>
      </c>
      <c r="B22" s="252">
        <v>2000000</v>
      </c>
      <c r="C22" s="253"/>
      <c r="D22" s="253"/>
      <c r="E22" s="253"/>
      <c r="F22" s="253"/>
      <c r="G22" s="253"/>
      <c r="H22" s="782">
        <v>2000000</v>
      </c>
      <c r="I22" s="782">
        <v>2000000</v>
      </c>
      <c r="J22" s="759" t="s">
        <v>230</v>
      </c>
      <c r="K22" s="699">
        <v>889000</v>
      </c>
      <c r="L22" s="231" t="e">
        <f>'4.sz.m.ÖNK kiadás'!G18+#REF!</f>
        <v>#REF!</v>
      </c>
      <c r="M22" s="231" t="e">
        <f>'4.sz.m.ÖNK kiadás'!H18+#REF!</f>
        <v>#REF!</v>
      </c>
      <c r="N22" s="231" t="e">
        <f>'4.sz.m.ÖNK kiadás'!I18+#REF!</f>
        <v>#REF!</v>
      </c>
      <c r="O22" s="231" t="e">
        <f>'4.sz.m.ÖNK kiadás'!J18+#REF!</f>
        <v>#REF!</v>
      </c>
      <c r="P22" s="231" t="e">
        <f>'4.sz.m.ÖNK kiadás'!K18+#REF!</f>
        <v>#REF!</v>
      </c>
      <c r="Q22" s="961">
        <f>'4.sz.m.ÖNK kiadás'!L18+'5. sz. m óvoda'!P40</f>
        <v>1148990</v>
      </c>
      <c r="R22" s="961">
        <f>'4.sz.m.ÖNK kiadás'!M18+'5. sz. m óvoda'!Q40</f>
        <v>1364890</v>
      </c>
    </row>
    <row r="23" spans="1:18" ht="12.75">
      <c r="A23" s="736" t="s">
        <v>231</v>
      </c>
      <c r="B23" s="232"/>
      <c r="C23" s="233"/>
      <c r="D23" s="233"/>
      <c r="E23" s="233"/>
      <c r="F23" s="233"/>
      <c r="G23" s="233"/>
      <c r="H23" s="774"/>
      <c r="I23" s="774">
        <f>'3.sz.m Önk  bev.'!M52</f>
        <v>15000</v>
      </c>
      <c r="J23" s="751" t="s">
        <v>232</v>
      </c>
      <c r="K23" s="700">
        <v>1278549</v>
      </c>
      <c r="L23" s="233">
        <f>'4.sz.m.ÖNK kiadás'!G19</f>
        <v>0</v>
      </c>
      <c r="M23" s="233">
        <f>'4.sz.m.ÖNK kiadás'!H19</f>
        <v>0</v>
      </c>
      <c r="N23" s="233">
        <f>'4.sz.m.ÖNK kiadás'!I19</f>
        <v>0</v>
      </c>
      <c r="O23" s="233">
        <f>'4.sz.m.ÖNK kiadás'!J19</f>
        <v>0</v>
      </c>
      <c r="P23" s="233">
        <f>'4.sz.m.ÖNK kiadás'!K19</f>
        <v>0</v>
      </c>
      <c r="Q23" s="774">
        <v>1055160</v>
      </c>
      <c r="R23" s="774">
        <v>1055160</v>
      </c>
    </row>
    <row r="24" spans="1:18" ht="12.75">
      <c r="A24" s="736" t="s">
        <v>233</v>
      </c>
      <c r="B24" s="232">
        <v>2783549</v>
      </c>
      <c r="C24" s="233"/>
      <c r="D24" s="233"/>
      <c r="E24" s="233"/>
      <c r="F24" s="233"/>
      <c r="G24" s="233"/>
      <c r="H24" s="774">
        <f>2783549+'3.sz.m Önk  bev.'!L53</f>
        <v>3183549</v>
      </c>
      <c r="I24" s="774">
        <f>2783549+'3.sz.m Önk  bev.'!M53</f>
        <v>3183549</v>
      </c>
      <c r="J24" s="751" t="s">
        <v>234</v>
      </c>
      <c r="K24" s="700">
        <v>400000</v>
      </c>
      <c r="L24" s="233">
        <f>'4.sz.m.ÖNK kiadás'!G20</f>
        <v>0</v>
      </c>
      <c r="M24" s="233">
        <f>'4.sz.m.ÖNK kiadás'!H20</f>
        <v>0</v>
      </c>
      <c r="N24" s="233">
        <f>'4.sz.m.ÖNK kiadás'!I20</f>
        <v>0</v>
      </c>
      <c r="O24" s="233">
        <f>'4.sz.m.ÖNK kiadás'!J20</f>
        <v>0</v>
      </c>
      <c r="P24" s="233">
        <f>'4.sz.m.ÖNK kiadás'!K20</f>
        <v>0</v>
      </c>
      <c r="Q24" s="774">
        <v>400000</v>
      </c>
      <c r="R24" s="774">
        <v>400000</v>
      </c>
    </row>
    <row r="25" spans="1:18" ht="13.5" thickBot="1">
      <c r="A25" s="736"/>
      <c r="B25" s="232"/>
      <c r="C25" s="233"/>
      <c r="D25" s="233"/>
      <c r="E25" s="233"/>
      <c r="F25" s="233"/>
      <c r="G25" s="233"/>
      <c r="H25" s="774"/>
      <c r="I25" s="774"/>
      <c r="J25" s="751" t="s">
        <v>235</v>
      </c>
      <c r="K25" s="700">
        <v>7430000</v>
      </c>
      <c r="L25" s="233"/>
      <c r="M25" s="233"/>
      <c r="N25" s="233"/>
      <c r="O25" s="233"/>
      <c r="P25" s="233"/>
      <c r="Q25" s="774">
        <f>'4.sz.m.ÖNK kiadás'!L28</f>
        <v>7793399</v>
      </c>
      <c r="R25" s="774">
        <f>'4.sz.m.ÖNK kiadás'!M28</f>
        <v>7793399</v>
      </c>
    </row>
    <row r="26" spans="1:18" ht="13.5" hidden="1" thickBot="1">
      <c r="A26" s="745"/>
      <c r="B26" s="236"/>
      <c r="C26" s="237"/>
      <c r="D26" s="237"/>
      <c r="E26" s="237"/>
      <c r="F26" s="237"/>
      <c r="G26" s="237"/>
      <c r="H26" s="776"/>
      <c r="I26" s="776"/>
      <c r="J26" s="753"/>
      <c r="K26" s="697"/>
      <c r="L26" s="237"/>
      <c r="M26" s="237"/>
      <c r="N26" s="237"/>
      <c r="O26" s="237"/>
      <c r="P26" s="237"/>
      <c r="Q26" s="776"/>
      <c r="R26" s="776"/>
    </row>
    <row r="27" spans="1:18" ht="23.25" thickBot="1">
      <c r="A27" s="746" t="s">
        <v>236</v>
      </c>
      <c r="B27" s="247">
        <f>SUM(B22:B26)</f>
        <v>4783549</v>
      </c>
      <c r="C27" s="248">
        <f>SUM(C22:C25)</f>
        <v>0</v>
      </c>
      <c r="D27" s="248">
        <f>SUM(D22:D25)</f>
        <v>0</v>
      </c>
      <c r="E27" s="248">
        <f>SUM(E22:E25)</f>
        <v>0</v>
      </c>
      <c r="F27" s="248">
        <f>SUM(F22:F25)</f>
        <v>0</v>
      </c>
      <c r="G27" s="248">
        <f>SUM(G22:G25)</f>
        <v>0</v>
      </c>
      <c r="H27" s="779">
        <f>H22+H24</f>
        <v>5183549</v>
      </c>
      <c r="I27" s="779">
        <f>I22+I24</f>
        <v>5183549</v>
      </c>
      <c r="J27" s="760" t="s">
        <v>237</v>
      </c>
      <c r="K27" s="698">
        <f aca="true" t="shared" si="3" ref="K27:P27">SUM(K22:K26)</f>
        <v>9997549</v>
      </c>
      <c r="L27" s="254" t="e">
        <f t="shared" si="3"/>
        <v>#REF!</v>
      </c>
      <c r="M27" s="254" t="e">
        <f t="shared" si="3"/>
        <v>#REF!</v>
      </c>
      <c r="N27" s="254" t="e">
        <f t="shared" si="3"/>
        <v>#REF!</v>
      </c>
      <c r="O27" s="254" t="e">
        <f t="shared" si="3"/>
        <v>#REF!</v>
      </c>
      <c r="P27" s="254" t="e">
        <f t="shared" si="3"/>
        <v>#REF!</v>
      </c>
      <c r="Q27" s="785">
        <f>Q22+Q23+Q24+Q25</f>
        <v>10397549</v>
      </c>
      <c r="R27" s="785">
        <f>R22+R23+R24+R25</f>
        <v>10613449</v>
      </c>
    </row>
    <row r="28" spans="1:18" ht="15" customHeight="1">
      <c r="A28" s="740" t="s">
        <v>524</v>
      </c>
      <c r="B28" s="255">
        <v>5214000</v>
      </c>
      <c r="C28" s="256"/>
      <c r="D28" s="256"/>
      <c r="E28" s="256"/>
      <c r="F28" s="256"/>
      <c r="G28" s="256"/>
      <c r="H28" s="783">
        <v>5214000</v>
      </c>
      <c r="I28" s="783">
        <f>5214000+215900</f>
        <v>5429900</v>
      </c>
      <c r="J28" s="761" t="s">
        <v>238</v>
      </c>
      <c r="K28" s="228"/>
      <c r="L28" s="229"/>
      <c r="M28" s="229"/>
      <c r="N28" s="229"/>
      <c r="O28" s="229"/>
      <c r="P28" s="229"/>
      <c r="Q28" s="775"/>
      <c r="R28" s="775"/>
    </row>
    <row r="29" spans="1:18" ht="13.5" thickBot="1">
      <c r="A29" s="741" t="s">
        <v>219</v>
      </c>
      <c r="B29" s="257"/>
      <c r="C29" s="258"/>
      <c r="D29" s="258"/>
      <c r="E29" s="258"/>
      <c r="F29" s="258"/>
      <c r="G29" s="258"/>
      <c r="H29" s="784"/>
      <c r="I29" s="784"/>
      <c r="J29" s="762"/>
      <c r="K29" s="236"/>
      <c r="L29" s="237"/>
      <c r="M29" s="237"/>
      <c r="N29" s="237"/>
      <c r="O29" s="237"/>
      <c r="P29" s="237"/>
      <c r="Q29" s="776"/>
      <c r="R29" s="776"/>
    </row>
    <row r="30" spans="1:18" ht="18.75" customHeight="1" thickBot="1">
      <c r="A30" s="747" t="s">
        <v>239</v>
      </c>
      <c r="B30" s="245">
        <f aca="true" t="shared" si="4" ref="B30:G30">SUM(B28:B29)</f>
        <v>5214000</v>
      </c>
      <c r="C30" s="246">
        <f t="shared" si="4"/>
        <v>0</v>
      </c>
      <c r="D30" s="246">
        <f t="shared" si="4"/>
        <v>0</v>
      </c>
      <c r="E30" s="246">
        <f t="shared" si="4"/>
        <v>0</v>
      </c>
      <c r="F30" s="246">
        <f t="shared" si="4"/>
        <v>0</v>
      </c>
      <c r="G30" s="246">
        <f t="shared" si="4"/>
        <v>0</v>
      </c>
      <c r="H30" s="785">
        <v>5214000</v>
      </c>
      <c r="I30" s="785">
        <f>SUM(I28:I29)</f>
        <v>5429900</v>
      </c>
      <c r="J30" s="760" t="s">
        <v>240</v>
      </c>
      <c r="K30" s="247"/>
      <c r="L30" s="248">
        <f>SUM(L28:L29)</f>
        <v>0</v>
      </c>
      <c r="M30" s="248">
        <f>SUM(M28:M29)</f>
        <v>0</v>
      </c>
      <c r="N30" s="248">
        <f>SUM(N28:N29)</f>
        <v>0</v>
      </c>
      <c r="O30" s="248">
        <f>SUM(O28:O29)</f>
        <v>0</v>
      </c>
      <c r="P30" s="248">
        <f>SUM(P28:P29)</f>
        <v>0</v>
      </c>
      <c r="Q30" s="962"/>
      <c r="R30" s="962"/>
    </row>
    <row r="31" spans="1:19" ht="21" customHeight="1" thickBot="1">
      <c r="A31" s="748" t="s">
        <v>241</v>
      </c>
      <c r="B31" s="247">
        <f aca="true" t="shared" si="5" ref="B31:G31">B27+B30</f>
        <v>9997549</v>
      </c>
      <c r="C31" s="248">
        <f t="shared" si="5"/>
        <v>0</v>
      </c>
      <c r="D31" s="248">
        <f t="shared" si="5"/>
        <v>0</v>
      </c>
      <c r="E31" s="248">
        <f t="shared" si="5"/>
        <v>0</v>
      </c>
      <c r="F31" s="248">
        <f t="shared" si="5"/>
        <v>0</v>
      </c>
      <c r="G31" s="248">
        <f t="shared" si="5"/>
        <v>0</v>
      </c>
      <c r="H31" s="779">
        <f>H27+H30</f>
        <v>10397549</v>
      </c>
      <c r="I31" s="779">
        <f>I27+I30</f>
        <v>10613449</v>
      </c>
      <c r="J31" s="763" t="s">
        <v>242</v>
      </c>
      <c r="K31" s="247">
        <v>9997549</v>
      </c>
      <c r="L31" s="248" t="e">
        <f>L30+L27</f>
        <v>#REF!</v>
      </c>
      <c r="M31" s="248" t="e">
        <f>M30+M27</f>
        <v>#REF!</v>
      </c>
      <c r="N31" s="248" t="e">
        <f>N30+N27</f>
        <v>#REF!</v>
      </c>
      <c r="O31" s="248" t="e">
        <f>O30+O27</f>
        <v>#REF!</v>
      </c>
      <c r="P31" s="248" t="e">
        <f>P30+P27</f>
        <v>#REF!</v>
      </c>
      <c r="Q31" s="785">
        <f>Q27</f>
        <v>10397549</v>
      </c>
      <c r="R31" s="785">
        <f>R27</f>
        <v>10613449</v>
      </c>
      <c r="S31" s="251"/>
    </row>
    <row r="32" spans="1:18" ht="26.25" customHeight="1" hidden="1" thickBot="1">
      <c r="A32" s="748" t="s">
        <v>243</v>
      </c>
      <c r="B32" s="259"/>
      <c r="C32" s="260"/>
      <c r="D32" s="260"/>
      <c r="E32" s="260"/>
      <c r="F32" s="260"/>
      <c r="G32" s="260"/>
      <c r="H32" s="779"/>
      <c r="I32" s="779"/>
      <c r="J32" s="763" t="s">
        <v>192</v>
      </c>
      <c r="K32" s="247"/>
      <c r="L32" s="248"/>
      <c r="M32" s="248"/>
      <c r="N32" s="248"/>
      <c r="O32" s="248"/>
      <c r="P32" s="248"/>
      <c r="Q32" s="962"/>
      <c r="R32" s="962"/>
    </row>
    <row r="33" spans="1:18" ht="16.5" customHeight="1" thickBot="1">
      <c r="A33" s="749" t="s">
        <v>224</v>
      </c>
      <c r="B33" s="261"/>
      <c r="C33" s="260"/>
      <c r="D33" s="260"/>
      <c r="E33" s="260"/>
      <c r="F33" s="260"/>
      <c r="G33" s="260"/>
      <c r="H33" s="261">
        <v>-5214000</v>
      </c>
      <c r="I33" s="261">
        <v>-5429900</v>
      </c>
      <c r="J33" s="781" t="s">
        <v>225</v>
      </c>
      <c r="K33" s="247"/>
      <c r="L33" s="248"/>
      <c r="M33" s="248"/>
      <c r="N33" s="248"/>
      <c r="O33" s="248"/>
      <c r="P33" s="248"/>
      <c r="Q33" s="962"/>
      <c r="R33" s="962"/>
    </row>
    <row r="34" spans="1:18" ht="19.5" customHeight="1" thickBot="1">
      <c r="A34" s="749" t="s">
        <v>226</v>
      </c>
      <c r="B34" s="261">
        <v>-5214000</v>
      </c>
      <c r="C34" s="262" t="e">
        <f>C18+C31</f>
        <v>#REF!</v>
      </c>
      <c r="D34" s="262" t="e">
        <f>D18+D31</f>
        <v>#REF!</v>
      </c>
      <c r="E34" s="262" t="e">
        <f>E18+E31</f>
        <v>#REF!</v>
      </c>
      <c r="F34" s="262" t="e">
        <f>F18+F31+F32</f>
        <v>#REF!</v>
      </c>
      <c r="G34" s="262" t="e">
        <f>G18+G31+G32</f>
        <v>#REF!</v>
      </c>
      <c r="H34" s="261">
        <v>-5214000</v>
      </c>
      <c r="I34" s="261">
        <v>-5214000</v>
      </c>
      <c r="J34" s="781" t="s">
        <v>227</v>
      </c>
      <c r="K34" s="263"/>
      <c r="L34" s="264" t="e">
        <f>L31+L18</f>
        <v>#REF!</v>
      </c>
      <c r="M34" s="264" t="e">
        <f>M31+M18</f>
        <v>#REF!</v>
      </c>
      <c r="N34" s="264" t="e">
        <f>N31+N18</f>
        <v>#REF!</v>
      </c>
      <c r="O34" s="264" t="e">
        <f>O31+O18+O32</f>
        <v>#REF!</v>
      </c>
      <c r="P34" s="264" t="e">
        <f>P31+P18+P32</f>
        <v>#REF!</v>
      </c>
      <c r="Q34" s="963"/>
      <c r="R34" s="963"/>
    </row>
    <row r="35" spans="9:18" ht="12.75">
      <c r="I35" s="251"/>
      <c r="R35" s="251"/>
    </row>
    <row r="36" spans="2:17" ht="12.75">
      <c r="B36" s="251"/>
      <c r="C36" s="251"/>
      <c r="D36" s="251"/>
      <c r="E36" s="251"/>
      <c r="F36" s="251"/>
      <c r="G36" s="251"/>
      <c r="H36" s="251"/>
      <c r="I36" s="251"/>
      <c r="K36" s="251"/>
      <c r="L36" s="251"/>
      <c r="M36" s="251"/>
      <c r="N36" s="251"/>
      <c r="O36" s="251"/>
      <c r="P36" s="251"/>
      <c r="Q36" s="251"/>
    </row>
    <row r="37" ht="12.75">
      <c r="R37" s="251">
        <f>I38-R35</f>
        <v>89098045</v>
      </c>
    </row>
    <row r="38" ht="12.75">
      <c r="I38" s="251">
        <f>'3.sz.m Önk  bev.'!M61+'5. sz. m óvoda'!Q29-'5. sz. m óvoda'!Q26</f>
        <v>89098045</v>
      </c>
    </row>
    <row r="40" ht="12.75">
      <c r="I40" s="251">
        <f>I35-I38</f>
        <v>-89098045</v>
      </c>
    </row>
  </sheetData>
  <sheetProtection selectLockedCells="1" selectUnlockedCells="1"/>
  <mergeCells count="4">
    <mergeCell ref="J1:K1"/>
    <mergeCell ref="A2:K2"/>
    <mergeCell ref="A4:K4"/>
    <mergeCell ref="A21:K2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"/>
  <sheetViews>
    <sheetView zoomScale="75" zoomScaleNormal="75" zoomScalePageLayoutView="0" workbookViewId="0" topLeftCell="A1">
      <selection activeCell="AD36" sqref="AD36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17.00390625" style="3" customWidth="1"/>
    <col min="7" max="11" width="0" style="3" hidden="1" customWidth="1"/>
    <col min="12" max="13" width="17.8515625" style="3" customWidth="1"/>
    <col min="14" max="14" width="18.421875" style="4" customWidth="1"/>
    <col min="15" max="19" width="0" style="4" hidden="1" customWidth="1"/>
    <col min="20" max="21" width="17.421875" style="4" customWidth="1"/>
    <col min="22" max="22" width="16.7109375" style="5" customWidth="1"/>
    <col min="23" max="25" width="0" style="4" hidden="1" customWidth="1"/>
    <col min="26" max="27" width="0" style="5" hidden="1" customWidth="1"/>
    <col min="28" max="28" width="13.7109375" style="5" customWidth="1"/>
    <col min="29" max="29" width="14.7109375" style="5" customWidth="1"/>
    <col min="30" max="30" width="11.57421875" style="5" bestFit="1" customWidth="1"/>
    <col min="31" max="16384" width="9.140625" style="5" customWidth="1"/>
  </cols>
  <sheetData>
    <row r="1" spans="1:22" ht="12.75">
      <c r="A1" s="6"/>
      <c r="B1" s="6"/>
      <c r="C1" s="6"/>
      <c r="D1" s="7"/>
      <c r="E1" s="7"/>
      <c r="V1" s="8" t="s">
        <v>244</v>
      </c>
    </row>
    <row r="2" spans="1:25" s="11" customFormat="1" ht="34.5" customHeight="1">
      <c r="A2" s="1427" t="s">
        <v>599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1427"/>
      <c r="R2" s="1427"/>
      <c r="S2" s="1427"/>
      <c r="T2" s="1427"/>
      <c r="U2" s="1427"/>
      <c r="V2" s="1427"/>
      <c r="W2" s="9"/>
      <c r="X2" s="10"/>
      <c r="Y2" s="10"/>
    </row>
    <row r="3" spans="1:22" ht="13.5" thickBot="1">
      <c r="A3" s="12"/>
      <c r="B3" s="12"/>
      <c r="C3" s="12"/>
      <c r="D3" s="13"/>
      <c r="E3" s="14"/>
      <c r="N3" s="15"/>
      <c r="O3" s="15"/>
      <c r="P3" s="15"/>
      <c r="Q3" s="15"/>
      <c r="R3" s="15"/>
      <c r="S3" s="15"/>
      <c r="T3" s="15"/>
      <c r="U3" s="15"/>
      <c r="V3" s="16" t="s">
        <v>484</v>
      </c>
    </row>
    <row r="4" spans="1:29" ht="45.75" customHeight="1" thickBot="1">
      <c r="A4" s="1428" t="s">
        <v>2</v>
      </c>
      <c r="B4" s="1428"/>
      <c r="C4" s="1428"/>
      <c r="D4" s="18" t="s">
        <v>3</v>
      </c>
      <c r="E4" s="19" t="s">
        <v>4</v>
      </c>
      <c r="F4" s="1433" t="s">
        <v>5</v>
      </c>
      <c r="G4" s="1434"/>
      <c r="H4" s="1434"/>
      <c r="I4" s="1434"/>
      <c r="J4" s="1434"/>
      <c r="K4" s="1434"/>
      <c r="L4" s="1434"/>
      <c r="M4" s="1435"/>
      <c r="N4" s="1433" t="s">
        <v>6</v>
      </c>
      <c r="O4" s="1434"/>
      <c r="P4" s="1434"/>
      <c r="Q4" s="1434"/>
      <c r="R4" s="1434"/>
      <c r="S4" s="1434"/>
      <c r="T4" s="1434"/>
      <c r="U4" s="1435"/>
      <c r="V4" s="1485" t="s">
        <v>7</v>
      </c>
      <c r="W4" s="1486"/>
      <c r="X4" s="1486"/>
      <c r="Y4" s="1486"/>
      <c r="Z4" s="1486"/>
      <c r="AA4" s="1486"/>
      <c r="AB4" s="1486"/>
      <c r="AC4" s="1487"/>
    </row>
    <row r="5" spans="1:29" ht="45.75" customHeight="1" thickBot="1">
      <c r="A5" s="17"/>
      <c r="B5" s="20"/>
      <c r="C5" s="20"/>
      <c r="D5" s="18"/>
      <c r="E5" s="19"/>
      <c r="F5" s="21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22" t="s">
        <v>10</v>
      </c>
      <c r="M5" s="23" t="s">
        <v>11</v>
      </c>
      <c r="N5" s="21" t="s">
        <v>9</v>
      </c>
      <c r="O5" s="22" t="s">
        <v>10</v>
      </c>
      <c r="P5" s="22" t="s">
        <v>11</v>
      </c>
      <c r="Q5" s="22" t="s">
        <v>12</v>
      </c>
      <c r="R5" s="22" t="s">
        <v>13</v>
      </c>
      <c r="S5" s="22" t="s">
        <v>14</v>
      </c>
      <c r="T5" s="22" t="s">
        <v>10</v>
      </c>
      <c r="U5" s="23" t="s">
        <v>11</v>
      </c>
      <c r="V5" s="21" t="s">
        <v>9</v>
      </c>
      <c r="W5" s="22" t="s">
        <v>10</v>
      </c>
      <c r="X5" s="22" t="s">
        <v>11</v>
      </c>
      <c r="Y5" s="22" t="s">
        <v>12</v>
      </c>
      <c r="Z5" s="22" t="s">
        <v>13</v>
      </c>
      <c r="AA5" s="22" t="s">
        <v>14</v>
      </c>
      <c r="AB5" s="1176" t="s">
        <v>505</v>
      </c>
      <c r="AC5" s="23" t="s">
        <v>11</v>
      </c>
    </row>
    <row r="6" spans="1:34" s="28" customFormat="1" ht="21.75" customHeight="1" thickBot="1">
      <c r="A6" s="24"/>
      <c r="B6" s="1415"/>
      <c r="C6" s="1415"/>
      <c r="D6" s="1415"/>
      <c r="E6" s="25"/>
      <c r="F6" s="26"/>
      <c r="G6" s="27"/>
      <c r="H6" s="27"/>
      <c r="I6" s="27"/>
      <c r="J6" s="27"/>
      <c r="K6" s="27"/>
      <c r="L6" s="27"/>
      <c r="M6" s="1157"/>
      <c r="N6" s="26"/>
      <c r="O6" s="27"/>
      <c r="P6" s="27"/>
      <c r="Q6" s="27"/>
      <c r="R6" s="27"/>
      <c r="S6" s="27"/>
      <c r="T6" s="27"/>
      <c r="U6" s="1157"/>
      <c r="V6" s="26"/>
      <c r="W6" s="27"/>
      <c r="X6" s="27"/>
      <c r="Y6" s="27"/>
      <c r="Z6" s="27"/>
      <c r="AA6" s="27"/>
      <c r="AB6" s="1177"/>
      <c r="AC6" s="1178"/>
      <c r="AH6" s="964"/>
    </row>
    <row r="7" spans="1:34" s="28" customFormat="1" ht="21.75" customHeight="1" thickBot="1">
      <c r="A7" s="24" t="s">
        <v>15</v>
      </c>
      <c r="B7" s="1415" t="s">
        <v>16</v>
      </c>
      <c r="C7" s="1415"/>
      <c r="D7" s="1415"/>
      <c r="E7" s="29" t="s">
        <v>17</v>
      </c>
      <c r="F7" s="26">
        <f>F8+F13+F16+F17+F20</f>
        <v>18900000</v>
      </c>
      <c r="G7" s="27">
        <f aca="true" t="shared" si="0" ref="G7:V7">G8+G13+G16+G17+G20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L8+L13+L16+L17+L20</f>
        <v>18930000</v>
      </c>
      <c r="M7" s="1157">
        <f>M8+M13+M16+M17+M20</f>
        <v>18930000</v>
      </c>
      <c r="N7" s="26">
        <f t="shared" si="0"/>
        <v>15841584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>L7-AB7</f>
        <v>15820404</v>
      </c>
      <c r="U7" s="1157">
        <f>M7-AC7</f>
        <v>15467246</v>
      </c>
      <c r="V7" s="26">
        <f t="shared" si="0"/>
        <v>3058416</v>
      </c>
      <c r="W7" s="27">
        <f>W8+W13+W16</f>
        <v>0</v>
      </c>
      <c r="X7" s="27">
        <f>X8+X13+X16</f>
        <v>0</v>
      </c>
      <c r="Y7" s="27">
        <f>Y8+Y13+Y16</f>
        <v>0</v>
      </c>
      <c r="Z7" s="27">
        <f>Z8+Z13+Z16</f>
        <v>0</v>
      </c>
      <c r="AA7" s="27">
        <f>AA8+AA13+AA16</f>
        <v>0</v>
      </c>
      <c r="AB7" s="27">
        <v>3109596</v>
      </c>
      <c r="AC7" s="1157">
        <f>AC8+AC13+AC16+AC17</f>
        <v>3462754</v>
      </c>
      <c r="AH7" s="965"/>
    </row>
    <row r="8" spans="1:34" ht="21.75" customHeight="1">
      <c r="A8" s="30"/>
      <c r="B8" s="31" t="s">
        <v>18</v>
      </c>
      <c r="C8" s="1429" t="s">
        <v>19</v>
      </c>
      <c r="D8" s="1429"/>
      <c r="E8" s="32" t="s">
        <v>20</v>
      </c>
      <c r="F8" s="33">
        <v>2000000</v>
      </c>
      <c r="G8" s="34"/>
      <c r="H8" s="34"/>
      <c r="I8" s="34"/>
      <c r="J8" s="34"/>
      <c r="K8" s="34"/>
      <c r="L8" s="1158">
        <v>2000000</v>
      </c>
      <c r="M8" s="1159">
        <v>2000000</v>
      </c>
      <c r="N8" s="702">
        <f>F8-V8</f>
        <v>2000000</v>
      </c>
      <c r="O8" s="34"/>
      <c r="P8" s="34"/>
      <c r="Q8" s="34"/>
      <c r="R8" s="34"/>
      <c r="S8" s="34"/>
      <c r="T8" s="34">
        <f aca="true" t="shared" si="1" ref="T8:U63">L8-AB8</f>
        <v>2000000</v>
      </c>
      <c r="U8" s="1161">
        <f t="shared" si="1"/>
        <v>2000000</v>
      </c>
      <c r="V8" s="33"/>
      <c r="W8" s="35"/>
      <c r="X8" s="35"/>
      <c r="Y8" s="35"/>
      <c r="Z8" s="35"/>
      <c r="AA8" s="35"/>
      <c r="AB8" s="34"/>
      <c r="AC8" s="1161"/>
      <c r="AH8" s="965"/>
    </row>
    <row r="9" spans="1:34" ht="21.75" customHeight="1">
      <c r="A9" s="36"/>
      <c r="B9" s="37"/>
      <c r="C9" s="37" t="s">
        <v>21</v>
      </c>
      <c r="D9" s="38" t="s">
        <v>22</v>
      </c>
      <c r="E9" s="39"/>
      <c r="F9" s="40"/>
      <c r="G9" s="41"/>
      <c r="H9" s="41"/>
      <c r="I9" s="41"/>
      <c r="J9" s="41"/>
      <c r="K9" s="41"/>
      <c r="L9" s="41"/>
      <c r="M9" s="1160"/>
      <c r="N9" s="40">
        <f aca="true" t="shared" si="2" ref="N9:N20">F9-V9</f>
        <v>0</v>
      </c>
      <c r="O9" s="41"/>
      <c r="P9" s="41"/>
      <c r="Q9" s="41"/>
      <c r="R9" s="41"/>
      <c r="S9" s="41"/>
      <c r="T9" s="41">
        <f t="shared" si="1"/>
        <v>0</v>
      </c>
      <c r="U9" s="1160">
        <f t="shared" si="1"/>
        <v>0</v>
      </c>
      <c r="V9" s="40"/>
      <c r="W9" s="41"/>
      <c r="X9" s="41"/>
      <c r="Y9" s="41"/>
      <c r="Z9" s="41"/>
      <c r="AA9" s="41"/>
      <c r="AB9" s="41"/>
      <c r="AC9" s="1160"/>
      <c r="AH9" s="965"/>
    </row>
    <row r="10" spans="1:34" ht="21.75" customHeight="1">
      <c r="A10" s="36"/>
      <c r="B10" s="37"/>
      <c r="C10" s="37" t="s">
        <v>23</v>
      </c>
      <c r="D10" s="38" t="s">
        <v>24</v>
      </c>
      <c r="E10" s="39"/>
      <c r="F10" s="40">
        <v>2000000</v>
      </c>
      <c r="G10" s="41"/>
      <c r="H10" s="41"/>
      <c r="I10" s="41"/>
      <c r="J10" s="41"/>
      <c r="K10" s="41"/>
      <c r="L10" s="41">
        <v>2000000</v>
      </c>
      <c r="M10" s="1160">
        <v>2000000</v>
      </c>
      <c r="N10" s="40">
        <f t="shared" si="2"/>
        <v>2000000</v>
      </c>
      <c r="O10" s="41"/>
      <c r="P10" s="41"/>
      <c r="Q10" s="41"/>
      <c r="R10" s="41"/>
      <c r="S10" s="41"/>
      <c r="T10" s="41">
        <f t="shared" si="1"/>
        <v>2000000</v>
      </c>
      <c r="U10" s="1160">
        <f t="shared" si="1"/>
        <v>2000000</v>
      </c>
      <c r="V10" s="40"/>
      <c r="W10" s="41"/>
      <c r="X10" s="41"/>
      <c r="Y10" s="41"/>
      <c r="Z10" s="41"/>
      <c r="AA10" s="41"/>
      <c r="AB10" s="41"/>
      <c r="AC10" s="1160"/>
      <c r="AH10" s="965"/>
    </row>
    <row r="11" spans="1:34" ht="21.75" customHeight="1">
      <c r="A11" s="36"/>
      <c r="B11" s="37"/>
      <c r="C11" s="37" t="s">
        <v>25</v>
      </c>
      <c r="D11" s="38" t="s">
        <v>26</v>
      </c>
      <c r="E11" s="39"/>
      <c r="F11" s="40"/>
      <c r="G11" s="41"/>
      <c r="H11" s="41"/>
      <c r="I11" s="41"/>
      <c r="J11" s="41"/>
      <c r="K11" s="41"/>
      <c r="L11" s="41"/>
      <c r="M11" s="1160"/>
      <c r="N11" s="40">
        <f t="shared" si="2"/>
        <v>0</v>
      </c>
      <c r="O11" s="41"/>
      <c r="P11" s="41"/>
      <c r="Q11" s="41"/>
      <c r="R11" s="41"/>
      <c r="S11" s="41"/>
      <c r="T11" s="41">
        <f t="shared" si="1"/>
        <v>0</v>
      </c>
      <c r="U11" s="1160">
        <f t="shared" si="1"/>
        <v>0</v>
      </c>
      <c r="V11" s="40"/>
      <c r="W11" s="41"/>
      <c r="X11" s="41"/>
      <c r="Y11" s="41"/>
      <c r="Z11" s="41"/>
      <c r="AA11" s="41"/>
      <c r="AB11" s="41"/>
      <c r="AC11" s="1160"/>
      <c r="AH11" s="965"/>
    </row>
    <row r="12" spans="1:37" ht="21.75" customHeight="1" hidden="1">
      <c r="A12" s="36"/>
      <c r="B12" s="37"/>
      <c r="C12" s="37"/>
      <c r="D12" s="38"/>
      <c r="E12" s="39"/>
      <c r="F12" s="40"/>
      <c r="G12" s="41"/>
      <c r="H12" s="41"/>
      <c r="I12" s="41"/>
      <c r="J12" s="41"/>
      <c r="K12" s="41"/>
      <c r="L12" s="41"/>
      <c r="M12" s="1160"/>
      <c r="N12" s="40">
        <f t="shared" si="2"/>
        <v>0</v>
      </c>
      <c r="O12" s="41"/>
      <c r="P12" s="41"/>
      <c r="Q12" s="41"/>
      <c r="R12" s="41"/>
      <c r="S12" s="41"/>
      <c r="T12" s="41">
        <f t="shared" si="1"/>
        <v>0</v>
      </c>
      <c r="U12" s="1160">
        <f t="shared" si="1"/>
        <v>0</v>
      </c>
      <c r="V12" s="40"/>
      <c r="W12" s="41"/>
      <c r="X12" s="41"/>
      <c r="Y12" s="41"/>
      <c r="Z12" s="41"/>
      <c r="AA12" s="41"/>
      <c r="AB12" s="41"/>
      <c r="AC12" s="1160"/>
      <c r="AH12" s="965"/>
      <c r="AK12" s="5" t="s">
        <v>27</v>
      </c>
    </row>
    <row r="13" spans="1:34" ht="21.75" customHeight="1">
      <c r="A13" s="36"/>
      <c r="B13" s="37" t="s">
        <v>28</v>
      </c>
      <c r="C13" s="1436" t="s">
        <v>29</v>
      </c>
      <c r="D13" s="1436"/>
      <c r="E13" s="43" t="s">
        <v>30</v>
      </c>
      <c r="F13" s="40">
        <v>15000000</v>
      </c>
      <c r="G13" s="41"/>
      <c r="H13" s="41"/>
      <c r="I13" s="41"/>
      <c r="J13" s="41"/>
      <c r="K13" s="41"/>
      <c r="L13" s="41">
        <v>15000000</v>
      </c>
      <c r="M13" s="1160">
        <v>15000000</v>
      </c>
      <c r="N13" s="40">
        <f t="shared" si="2"/>
        <v>11941584</v>
      </c>
      <c r="O13" s="41"/>
      <c r="P13" s="41"/>
      <c r="Q13" s="41"/>
      <c r="R13" s="41"/>
      <c r="S13" s="41"/>
      <c r="T13" s="41">
        <v>11881744</v>
      </c>
      <c r="U13" s="1160">
        <v>11881744</v>
      </c>
      <c r="V13" s="40">
        <v>3058416</v>
      </c>
      <c r="W13" s="41"/>
      <c r="X13" s="41"/>
      <c r="Y13" s="41"/>
      <c r="Z13" s="41"/>
      <c r="AA13" s="41"/>
      <c r="AB13" s="41">
        <v>3109596</v>
      </c>
      <c r="AC13" s="1160">
        <f>SUM(AC14:AC15)</f>
        <v>3462754</v>
      </c>
      <c r="AH13" s="965"/>
    </row>
    <row r="14" spans="1:34" ht="21.75" customHeight="1">
      <c r="A14" s="36"/>
      <c r="B14" s="37"/>
      <c r="C14" s="37" t="s">
        <v>31</v>
      </c>
      <c r="D14" s="42" t="s">
        <v>595</v>
      </c>
      <c r="E14" s="43"/>
      <c r="F14" s="40">
        <v>15000000</v>
      </c>
      <c r="G14" s="41"/>
      <c r="H14" s="41"/>
      <c r="I14" s="41"/>
      <c r="J14" s="41"/>
      <c r="K14" s="41"/>
      <c r="L14" s="41">
        <v>15000000</v>
      </c>
      <c r="M14" s="1160">
        <v>15000000</v>
      </c>
      <c r="N14" s="40">
        <f t="shared" si="2"/>
        <v>15000000</v>
      </c>
      <c r="O14" s="41"/>
      <c r="P14" s="41"/>
      <c r="Q14" s="41"/>
      <c r="R14" s="41"/>
      <c r="S14" s="41"/>
      <c r="T14" s="41">
        <f t="shared" si="1"/>
        <v>15000000</v>
      </c>
      <c r="U14" s="1160">
        <f t="shared" si="1"/>
        <v>11537246</v>
      </c>
      <c r="V14" s="40"/>
      <c r="W14" s="44"/>
      <c r="X14" s="44"/>
      <c r="Y14" s="44"/>
      <c r="Z14" s="44"/>
      <c r="AA14" s="44"/>
      <c r="AB14" s="41"/>
      <c r="AC14" s="1160">
        <f>3109596+353158</f>
        <v>3462754</v>
      </c>
      <c r="AH14" s="965"/>
    </row>
    <row r="15" spans="1:34" ht="21.75" customHeight="1">
      <c r="A15" s="36"/>
      <c r="B15" s="37"/>
      <c r="C15" s="37" t="s">
        <v>33</v>
      </c>
      <c r="D15" s="42" t="s">
        <v>34</v>
      </c>
      <c r="E15" s="43"/>
      <c r="F15" s="40"/>
      <c r="G15" s="41"/>
      <c r="H15" s="41"/>
      <c r="I15" s="41"/>
      <c r="J15" s="41"/>
      <c r="K15" s="41"/>
      <c r="L15" s="41"/>
      <c r="M15" s="1160"/>
      <c r="N15" s="40">
        <f t="shared" si="2"/>
        <v>0</v>
      </c>
      <c r="O15" s="41"/>
      <c r="P15" s="41"/>
      <c r="Q15" s="41"/>
      <c r="R15" s="41"/>
      <c r="S15" s="41"/>
      <c r="T15" s="41">
        <f t="shared" si="1"/>
        <v>0</v>
      </c>
      <c r="U15" s="1160">
        <f t="shared" si="1"/>
        <v>0</v>
      </c>
      <c r="V15" s="40"/>
      <c r="W15" s="44"/>
      <c r="X15" s="44"/>
      <c r="Y15" s="44"/>
      <c r="Z15" s="44"/>
      <c r="AA15" s="44"/>
      <c r="AB15" s="41"/>
      <c r="AC15" s="1160"/>
      <c r="AH15" s="966"/>
    </row>
    <row r="16" spans="1:34" ht="21.75" customHeight="1">
      <c r="A16" s="36"/>
      <c r="B16" s="37" t="s">
        <v>35</v>
      </c>
      <c r="C16" s="1436" t="s">
        <v>36</v>
      </c>
      <c r="D16" s="1436"/>
      <c r="E16" s="43" t="s">
        <v>37</v>
      </c>
      <c r="F16" s="40">
        <v>1500000</v>
      </c>
      <c r="G16" s="41"/>
      <c r="H16" s="41"/>
      <c r="I16" s="45"/>
      <c r="J16" s="45"/>
      <c r="K16" s="45"/>
      <c r="L16" s="41">
        <v>1500000</v>
      </c>
      <c r="M16" s="1160">
        <v>1500000</v>
      </c>
      <c r="N16" s="40">
        <f t="shared" si="2"/>
        <v>1500000</v>
      </c>
      <c r="O16" s="41"/>
      <c r="P16" s="41"/>
      <c r="Q16" s="45"/>
      <c r="R16" s="45"/>
      <c r="S16" s="45"/>
      <c r="T16" s="41">
        <f t="shared" si="1"/>
        <v>1500000</v>
      </c>
      <c r="U16" s="1160">
        <f t="shared" si="1"/>
        <v>1500000</v>
      </c>
      <c r="V16" s="40"/>
      <c r="W16" s="44"/>
      <c r="X16" s="44"/>
      <c r="Y16" s="46"/>
      <c r="Z16" s="46"/>
      <c r="AA16" s="46"/>
      <c r="AB16" s="41"/>
      <c r="AC16" s="1160"/>
      <c r="AH16" s="966"/>
    </row>
    <row r="17" spans="1:34" ht="21.75" customHeight="1">
      <c r="A17" s="36"/>
      <c r="B17" s="37" t="s">
        <v>38</v>
      </c>
      <c r="C17" s="1490" t="s">
        <v>39</v>
      </c>
      <c r="D17" s="1490"/>
      <c r="E17" s="47" t="s">
        <v>40</v>
      </c>
      <c r="F17" s="40">
        <v>300000</v>
      </c>
      <c r="G17" s="41"/>
      <c r="H17" s="41"/>
      <c r="I17" s="45"/>
      <c r="J17" s="45"/>
      <c r="K17" s="45"/>
      <c r="L17" s="41">
        <v>300000</v>
      </c>
      <c r="M17" s="1160">
        <v>300000</v>
      </c>
      <c r="N17" s="40">
        <f t="shared" si="2"/>
        <v>300000</v>
      </c>
      <c r="O17" s="41"/>
      <c r="P17" s="41"/>
      <c r="Q17" s="45"/>
      <c r="R17" s="45"/>
      <c r="S17" s="45"/>
      <c r="T17" s="41">
        <f t="shared" si="1"/>
        <v>300000</v>
      </c>
      <c r="U17" s="1160">
        <f t="shared" si="1"/>
        <v>300000</v>
      </c>
      <c r="V17" s="40"/>
      <c r="W17" s="48"/>
      <c r="X17" s="48"/>
      <c r="Y17" s="49"/>
      <c r="Z17" s="49"/>
      <c r="AA17" s="49"/>
      <c r="AB17" s="41"/>
      <c r="AC17" s="1160"/>
      <c r="AH17" s="966"/>
    </row>
    <row r="18" spans="1:34" ht="21.75" customHeight="1">
      <c r="A18" s="36"/>
      <c r="B18" s="37"/>
      <c r="C18" s="37" t="s">
        <v>41</v>
      </c>
      <c r="D18" s="42" t="s">
        <v>42</v>
      </c>
      <c r="E18" s="43"/>
      <c r="F18" s="40"/>
      <c r="G18" s="41"/>
      <c r="H18" s="41"/>
      <c r="I18" s="45"/>
      <c r="J18" s="45"/>
      <c r="K18" s="45"/>
      <c r="L18" s="41"/>
      <c r="M18" s="1160"/>
      <c r="N18" s="40">
        <f t="shared" si="2"/>
        <v>0</v>
      </c>
      <c r="O18" s="41"/>
      <c r="P18" s="41"/>
      <c r="Q18" s="45"/>
      <c r="R18" s="45"/>
      <c r="S18" s="45"/>
      <c r="T18" s="41">
        <f t="shared" si="1"/>
        <v>0</v>
      </c>
      <c r="U18" s="1160">
        <f t="shared" si="1"/>
        <v>0</v>
      </c>
      <c r="V18" s="40"/>
      <c r="W18" s="48"/>
      <c r="X18" s="48"/>
      <c r="Y18" s="49"/>
      <c r="Z18" s="49"/>
      <c r="AA18" s="49"/>
      <c r="AB18" s="41"/>
      <c r="AC18" s="1160"/>
      <c r="AH18" s="966"/>
    </row>
    <row r="19" spans="1:34" ht="21.75" customHeight="1">
      <c r="A19" s="36"/>
      <c r="B19" s="37"/>
      <c r="C19" s="37" t="s">
        <v>43</v>
      </c>
      <c r="D19" s="42" t="s">
        <v>44</v>
      </c>
      <c r="E19" s="43"/>
      <c r="F19" s="40">
        <v>300000</v>
      </c>
      <c r="G19" s="41"/>
      <c r="H19" s="41"/>
      <c r="I19" s="45"/>
      <c r="J19" s="45"/>
      <c r="K19" s="45"/>
      <c r="L19" s="41">
        <v>300000</v>
      </c>
      <c r="M19" s="1160">
        <v>300000</v>
      </c>
      <c r="N19" s="40">
        <f t="shared" si="2"/>
        <v>300000</v>
      </c>
      <c r="O19" s="41"/>
      <c r="P19" s="41"/>
      <c r="Q19" s="45"/>
      <c r="R19" s="45"/>
      <c r="S19" s="45"/>
      <c r="T19" s="41">
        <f t="shared" si="1"/>
        <v>300000</v>
      </c>
      <c r="U19" s="1160">
        <f t="shared" si="1"/>
        <v>300000</v>
      </c>
      <c r="V19" s="40"/>
      <c r="W19" s="48"/>
      <c r="X19" s="48"/>
      <c r="Y19" s="49"/>
      <c r="Z19" s="49"/>
      <c r="AA19" s="49"/>
      <c r="AB19" s="41"/>
      <c r="AC19" s="1160"/>
      <c r="AH19" s="966"/>
    </row>
    <row r="20" spans="1:34" ht="21.75" customHeight="1" thickBot="1">
      <c r="A20" s="50"/>
      <c r="B20" s="51" t="s">
        <v>45</v>
      </c>
      <c r="C20" s="1489" t="s">
        <v>46</v>
      </c>
      <c r="D20" s="1489"/>
      <c r="E20" s="52" t="s">
        <v>47</v>
      </c>
      <c r="F20" s="40">
        <v>100000</v>
      </c>
      <c r="G20" s="53"/>
      <c r="H20" s="53"/>
      <c r="I20" s="54"/>
      <c r="J20" s="54"/>
      <c r="K20" s="54"/>
      <c r="L20" s="41">
        <v>130000</v>
      </c>
      <c r="M20" s="1160">
        <v>130000</v>
      </c>
      <c r="N20" s="60">
        <f t="shared" si="2"/>
        <v>100000</v>
      </c>
      <c r="O20" s="53"/>
      <c r="P20" s="53"/>
      <c r="Q20" s="54"/>
      <c r="R20" s="54"/>
      <c r="S20" s="54"/>
      <c r="T20" s="53">
        <f t="shared" si="1"/>
        <v>130000</v>
      </c>
      <c r="U20" s="1175">
        <f t="shared" si="1"/>
        <v>130000</v>
      </c>
      <c r="V20" s="55"/>
      <c r="W20" s="48"/>
      <c r="X20" s="48"/>
      <c r="Y20" s="49"/>
      <c r="Z20" s="49"/>
      <c r="AA20" s="49"/>
      <c r="AB20" s="53"/>
      <c r="AC20" s="1175"/>
      <c r="AH20" s="964"/>
    </row>
    <row r="21" spans="1:34" ht="21.75" customHeight="1" thickBot="1">
      <c r="A21" s="24" t="s">
        <v>48</v>
      </c>
      <c r="B21" s="1415" t="s">
        <v>49</v>
      </c>
      <c r="C21" s="1415"/>
      <c r="D21" s="1415"/>
      <c r="E21" s="25" t="s">
        <v>50</v>
      </c>
      <c r="F21" s="26">
        <f>F23+F24+F25+F31+F32</f>
        <v>7021738</v>
      </c>
      <c r="G21" s="27">
        <f aca="true" t="shared" si="3" ref="G21:V21">G23+G24+G25+G31+G32</f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>L22+L23+L24+L25+L31+L32+L33</f>
        <v>7353433</v>
      </c>
      <c r="M21" s="1157">
        <f>M22+M23+M24+M25+M31+M32+M33</f>
        <v>9152090</v>
      </c>
      <c r="N21" s="26">
        <f t="shared" si="3"/>
        <v>3244058</v>
      </c>
      <c r="O21" s="27">
        <f t="shared" si="3"/>
        <v>0</v>
      </c>
      <c r="P21" s="27">
        <f t="shared" si="3"/>
        <v>0</v>
      </c>
      <c r="Q21" s="27">
        <f t="shared" si="3"/>
        <v>0</v>
      </c>
      <c r="R21" s="27">
        <f t="shared" si="3"/>
        <v>0</v>
      </c>
      <c r="S21" s="27">
        <f t="shared" si="3"/>
        <v>0</v>
      </c>
      <c r="T21" s="27">
        <f t="shared" si="1"/>
        <v>3575753</v>
      </c>
      <c r="U21" s="1157">
        <f t="shared" si="1"/>
        <v>5374410</v>
      </c>
      <c r="V21" s="26">
        <f t="shared" si="3"/>
        <v>3777680</v>
      </c>
      <c r="W21" s="27">
        <f>SUM(W23:W32)</f>
        <v>0</v>
      </c>
      <c r="X21" s="27">
        <f>SUM(X23:X32)</f>
        <v>0</v>
      </c>
      <c r="Y21" s="265">
        <f>SUM(Y23:Y32)</f>
        <v>0</v>
      </c>
      <c r="Z21" s="265">
        <f>SUM(Z23:Z32)</f>
        <v>0</v>
      </c>
      <c r="AA21" s="265">
        <f>SUM(AA23:AA32)</f>
        <v>870</v>
      </c>
      <c r="AB21" s="27">
        <v>3777680</v>
      </c>
      <c r="AC21" s="1157">
        <v>3777680</v>
      </c>
      <c r="AH21" s="965"/>
    </row>
    <row r="22" spans="1:34" ht="21.75" customHeight="1">
      <c r="A22" s="971"/>
      <c r="B22" s="923">
        <v>20</v>
      </c>
      <c r="C22" s="1429" t="s">
        <v>512</v>
      </c>
      <c r="D22" s="1488"/>
      <c r="E22" s="32" t="s">
        <v>515</v>
      </c>
      <c r="F22" s="33"/>
      <c r="G22" s="34"/>
      <c r="H22" s="34"/>
      <c r="I22" s="34"/>
      <c r="J22" s="34"/>
      <c r="K22" s="34"/>
      <c r="L22" s="34">
        <v>10000</v>
      </c>
      <c r="M22" s="1161">
        <f>10000+76385</f>
        <v>86385</v>
      </c>
      <c r="N22" s="33"/>
      <c r="O22" s="34"/>
      <c r="P22" s="34"/>
      <c r="Q22" s="34"/>
      <c r="R22" s="34"/>
      <c r="S22" s="34"/>
      <c r="T22" s="34">
        <f t="shared" si="1"/>
        <v>10000</v>
      </c>
      <c r="U22" s="1161">
        <f t="shared" si="1"/>
        <v>86385</v>
      </c>
      <c r="V22" s="33"/>
      <c r="W22" s="48"/>
      <c r="X22" s="48"/>
      <c r="Y22" s="49"/>
      <c r="Z22" s="49"/>
      <c r="AA22" s="49"/>
      <c r="AB22" s="34"/>
      <c r="AC22" s="1161"/>
      <c r="AH22" s="965"/>
    </row>
    <row r="23" spans="1:34" ht="21.75" customHeight="1">
      <c r="A23" s="56"/>
      <c r="B23" s="57" t="s">
        <v>51</v>
      </c>
      <c r="C23" s="1421" t="s">
        <v>52</v>
      </c>
      <c r="D23" s="1421"/>
      <c r="E23" s="59" t="s">
        <v>53</v>
      </c>
      <c r="F23" s="60">
        <v>4037680</v>
      </c>
      <c r="G23" s="35"/>
      <c r="H23" s="35"/>
      <c r="I23" s="61"/>
      <c r="J23" s="61"/>
      <c r="K23" s="61"/>
      <c r="L23" s="35">
        <v>4037680</v>
      </c>
      <c r="M23" s="1162">
        <f>4037680</f>
        <v>4037680</v>
      </c>
      <c r="N23" s="60">
        <f>F23-V23</f>
        <v>260000</v>
      </c>
      <c r="O23" s="35"/>
      <c r="P23" s="35"/>
      <c r="Q23" s="61"/>
      <c r="R23" s="61"/>
      <c r="S23" s="61"/>
      <c r="T23" s="41">
        <f t="shared" si="1"/>
        <v>260000</v>
      </c>
      <c r="U23" s="1160">
        <f t="shared" si="1"/>
        <v>260000</v>
      </c>
      <c r="V23" s="60">
        <v>3777680</v>
      </c>
      <c r="W23" s="35"/>
      <c r="X23" s="35"/>
      <c r="Y23" s="61"/>
      <c r="Z23" s="61"/>
      <c r="AA23" s="61">
        <v>600</v>
      </c>
      <c r="AB23" s="41">
        <v>3777680</v>
      </c>
      <c r="AC23" s="1160">
        <v>3777680</v>
      </c>
      <c r="AH23" s="966"/>
    </row>
    <row r="24" spans="1:34" ht="21.75" customHeight="1">
      <c r="A24" s="36"/>
      <c r="B24" s="37" t="s">
        <v>54</v>
      </c>
      <c r="C24" s="1419" t="s">
        <v>245</v>
      </c>
      <c r="D24" s="1419"/>
      <c r="E24" s="39" t="s">
        <v>56</v>
      </c>
      <c r="F24" s="62"/>
      <c r="G24" s="63"/>
      <c r="H24" s="63"/>
      <c r="I24" s="63"/>
      <c r="J24" s="63"/>
      <c r="K24" s="63"/>
      <c r="L24" s="63">
        <v>5195</v>
      </c>
      <c r="M24" s="81">
        <v>5195</v>
      </c>
      <c r="N24" s="60">
        <f aca="true" t="shared" si="4" ref="N24:N32">F24-V24</f>
        <v>0</v>
      </c>
      <c r="O24" s="63"/>
      <c r="P24" s="63"/>
      <c r="Q24" s="63"/>
      <c r="R24" s="63"/>
      <c r="S24" s="63"/>
      <c r="T24" s="41">
        <f t="shared" si="1"/>
        <v>5195</v>
      </c>
      <c r="U24" s="1160">
        <f t="shared" si="1"/>
        <v>5195</v>
      </c>
      <c r="V24" s="62"/>
      <c r="W24" s="63"/>
      <c r="X24" s="63"/>
      <c r="Y24" s="63"/>
      <c r="Z24" s="63"/>
      <c r="AA24" s="63"/>
      <c r="AB24" s="1179"/>
      <c r="AC24" s="788"/>
      <c r="AH24" s="896"/>
    </row>
    <row r="25" spans="1:34" ht="21.75" customHeight="1">
      <c r="A25" s="36"/>
      <c r="B25" s="37" t="s">
        <v>57</v>
      </c>
      <c r="C25" s="1419" t="s">
        <v>58</v>
      </c>
      <c r="D25" s="1419"/>
      <c r="E25" s="39" t="s">
        <v>59</v>
      </c>
      <c r="F25" s="62">
        <v>2884058</v>
      </c>
      <c r="G25" s="63"/>
      <c r="H25" s="63"/>
      <c r="I25" s="63"/>
      <c r="J25" s="63"/>
      <c r="K25" s="63"/>
      <c r="L25" s="63">
        <v>3184058</v>
      </c>
      <c r="M25" s="81">
        <f>M26+M27+M28</f>
        <v>4898330</v>
      </c>
      <c r="N25" s="60">
        <f t="shared" si="4"/>
        <v>2884058</v>
      </c>
      <c r="O25" s="63"/>
      <c r="P25" s="63"/>
      <c r="Q25" s="63"/>
      <c r="R25" s="63"/>
      <c r="S25" s="63"/>
      <c r="T25" s="41">
        <f t="shared" si="1"/>
        <v>3184058</v>
      </c>
      <c r="U25" s="1160">
        <f t="shared" si="1"/>
        <v>4898330</v>
      </c>
      <c r="V25" s="62"/>
      <c r="W25" s="63"/>
      <c r="X25" s="63"/>
      <c r="Y25" s="63"/>
      <c r="Z25" s="63"/>
      <c r="AA25" s="63"/>
      <c r="AB25" s="1179"/>
      <c r="AC25" s="788"/>
      <c r="AH25" s="896"/>
    </row>
    <row r="26" spans="1:34" ht="27.75" customHeight="1">
      <c r="A26" s="36"/>
      <c r="B26" s="37"/>
      <c r="C26" s="37" t="s">
        <v>60</v>
      </c>
      <c r="D26" s="38" t="s">
        <v>61</v>
      </c>
      <c r="E26" s="39"/>
      <c r="F26" s="62">
        <v>2884058</v>
      </c>
      <c r="G26" s="63"/>
      <c r="H26" s="63"/>
      <c r="I26" s="63"/>
      <c r="J26" s="63"/>
      <c r="K26" s="63"/>
      <c r="L26" s="63">
        <v>3184058</v>
      </c>
      <c r="M26" s="81">
        <f>3184058+486738+1170000</f>
        <v>4840796</v>
      </c>
      <c r="N26" s="60">
        <f t="shared" si="4"/>
        <v>2884058</v>
      </c>
      <c r="O26" s="63"/>
      <c r="P26" s="63"/>
      <c r="Q26" s="63"/>
      <c r="R26" s="63"/>
      <c r="S26" s="63"/>
      <c r="T26" s="41">
        <f t="shared" si="1"/>
        <v>3184058</v>
      </c>
      <c r="U26" s="1160">
        <f t="shared" si="1"/>
        <v>4840796</v>
      </c>
      <c r="V26" s="62"/>
      <c r="W26" s="63"/>
      <c r="X26" s="63"/>
      <c r="Y26" s="63"/>
      <c r="Z26" s="63"/>
      <c r="AA26" s="63"/>
      <c r="AB26" s="1179"/>
      <c r="AC26" s="788"/>
      <c r="AH26" s="896"/>
    </row>
    <row r="27" spans="1:34" ht="41.25" customHeight="1">
      <c r="A27" s="36"/>
      <c r="B27" s="37"/>
      <c r="C27" s="37" t="s">
        <v>62</v>
      </c>
      <c r="D27" s="38" t="s">
        <v>63</v>
      </c>
      <c r="E27" s="39"/>
      <c r="F27" s="62"/>
      <c r="G27" s="63"/>
      <c r="H27" s="63"/>
      <c r="I27" s="63"/>
      <c r="J27" s="63"/>
      <c r="K27" s="63"/>
      <c r="L27" s="63"/>
      <c r="M27" s="81"/>
      <c r="N27" s="60">
        <f t="shared" si="4"/>
        <v>0</v>
      </c>
      <c r="O27" s="63"/>
      <c r="P27" s="63"/>
      <c r="Q27" s="63"/>
      <c r="R27" s="63"/>
      <c r="S27" s="63"/>
      <c r="T27" s="41">
        <f t="shared" si="1"/>
        <v>0</v>
      </c>
      <c r="U27" s="1160">
        <f t="shared" si="1"/>
        <v>0</v>
      </c>
      <c r="V27" s="62"/>
      <c r="W27" s="63"/>
      <c r="X27" s="63"/>
      <c r="Y27" s="63"/>
      <c r="Z27" s="63"/>
      <c r="AA27" s="63"/>
      <c r="AB27" s="1179"/>
      <c r="AC27" s="788"/>
      <c r="AH27" s="896"/>
    </row>
    <row r="28" spans="1:34" ht="21.75" customHeight="1">
      <c r="A28" s="36"/>
      <c r="B28" s="37"/>
      <c r="C28" s="37" t="s">
        <v>64</v>
      </c>
      <c r="D28" s="38" t="s">
        <v>65</v>
      </c>
      <c r="E28" s="39"/>
      <c r="F28" s="62"/>
      <c r="G28" s="63"/>
      <c r="H28" s="63"/>
      <c r="I28" s="63"/>
      <c r="J28" s="63"/>
      <c r="K28" s="63"/>
      <c r="L28" s="63"/>
      <c r="M28" s="81">
        <v>57534</v>
      </c>
      <c r="N28" s="60">
        <f t="shared" si="4"/>
        <v>0</v>
      </c>
      <c r="O28" s="63"/>
      <c r="P28" s="63"/>
      <c r="Q28" s="63"/>
      <c r="R28" s="63"/>
      <c r="S28" s="63"/>
      <c r="T28" s="41">
        <f t="shared" si="1"/>
        <v>0</v>
      </c>
      <c r="U28" s="1160">
        <f t="shared" si="1"/>
        <v>57534</v>
      </c>
      <c r="V28" s="62"/>
      <c r="W28" s="63"/>
      <c r="X28" s="63"/>
      <c r="Y28" s="63"/>
      <c r="Z28" s="63"/>
      <c r="AA28" s="63"/>
      <c r="AB28" s="1179"/>
      <c r="AC28" s="788"/>
      <c r="AH28" s="896"/>
    </row>
    <row r="29" spans="1:34" ht="21.75" customHeight="1">
      <c r="A29" s="36"/>
      <c r="B29" s="37" t="s">
        <v>66</v>
      </c>
      <c r="C29" s="1419" t="s">
        <v>67</v>
      </c>
      <c r="D29" s="1419"/>
      <c r="E29" s="39"/>
      <c r="F29" s="62"/>
      <c r="G29" s="63"/>
      <c r="H29" s="63"/>
      <c r="I29" s="63"/>
      <c r="J29" s="63"/>
      <c r="K29" s="63"/>
      <c r="L29" s="63"/>
      <c r="M29" s="81"/>
      <c r="N29" s="60">
        <f t="shared" si="4"/>
        <v>0</v>
      </c>
      <c r="O29" s="63"/>
      <c r="P29" s="63"/>
      <c r="Q29" s="63"/>
      <c r="R29" s="63"/>
      <c r="S29" s="63"/>
      <c r="T29" s="41">
        <f t="shared" si="1"/>
        <v>0</v>
      </c>
      <c r="U29" s="1160">
        <f t="shared" si="1"/>
        <v>0</v>
      </c>
      <c r="V29" s="62"/>
      <c r="W29" s="63"/>
      <c r="X29" s="63"/>
      <c r="Y29" s="63"/>
      <c r="Z29" s="63"/>
      <c r="AA29" s="63">
        <v>270</v>
      </c>
      <c r="AB29" s="1179"/>
      <c r="AC29" s="788"/>
      <c r="AH29" s="896"/>
    </row>
    <row r="30" spans="1:34" ht="21.75" customHeight="1">
      <c r="A30" s="64"/>
      <c r="B30" s="65" t="s">
        <v>68</v>
      </c>
      <c r="C30" s="1483" t="s">
        <v>69</v>
      </c>
      <c r="D30" s="1483"/>
      <c r="E30" s="39"/>
      <c r="F30" s="62"/>
      <c r="G30" s="63"/>
      <c r="H30" s="63"/>
      <c r="I30" s="63"/>
      <c r="J30" s="63"/>
      <c r="K30" s="63"/>
      <c r="L30" s="63"/>
      <c r="M30" s="81"/>
      <c r="N30" s="60">
        <f t="shared" si="4"/>
        <v>0</v>
      </c>
      <c r="O30" s="63"/>
      <c r="P30" s="63"/>
      <c r="Q30" s="63"/>
      <c r="R30" s="63"/>
      <c r="S30" s="63"/>
      <c r="T30" s="41">
        <f t="shared" si="1"/>
        <v>0</v>
      </c>
      <c r="U30" s="1160">
        <f t="shared" si="1"/>
        <v>0</v>
      </c>
      <c r="V30" s="62"/>
      <c r="W30" s="63"/>
      <c r="X30" s="63"/>
      <c r="Y30" s="63"/>
      <c r="Z30" s="63"/>
      <c r="AA30" s="63"/>
      <c r="AB30" s="1179"/>
      <c r="AC30" s="788"/>
      <c r="AH30" s="896"/>
    </row>
    <row r="31" spans="1:34" ht="21.75" customHeight="1">
      <c r="A31" s="64"/>
      <c r="B31" s="65" t="s">
        <v>70</v>
      </c>
      <c r="C31" s="1483" t="s">
        <v>71</v>
      </c>
      <c r="D31" s="1483"/>
      <c r="E31" s="39" t="s">
        <v>72</v>
      </c>
      <c r="F31" s="62"/>
      <c r="G31" s="63"/>
      <c r="H31" s="63"/>
      <c r="I31" s="63"/>
      <c r="J31" s="63"/>
      <c r="K31" s="63"/>
      <c r="L31" s="63">
        <v>10000</v>
      </c>
      <c r="M31" s="81">
        <v>18000</v>
      </c>
      <c r="N31" s="60">
        <f t="shared" si="4"/>
        <v>0</v>
      </c>
      <c r="O31" s="63"/>
      <c r="P31" s="63"/>
      <c r="Q31" s="63"/>
      <c r="R31" s="63"/>
      <c r="S31" s="63"/>
      <c r="T31" s="41">
        <f t="shared" si="1"/>
        <v>10000</v>
      </c>
      <c r="U31" s="1160">
        <f t="shared" si="1"/>
        <v>18000</v>
      </c>
      <c r="V31" s="62"/>
      <c r="W31" s="63"/>
      <c r="X31" s="63"/>
      <c r="Y31" s="63"/>
      <c r="Z31" s="63"/>
      <c r="AA31" s="63"/>
      <c r="AB31" s="1179"/>
      <c r="AC31" s="788"/>
      <c r="AH31" s="896"/>
    </row>
    <row r="32" spans="1:34" ht="21.75" customHeight="1">
      <c r="A32" s="64"/>
      <c r="B32" s="65" t="s">
        <v>73</v>
      </c>
      <c r="C32" s="1418" t="s">
        <v>74</v>
      </c>
      <c r="D32" s="1418"/>
      <c r="E32" s="66" t="s">
        <v>511</v>
      </c>
      <c r="F32" s="82">
        <v>100000</v>
      </c>
      <c r="G32" s="83"/>
      <c r="H32" s="83"/>
      <c r="I32" s="83"/>
      <c r="J32" s="83"/>
      <c r="K32" s="83"/>
      <c r="L32" s="83">
        <v>100000</v>
      </c>
      <c r="M32" s="1163">
        <v>100000</v>
      </c>
      <c r="N32" s="972">
        <f t="shared" si="4"/>
        <v>100000</v>
      </c>
      <c r="O32" s="83"/>
      <c r="P32" s="83"/>
      <c r="Q32" s="83"/>
      <c r="R32" s="83"/>
      <c r="S32" s="83"/>
      <c r="T32" s="41">
        <f t="shared" si="1"/>
        <v>100000</v>
      </c>
      <c r="U32" s="1160">
        <f t="shared" si="1"/>
        <v>100000</v>
      </c>
      <c r="V32" s="82"/>
      <c r="W32" s="83"/>
      <c r="X32" s="83"/>
      <c r="Y32" s="83"/>
      <c r="Z32" s="83"/>
      <c r="AA32" s="83"/>
      <c r="AB32" s="1180"/>
      <c r="AC32" s="789"/>
      <c r="AH32" s="896"/>
    </row>
    <row r="33" spans="1:34" ht="21.75" customHeight="1" thickBot="1">
      <c r="A33" s="50"/>
      <c r="B33" s="51" t="s">
        <v>509</v>
      </c>
      <c r="C33" s="1422" t="s">
        <v>516</v>
      </c>
      <c r="D33" s="1423"/>
      <c r="E33" s="87" t="s">
        <v>511</v>
      </c>
      <c r="F33" s="88"/>
      <c r="G33" s="89"/>
      <c r="H33" s="89"/>
      <c r="I33" s="89"/>
      <c r="J33" s="89"/>
      <c r="K33" s="89"/>
      <c r="L33" s="89">
        <v>6500</v>
      </c>
      <c r="M33" s="90">
        <v>6500</v>
      </c>
      <c r="N33" s="55"/>
      <c r="O33" s="89"/>
      <c r="P33" s="89"/>
      <c r="Q33" s="89"/>
      <c r="R33" s="89"/>
      <c r="S33" s="89"/>
      <c r="T33" s="53">
        <f t="shared" si="1"/>
        <v>6500</v>
      </c>
      <c r="U33" s="1175">
        <f t="shared" si="1"/>
        <v>6500</v>
      </c>
      <c r="V33" s="88"/>
      <c r="W33" s="89"/>
      <c r="X33" s="89"/>
      <c r="Y33" s="89"/>
      <c r="Z33" s="89"/>
      <c r="AA33" s="89"/>
      <c r="AB33" s="1181"/>
      <c r="AC33" s="973"/>
      <c r="AH33" s="896"/>
    </row>
    <row r="34" spans="1:34" ht="42" customHeight="1" thickBot="1">
      <c r="A34" s="67" t="s">
        <v>75</v>
      </c>
      <c r="B34" s="1415" t="s">
        <v>76</v>
      </c>
      <c r="C34" s="1415"/>
      <c r="D34" s="1415"/>
      <c r="E34" s="25" t="s">
        <v>77</v>
      </c>
      <c r="F34" s="68">
        <f>F35+F36+F37+F38</f>
        <v>32301052</v>
      </c>
      <c r="G34" s="71">
        <f aca="true" t="shared" si="5" ref="G34:AB34">G35+G36+G37+G38</f>
        <v>0</v>
      </c>
      <c r="H34" s="71">
        <f t="shared" si="5"/>
        <v>0</v>
      </c>
      <c r="I34" s="71">
        <f t="shared" si="5"/>
        <v>0</v>
      </c>
      <c r="J34" s="71">
        <f t="shared" si="5"/>
        <v>0</v>
      </c>
      <c r="K34" s="71">
        <f t="shared" si="5"/>
        <v>0</v>
      </c>
      <c r="L34" s="71">
        <f>L35+L38+L36</f>
        <v>32953976</v>
      </c>
      <c r="M34" s="1164">
        <f>M35+M38+M36</f>
        <v>33308306</v>
      </c>
      <c r="N34" s="68">
        <f t="shared" si="5"/>
        <v>32280859</v>
      </c>
      <c r="O34" s="71">
        <f t="shared" si="5"/>
        <v>0</v>
      </c>
      <c r="P34" s="71">
        <f t="shared" si="5"/>
        <v>0</v>
      </c>
      <c r="Q34" s="71">
        <f t="shared" si="5"/>
        <v>0</v>
      </c>
      <c r="R34" s="71">
        <f t="shared" si="5"/>
        <v>0</v>
      </c>
      <c r="S34" s="71">
        <f t="shared" si="5"/>
        <v>0</v>
      </c>
      <c r="T34" s="71">
        <f>T35+T38+T36</f>
        <v>32832818</v>
      </c>
      <c r="U34" s="1164">
        <f>U35+U38+U36</f>
        <v>33308306</v>
      </c>
      <c r="V34" s="68">
        <f t="shared" si="5"/>
        <v>20193</v>
      </c>
      <c r="W34" s="68">
        <f t="shared" si="5"/>
        <v>0</v>
      </c>
      <c r="X34" s="68">
        <f t="shared" si="5"/>
        <v>0</v>
      </c>
      <c r="Y34" s="68">
        <f t="shared" si="5"/>
        <v>0</v>
      </c>
      <c r="Z34" s="68">
        <f t="shared" si="5"/>
        <v>0</v>
      </c>
      <c r="AA34" s="68">
        <f t="shared" si="5"/>
        <v>0</v>
      </c>
      <c r="AB34" s="68">
        <f t="shared" si="5"/>
        <v>121158</v>
      </c>
      <c r="AC34" s="974">
        <f>SUM(AC35:AC38)</f>
        <v>0</v>
      </c>
      <c r="AH34" s="896"/>
    </row>
    <row r="35" spans="1:34" ht="21.75" customHeight="1" thickBot="1">
      <c r="A35" s="56"/>
      <c r="B35" s="65" t="s">
        <v>78</v>
      </c>
      <c r="C35" s="1484" t="s">
        <v>79</v>
      </c>
      <c r="D35" s="1484"/>
      <c r="E35" s="69" t="s">
        <v>80</v>
      </c>
      <c r="F35" s="62">
        <v>18542240</v>
      </c>
      <c r="G35" s="70"/>
      <c r="H35" s="70"/>
      <c r="I35" s="70"/>
      <c r="J35" s="70"/>
      <c r="K35" s="70"/>
      <c r="L35" s="1165">
        <f>19132790-590550</f>
        <v>18542240</v>
      </c>
      <c r="M35" s="1166">
        <f>19132790-590550</f>
        <v>18542240</v>
      </c>
      <c r="N35" s="703">
        <f>F35-V35</f>
        <v>18522047</v>
      </c>
      <c r="O35" s="70"/>
      <c r="P35" s="70"/>
      <c r="Q35" s="70"/>
      <c r="R35" s="70"/>
      <c r="S35" s="70"/>
      <c r="T35" s="34">
        <f t="shared" si="1"/>
        <v>18421082</v>
      </c>
      <c r="U35" s="1161">
        <f t="shared" si="1"/>
        <v>18542240</v>
      </c>
      <c r="V35" s="701">
        <v>20193</v>
      </c>
      <c r="W35" s="71"/>
      <c r="X35" s="71"/>
      <c r="Y35" s="71"/>
      <c r="Z35" s="71"/>
      <c r="AA35" s="71"/>
      <c r="AB35" s="1182">
        <v>121158</v>
      </c>
      <c r="AC35" s="790">
        <v>0</v>
      </c>
      <c r="AD35" s="4"/>
      <c r="AH35" s="967"/>
    </row>
    <row r="36" spans="1:34" ht="21.75" customHeight="1" thickBot="1">
      <c r="A36" s="36"/>
      <c r="B36" s="65" t="s">
        <v>81</v>
      </c>
      <c r="C36" s="1483" t="s">
        <v>82</v>
      </c>
      <c r="D36" s="1483"/>
      <c r="E36" s="39"/>
      <c r="F36" s="62"/>
      <c r="G36" s="72"/>
      <c r="H36" s="72"/>
      <c r="I36" s="72"/>
      <c r="J36" s="72"/>
      <c r="K36" s="72"/>
      <c r="L36" s="63">
        <f>590550+62374</f>
        <v>652924</v>
      </c>
      <c r="M36" s="81">
        <f>590550+62374+354330</f>
        <v>1007254</v>
      </c>
      <c r="N36" s="62">
        <f aca="true" t="shared" si="6" ref="N36:N41">F36-V36</f>
        <v>0</v>
      </c>
      <c r="O36" s="72"/>
      <c r="P36" s="72"/>
      <c r="Q36" s="72"/>
      <c r="R36" s="72"/>
      <c r="S36" s="72"/>
      <c r="T36" s="41">
        <f t="shared" si="1"/>
        <v>652924</v>
      </c>
      <c r="U36" s="1160">
        <f t="shared" si="1"/>
        <v>1007254</v>
      </c>
      <c r="V36" s="73"/>
      <c r="W36" s="71"/>
      <c r="X36" s="71"/>
      <c r="Y36" s="71"/>
      <c r="Z36" s="71"/>
      <c r="AA36" s="71"/>
      <c r="AB36" s="1179"/>
      <c r="AC36" s="788"/>
      <c r="AH36" s="967"/>
    </row>
    <row r="37" spans="1:34" ht="21.75" customHeight="1" thickBot="1">
      <c r="A37" s="36"/>
      <c r="B37" s="65" t="s">
        <v>83</v>
      </c>
      <c r="C37" s="1483" t="s">
        <v>84</v>
      </c>
      <c r="D37" s="1483"/>
      <c r="E37" s="39"/>
      <c r="F37" s="62"/>
      <c r="G37" s="72"/>
      <c r="H37" s="72"/>
      <c r="I37" s="72"/>
      <c r="J37" s="72"/>
      <c r="K37" s="72"/>
      <c r="L37" s="72"/>
      <c r="M37" s="1167"/>
      <c r="N37" s="62">
        <f t="shared" si="6"/>
        <v>0</v>
      </c>
      <c r="O37" s="72"/>
      <c r="P37" s="72"/>
      <c r="Q37" s="72"/>
      <c r="R37" s="72"/>
      <c r="S37" s="72"/>
      <c r="T37" s="41">
        <f t="shared" si="1"/>
        <v>0</v>
      </c>
      <c r="U37" s="1160">
        <f t="shared" si="1"/>
        <v>0</v>
      </c>
      <c r="V37" s="73"/>
      <c r="W37" s="71"/>
      <c r="X37" s="71"/>
      <c r="Y37" s="71"/>
      <c r="Z37" s="71"/>
      <c r="AA37" s="71"/>
      <c r="AB37" s="1179"/>
      <c r="AC37" s="788"/>
      <c r="AH37" s="967"/>
    </row>
    <row r="38" spans="1:34" ht="21.75" customHeight="1" thickBot="1">
      <c r="A38" s="36"/>
      <c r="B38" s="65" t="s">
        <v>85</v>
      </c>
      <c r="C38" s="1483" t="s">
        <v>86</v>
      </c>
      <c r="D38" s="1483"/>
      <c r="E38" s="39" t="s">
        <v>87</v>
      </c>
      <c r="F38" s="62">
        <v>13758812</v>
      </c>
      <c r="G38" s="72"/>
      <c r="H38" s="72"/>
      <c r="I38" s="72"/>
      <c r="J38" s="72"/>
      <c r="K38" s="72"/>
      <c r="L38" s="63">
        <v>13758812</v>
      </c>
      <c r="M38" s="81">
        <v>13758812</v>
      </c>
      <c r="N38" s="62">
        <f t="shared" si="6"/>
        <v>13758812</v>
      </c>
      <c r="O38" s="72"/>
      <c r="P38" s="72"/>
      <c r="Q38" s="72"/>
      <c r="R38" s="72"/>
      <c r="S38" s="72"/>
      <c r="T38" s="41">
        <f t="shared" si="1"/>
        <v>13758812</v>
      </c>
      <c r="U38" s="1160">
        <f t="shared" si="1"/>
        <v>13758812</v>
      </c>
      <c r="V38" s="73"/>
      <c r="W38" s="71"/>
      <c r="X38" s="71"/>
      <c r="Y38" s="71"/>
      <c r="Z38" s="71"/>
      <c r="AA38" s="71"/>
      <c r="AB38" s="1179"/>
      <c r="AC38" s="788"/>
      <c r="AH38" s="967"/>
    </row>
    <row r="39" spans="1:34" ht="30" customHeight="1" thickBot="1">
      <c r="A39" s="36"/>
      <c r="B39" s="65"/>
      <c r="C39" s="57" t="s">
        <v>88</v>
      </c>
      <c r="D39" s="58" t="s">
        <v>89</v>
      </c>
      <c r="E39" s="59"/>
      <c r="F39" s="62">
        <v>9207400</v>
      </c>
      <c r="G39" s="72"/>
      <c r="H39" s="72"/>
      <c r="I39" s="72"/>
      <c r="J39" s="72"/>
      <c r="K39" s="72"/>
      <c r="L39" s="63">
        <v>9207400</v>
      </c>
      <c r="M39" s="81">
        <v>9207400</v>
      </c>
      <c r="N39" s="62">
        <f t="shared" si="6"/>
        <v>9207400</v>
      </c>
      <c r="O39" s="72"/>
      <c r="P39" s="72"/>
      <c r="Q39" s="72"/>
      <c r="R39" s="72"/>
      <c r="S39" s="72"/>
      <c r="T39" s="41">
        <f t="shared" si="1"/>
        <v>9207400</v>
      </c>
      <c r="U39" s="1160">
        <f t="shared" si="1"/>
        <v>9207400</v>
      </c>
      <c r="V39" s="73"/>
      <c r="W39" s="71"/>
      <c r="X39" s="71"/>
      <c r="Y39" s="71"/>
      <c r="Z39" s="71"/>
      <c r="AA39" s="71"/>
      <c r="AB39" s="1179"/>
      <c r="AC39" s="788"/>
      <c r="AH39" s="896"/>
    </row>
    <row r="40" spans="1:34" ht="21.75" customHeight="1" thickBot="1">
      <c r="A40" s="36"/>
      <c r="B40" s="65"/>
      <c r="C40" s="37" t="s">
        <v>90</v>
      </c>
      <c r="D40" s="38" t="s">
        <v>91</v>
      </c>
      <c r="E40" s="39"/>
      <c r="F40" s="62"/>
      <c r="G40" s="72"/>
      <c r="H40" s="72"/>
      <c r="I40" s="72"/>
      <c r="J40" s="72"/>
      <c r="K40" s="72"/>
      <c r="L40" s="63"/>
      <c r="M40" s="81"/>
      <c r="N40" s="62">
        <f t="shared" si="6"/>
        <v>0</v>
      </c>
      <c r="O40" s="72"/>
      <c r="P40" s="72"/>
      <c r="Q40" s="72"/>
      <c r="R40" s="72"/>
      <c r="S40" s="72"/>
      <c r="T40" s="41">
        <f t="shared" si="1"/>
        <v>0</v>
      </c>
      <c r="U40" s="1160">
        <f t="shared" si="1"/>
        <v>0</v>
      </c>
      <c r="V40" s="73"/>
      <c r="W40" s="71"/>
      <c r="X40" s="71"/>
      <c r="Y40" s="71"/>
      <c r="Z40" s="71"/>
      <c r="AA40" s="71"/>
      <c r="AB40" s="1179"/>
      <c r="AC40" s="788"/>
      <c r="AH40" s="896"/>
    </row>
    <row r="41" spans="1:34" ht="21.75" customHeight="1" thickBot="1">
      <c r="A41" s="36"/>
      <c r="B41" s="65"/>
      <c r="C41" s="37" t="s">
        <v>92</v>
      </c>
      <c r="D41" s="38" t="s">
        <v>93</v>
      </c>
      <c r="E41" s="39"/>
      <c r="F41" s="62">
        <v>4551412</v>
      </c>
      <c r="G41" s="74"/>
      <c r="H41" s="74"/>
      <c r="I41" s="74"/>
      <c r="J41" s="74"/>
      <c r="K41" s="74"/>
      <c r="L41" s="63">
        <v>4551412</v>
      </c>
      <c r="M41" s="81">
        <v>4551412</v>
      </c>
      <c r="N41" s="79">
        <f t="shared" si="6"/>
        <v>4551412</v>
      </c>
      <c r="O41" s="74"/>
      <c r="P41" s="74"/>
      <c r="Q41" s="74"/>
      <c r="R41" s="74"/>
      <c r="S41" s="74"/>
      <c r="T41" s="53">
        <f t="shared" si="1"/>
        <v>4551412</v>
      </c>
      <c r="U41" s="1175">
        <f t="shared" si="1"/>
        <v>4551412</v>
      </c>
      <c r="V41" s="75"/>
      <c r="W41" s="71"/>
      <c r="X41" s="71"/>
      <c r="Y41" s="71"/>
      <c r="Z41" s="71"/>
      <c r="AA41" s="71"/>
      <c r="AB41" s="1180"/>
      <c r="AC41" s="789"/>
      <c r="AH41" s="896"/>
    </row>
    <row r="42" spans="1:34" ht="36" customHeight="1" thickBot="1">
      <c r="A42" s="67" t="s">
        <v>94</v>
      </c>
      <c r="B42" s="1420" t="s">
        <v>95</v>
      </c>
      <c r="C42" s="1420"/>
      <c r="D42" s="1420"/>
      <c r="E42" s="76" t="s">
        <v>96</v>
      </c>
      <c r="F42" s="68"/>
      <c r="G42" s="71"/>
      <c r="H42" s="71"/>
      <c r="I42" s="71"/>
      <c r="J42" s="71"/>
      <c r="K42" s="71"/>
      <c r="L42" s="71"/>
      <c r="M42" s="1164"/>
      <c r="N42" s="68"/>
      <c r="O42" s="71"/>
      <c r="P42" s="71"/>
      <c r="Q42" s="71"/>
      <c r="R42" s="71"/>
      <c r="S42" s="71"/>
      <c r="T42" s="27">
        <f t="shared" si="1"/>
        <v>0</v>
      </c>
      <c r="U42" s="1157">
        <f t="shared" si="1"/>
        <v>0</v>
      </c>
      <c r="V42" s="68"/>
      <c r="W42" s="71"/>
      <c r="X42" s="71"/>
      <c r="Y42" s="71"/>
      <c r="Z42" s="71"/>
      <c r="AA42" s="71"/>
      <c r="AB42" s="27"/>
      <c r="AC42" s="1157"/>
      <c r="AH42" s="896"/>
    </row>
    <row r="43" spans="1:34" ht="21.75" customHeight="1">
      <c r="A43" s="56"/>
      <c r="B43" s="77" t="s">
        <v>97</v>
      </c>
      <c r="C43" s="1421" t="s">
        <v>98</v>
      </c>
      <c r="D43" s="1421"/>
      <c r="E43" s="59" t="s">
        <v>99</v>
      </c>
      <c r="F43" s="79"/>
      <c r="G43" s="78"/>
      <c r="H43" s="78"/>
      <c r="I43" s="78"/>
      <c r="J43" s="78"/>
      <c r="K43" s="78"/>
      <c r="L43" s="78"/>
      <c r="M43" s="1168"/>
      <c r="N43" s="79"/>
      <c r="O43" s="78"/>
      <c r="P43" s="78"/>
      <c r="Q43" s="78"/>
      <c r="R43" s="78"/>
      <c r="S43" s="78"/>
      <c r="T43" s="34">
        <f t="shared" si="1"/>
        <v>0</v>
      </c>
      <c r="U43" s="1161">
        <f t="shared" si="1"/>
        <v>0</v>
      </c>
      <c r="V43" s="79"/>
      <c r="W43" s="78"/>
      <c r="X43" s="78"/>
      <c r="Y43" s="78"/>
      <c r="Z43" s="78"/>
      <c r="AA43" s="78"/>
      <c r="AB43" s="34"/>
      <c r="AC43" s="1161"/>
      <c r="AH43" s="967"/>
    </row>
    <row r="44" spans="1:34" ht="31.5" customHeight="1">
      <c r="A44" s="36"/>
      <c r="B44" s="80" t="s">
        <v>100</v>
      </c>
      <c r="C44" s="1419" t="s">
        <v>101</v>
      </c>
      <c r="D44" s="1419"/>
      <c r="E44" s="39" t="s">
        <v>102</v>
      </c>
      <c r="F44" s="62"/>
      <c r="G44" s="63"/>
      <c r="H44" s="63"/>
      <c r="I44" s="63"/>
      <c r="J44" s="63"/>
      <c r="K44" s="63"/>
      <c r="L44" s="63"/>
      <c r="M44" s="81"/>
      <c r="N44" s="62"/>
      <c r="O44" s="63"/>
      <c r="P44" s="63"/>
      <c r="Q44" s="63"/>
      <c r="R44" s="63"/>
      <c r="S44" s="63"/>
      <c r="T44" s="41">
        <f t="shared" si="1"/>
        <v>0</v>
      </c>
      <c r="U44" s="1160">
        <f t="shared" si="1"/>
        <v>0</v>
      </c>
      <c r="V44" s="62"/>
      <c r="W44" s="63"/>
      <c r="X44" s="63"/>
      <c r="Y44" s="63"/>
      <c r="Z44" s="63"/>
      <c r="AA44" s="63"/>
      <c r="AB44" s="41"/>
      <c r="AC44" s="1160"/>
      <c r="AH44" s="896"/>
    </row>
    <row r="45" spans="1:34" ht="21.75" customHeight="1">
      <c r="A45" s="36"/>
      <c r="B45" s="77"/>
      <c r="C45" s="57" t="s">
        <v>103</v>
      </c>
      <c r="D45" s="58" t="s">
        <v>89</v>
      </c>
      <c r="E45" s="59"/>
      <c r="F45" s="62"/>
      <c r="G45" s="63"/>
      <c r="H45" s="63"/>
      <c r="I45" s="63"/>
      <c r="J45" s="63"/>
      <c r="K45" s="63"/>
      <c r="L45" s="63"/>
      <c r="M45" s="81"/>
      <c r="N45" s="62"/>
      <c r="O45" s="63"/>
      <c r="P45" s="63"/>
      <c r="Q45" s="63"/>
      <c r="R45" s="63"/>
      <c r="S45" s="63"/>
      <c r="T45" s="41">
        <f t="shared" si="1"/>
        <v>0</v>
      </c>
      <c r="U45" s="1160">
        <f t="shared" si="1"/>
        <v>0</v>
      </c>
      <c r="V45" s="62"/>
      <c r="W45" s="63"/>
      <c r="X45" s="63"/>
      <c r="Y45" s="63"/>
      <c r="Z45" s="63"/>
      <c r="AA45" s="63"/>
      <c r="AB45" s="41"/>
      <c r="AC45" s="1160"/>
      <c r="AH45" s="896"/>
    </row>
    <row r="46" spans="1:34" ht="21.75" customHeight="1">
      <c r="A46" s="36"/>
      <c r="B46" s="80"/>
      <c r="C46" s="37" t="s">
        <v>104</v>
      </c>
      <c r="D46" s="58" t="s">
        <v>91</v>
      </c>
      <c r="E46" s="59"/>
      <c r="F46" s="62"/>
      <c r="G46" s="63"/>
      <c r="H46" s="63"/>
      <c r="I46" s="63"/>
      <c r="J46" s="63"/>
      <c r="K46" s="63"/>
      <c r="L46" s="63"/>
      <c r="M46" s="81"/>
      <c r="N46" s="62"/>
      <c r="O46" s="63"/>
      <c r="P46" s="63"/>
      <c r="Q46" s="63"/>
      <c r="R46" s="63"/>
      <c r="S46" s="63"/>
      <c r="T46" s="41">
        <f t="shared" si="1"/>
        <v>0</v>
      </c>
      <c r="U46" s="1160">
        <f t="shared" si="1"/>
        <v>0</v>
      </c>
      <c r="V46" s="62"/>
      <c r="W46" s="63"/>
      <c r="X46" s="63"/>
      <c r="Y46" s="63"/>
      <c r="Z46" s="63"/>
      <c r="AA46" s="63"/>
      <c r="AB46" s="41"/>
      <c r="AC46" s="1160"/>
      <c r="AH46" s="896"/>
    </row>
    <row r="47" spans="1:34" ht="21.75" customHeight="1" thickBot="1">
      <c r="A47" s="64"/>
      <c r="B47" s="77"/>
      <c r="C47" s="57" t="s">
        <v>105</v>
      </c>
      <c r="D47" s="58" t="s">
        <v>106</v>
      </c>
      <c r="E47" s="59"/>
      <c r="F47" s="62"/>
      <c r="G47" s="63"/>
      <c r="H47" s="63"/>
      <c r="I47" s="63"/>
      <c r="J47" s="63"/>
      <c r="K47" s="63"/>
      <c r="L47" s="63"/>
      <c r="M47" s="81"/>
      <c r="N47" s="62"/>
      <c r="O47" s="63"/>
      <c r="P47" s="63"/>
      <c r="Q47" s="63"/>
      <c r="R47" s="63"/>
      <c r="S47" s="63"/>
      <c r="T47" s="53">
        <f t="shared" si="1"/>
        <v>0</v>
      </c>
      <c r="U47" s="1175">
        <f t="shared" si="1"/>
        <v>0</v>
      </c>
      <c r="V47" s="82"/>
      <c r="W47" s="83"/>
      <c r="X47" s="83"/>
      <c r="Y47" s="83"/>
      <c r="Z47" s="83"/>
      <c r="AA47" s="83"/>
      <c r="AB47" s="53"/>
      <c r="AC47" s="1175"/>
      <c r="AH47" s="896"/>
    </row>
    <row r="48" spans="1:34" ht="21.75" customHeight="1" hidden="1">
      <c r="A48" s="84"/>
      <c r="B48" s="80"/>
      <c r="C48" s="1483"/>
      <c r="D48" s="1483"/>
      <c r="E48" s="39"/>
      <c r="F48" s="62"/>
      <c r="G48" s="63"/>
      <c r="H48" s="63"/>
      <c r="I48" s="63"/>
      <c r="J48" s="63"/>
      <c r="K48" s="63"/>
      <c r="L48" s="63"/>
      <c r="M48" s="81"/>
      <c r="N48" s="62"/>
      <c r="O48" s="63"/>
      <c r="P48" s="63"/>
      <c r="Q48" s="63"/>
      <c r="R48" s="63"/>
      <c r="S48" s="63"/>
      <c r="T48" s="27">
        <f t="shared" si="1"/>
        <v>0</v>
      </c>
      <c r="U48" s="1157">
        <f t="shared" si="1"/>
        <v>0</v>
      </c>
      <c r="V48" s="85"/>
      <c r="W48" s="86"/>
      <c r="X48" s="86"/>
      <c r="Y48" s="86"/>
      <c r="Z48" s="86"/>
      <c r="AA48" s="86"/>
      <c r="AB48" s="27"/>
      <c r="AC48" s="1157"/>
      <c r="AH48" s="896"/>
    </row>
    <row r="49" spans="1:34" ht="21.75" customHeight="1" hidden="1">
      <c r="A49" s="84"/>
      <c r="B49" s="77"/>
      <c r="C49" s="1423"/>
      <c r="D49" s="1423"/>
      <c r="E49" s="87"/>
      <c r="F49" s="88"/>
      <c r="G49" s="89"/>
      <c r="H49" s="89"/>
      <c r="I49" s="89"/>
      <c r="J49" s="89"/>
      <c r="K49" s="89"/>
      <c r="L49" s="89"/>
      <c r="M49" s="90"/>
      <c r="N49" s="88"/>
      <c r="O49" s="89"/>
      <c r="P49" s="89"/>
      <c r="Q49" s="89"/>
      <c r="R49" s="89"/>
      <c r="S49" s="89"/>
      <c r="T49" s="27">
        <f t="shared" si="1"/>
        <v>0</v>
      </c>
      <c r="U49" s="1157">
        <f t="shared" si="1"/>
        <v>0</v>
      </c>
      <c r="V49" s="85"/>
      <c r="W49" s="86"/>
      <c r="X49" s="86"/>
      <c r="Y49" s="86"/>
      <c r="Z49" s="86"/>
      <c r="AA49" s="86"/>
      <c r="AB49" s="27"/>
      <c r="AC49" s="1157"/>
      <c r="AH49" s="896"/>
    </row>
    <row r="50" spans="1:34" ht="21.75" customHeight="1" thickBot="1">
      <c r="A50" s="67" t="s">
        <v>107</v>
      </c>
      <c r="B50" s="1415" t="s">
        <v>108</v>
      </c>
      <c r="C50" s="1415"/>
      <c r="D50" s="1415"/>
      <c r="E50" s="25"/>
      <c r="F50" s="68">
        <f>F51+F52</f>
        <v>540000</v>
      </c>
      <c r="G50" s="71">
        <f aca="true" t="shared" si="7" ref="G50:AC50">G51+G52</f>
        <v>0</v>
      </c>
      <c r="H50" s="71">
        <f t="shared" si="7"/>
        <v>0</v>
      </c>
      <c r="I50" s="71">
        <f t="shared" si="7"/>
        <v>0</v>
      </c>
      <c r="J50" s="71">
        <f t="shared" si="7"/>
        <v>0</v>
      </c>
      <c r="K50" s="71">
        <f t="shared" si="7"/>
        <v>0</v>
      </c>
      <c r="L50" s="71">
        <f>L51+L52</f>
        <v>580000</v>
      </c>
      <c r="M50" s="1164">
        <f>M51+M52</f>
        <v>1480000</v>
      </c>
      <c r="N50" s="68">
        <f t="shared" si="7"/>
        <v>540000</v>
      </c>
      <c r="O50" s="71">
        <f t="shared" si="7"/>
        <v>0</v>
      </c>
      <c r="P50" s="71">
        <f t="shared" si="7"/>
        <v>0</v>
      </c>
      <c r="Q50" s="71">
        <f t="shared" si="7"/>
        <v>0</v>
      </c>
      <c r="R50" s="71">
        <f t="shared" si="7"/>
        <v>0</v>
      </c>
      <c r="S50" s="71">
        <f t="shared" si="7"/>
        <v>0</v>
      </c>
      <c r="T50" s="27">
        <f t="shared" si="1"/>
        <v>580000</v>
      </c>
      <c r="U50" s="1157">
        <f t="shared" si="1"/>
        <v>1480000</v>
      </c>
      <c r="V50" s="68">
        <f t="shared" si="7"/>
        <v>0</v>
      </c>
      <c r="W50" s="68" t="e">
        <f t="shared" si="7"/>
        <v>#REF!</v>
      </c>
      <c r="X50" s="68" t="e">
        <f t="shared" si="7"/>
        <v>#REF!</v>
      </c>
      <c r="Y50" s="68" t="e">
        <f t="shared" si="7"/>
        <v>#REF!</v>
      </c>
      <c r="Z50" s="68" t="e">
        <f t="shared" si="7"/>
        <v>#REF!</v>
      </c>
      <c r="AA50" s="68" t="e">
        <f t="shared" si="7"/>
        <v>#REF!</v>
      </c>
      <c r="AB50" s="68">
        <f t="shared" si="7"/>
        <v>0</v>
      </c>
      <c r="AC50" s="1157">
        <f t="shared" si="7"/>
        <v>0</v>
      </c>
      <c r="AH50" s="896"/>
    </row>
    <row r="51" spans="1:34" s="28" customFormat="1" ht="21.75" customHeight="1">
      <c r="A51" s="91"/>
      <c r="B51" s="77" t="s">
        <v>109</v>
      </c>
      <c r="C51" s="1421" t="s">
        <v>246</v>
      </c>
      <c r="D51" s="1421"/>
      <c r="E51" s="59" t="s">
        <v>111</v>
      </c>
      <c r="F51" s="79">
        <v>540000</v>
      </c>
      <c r="G51" s="92"/>
      <c r="H51" s="92"/>
      <c r="I51" s="92"/>
      <c r="J51" s="92"/>
      <c r="K51" s="92"/>
      <c r="L51" s="78">
        <v>565000</v>
      </c>
      <c r="M51" s="1168">
        <f>565000+900000</f>
        <v>1465000</v>
      </c>
      <c r="N51" s="79">
        <v>540000</v>
      </c>
      <c r="O51" s="92"/>
      <c r="P51" s="92"/>
      <c r="Q51" s="92"/>
      <c r="R51" s="92"/>
      <c r="S51" s="92"/>
      <c r="T51" s="34">
        <f t="shared" si="1"/>
        <v>565000</v>
      </c>
      <c r="U51" s="1161">
        <f t="shared" si="1"/>
        <v>1465000</v>
      </c>
      <c r="V51" s="93"/>
      <c r="W51" s="92" t="e">
        <f>SUM(#REF!)</f>
        <v>#REF!</v>
      </c>
      <c r="X51" s="92" t="e">
        <f>SUM(#REF!)</f>
        <v>#REF!</v>
      </c>
      <c r="Y51" s="92" t="e">
        <f>SUM(#REF!)</f>
        <v>#REF!</v>
      </c>
      <c r="Z51" s="92" t="e">
        <f>SUM(#REF!)</f>
        <v>#REF!</v>
      </c>
      <c r="AA51" s="92" t="e">
        <f>SUM(#REF!)</f>
        <v>#REF!</v>
      </c>
      <c r="AB51" s="34"/>
      <c r="AC51" s="1161"/>
      <c r="AH51" s="967"/>
    </row>
    <row r="52" spans="1:34" ht="21.75" customHeight="1" thickBot="1">
      <c r="A52" s="36"/>
      <c r="B52" s="37" t="s">
        <v>112</v>
      </c>
      <c r="C52" s="1419" t="s">
        <v>247</v>
      </c>
      <c r="D52" s="1419"/>
      <c r="E52" s="39" t="s">
        <v>114</v>
      </c>
      <c r="F52" s="95"/>
      <c r="G52" s="94"/>
      <c r="H52" s="94"/>
      <c r="I52" s="94"/>
      <c r="J52" s="94"/>
      <c r="K52" s="94"/>
      <c r="L52" s="102">
        <v>15000</v>
      </c>
      <c r="M52" s="1169">
        <v>15000</v>
      </c>
      <c r="N52" s="95"/>
      <c r="O52" s="94"/>
      <c r="P52" s="94"/>
      <c r="Q52" s="94"/>
      <c r="R52" s="94"/>
      <c r="S52" s="94"/>
      <c r="T52" s="53">
        <f t="shared" si="1"/>
        <v>15000</v>
      </c>
      <c r="U52" s="1175">
        <f t="shared" si="1"/>
        <v>15000</v>
      </c>
      <c r="V52" s="95"/>
      <c r="W52" s="94" t="e">
        <f>SUM(#REF!)</f>
        <v>#REF!</v>
      </c>
      <c r="X52" s="94" t="e">
        <f>SUM(#REF!)</f>
        <v>#REF!</v>
      </c>
      <c r="Y52" s="94" t="e">
        <f>SUM(#REF!)</f>
        <v>#REF!</v>
      </c>
      <c r="Z52" s="94" t="e">
        <f>SUM(#REF!)</f>
        <v>#REF!</v>
      </c>
      <c r="AA52" s="94" t="e">
        <f>SUM(#REF!)</f>
        <v>#REF!</v>
      </c>
      <c r="AB52" s="53"/>
      <c r="AC52" s="1175"/>
      <c r="AH52" s="896"/>
    </row>
    <row r="53" spans="1:34" ht="21.75" customHeight="1" thickBot="1">
      <c r="A53" s="67" t="s">
        <v>115</v>
      </c>
      <c r="B53" s="1415" t="s">
        <v>116</v>
      </c>
      <c r="C53" s="1415"/>
      <c r="D53" s="1415"/>
      <c r="E53" s="25" t="s">
        <v>117</v>
      </c>
      <c r="F53" s="96"/>
      <c r="G53" s="175"/>
      <c r="H53" s="175"/>
      <c r="I53" s="175"/>
      <c r="J53" s="175"/>
      <c r="K53" s="175"/>
      <c r="L53" s="175">
        <v>400000</v>
      </c>
      <c r="M53" s="1170">
        <v>400000</v>
      </c>
      <c r="N53" s="96"/>
      <c r="O53" s="175"/>
      <c r="P53" s="175"/>
      <c r="Q53" s="175"/>
      <c r="R53" s="175"/>
      <c r="S53" s="175"/>
      <c r="T53" s="27">
        <f t="shared" si="1"/>
        <v>400000</v>
      </c>
      <c r="U53" s="1157">
        <f t="shared" si="1"/>
        <v>400000</v>
      </c>
      <c r="V53" s="96"/>
      <c r="W53" s="175">
        <f>SUM(W54:W55)</f>
        <v>0</v>
      </c>
      <c r="X53" s="175">
        <f>SUM(X54:X55)</f>
        <v>0</v>
      </c>
      <c r="Y53" s="175">
        <f>SUM(Y54:Y55)</f>
        <v>0</v>
      </c>
      <c r="Z53" s="175">
        <f>SUM(Z54:Z55)</f>
        <v>0</v>
      </c>
      <c r="AA53" s="175">
        <f>SUM(AA54:AA55)</f>
        <v>0</v>
      </c>
      <c r="AB53" s="27"/>
      <c r="AC53" s="1157"/>
      <c r="AH53" s="968"/>
    </row>
    <row r="54" spans="1:34" s="28" customFormat="1" ht="21.75" customHeight="1">
      <c r="A54" s="91"/>
      <c r="B54" s="57" t="s">
        <v>118</v>
      </c>
      <c r="C54" s="1421" t="s">
        <v>119</v>
      </c>
      <c r="D54" s="1421"/>
      <c r="E54" s="59" t="s">
        <v>120</v>
      </c>
      <c r="F54" s="97"/>
      <c r="G54" s="98"/>
      <c r="H54" s="98"/>
      <c r="I54" s="98"/>
      <c r="J54" s="98"/>
      <c r="K54" s="98"/>
      <c r="L54" s="139">
        <v>400000</v>
      </c>
      <c r="M54" s="1171">
        <v>400000</v>
      </c>
      <c r="N54" s="97"/>
      <c r="O54" s="98"/>
      <c r="P54" s="98"/>
      <c r="Q54" s="98"/>
      <c r="R54" s="98"/>
      <c r="S54" s="98"/>
      <c r="T54" s="34">
        <f t="shared" si="1"/>
        <v>400000</v>
      </c>
      <c r="U54" s="1161">
        <f t="shared" si="1"/>
        <v>400000</v>
      </c>
      <c r="V54" s="97"/>
      <c r="W54" s="98"/>
      <c r="X54" s="98"/>
      <c r="Y54" s="98"/>
      <c r="Z54" s="98"/>
      <c r="AA54" s="98"/>
      <c r="AB54" s="34"/>
      <c r="AC54" s="1161"/>
      <c r="AH54" s="969"/>
    </row>
    <row r="55" spans="1:34" ht="21.75" customHeight="1" thickBot="1">
      <c r="A55" s="64"/>
      <c r="B55" s="65" t="s">
        <v>121</v>
      </c>
      <c r="C55" s="1418" t="s">
        <v>122</v>
      </c>
      <c r="D55" s="1418"/>
      <c r="E55" s="66" t="s">
        <v>123</v>
      </c>
      <c r="F55" s="99"/>
      <c r="G55" s="100"/>
      <c r="H55" s="100"/>
      <c r="I55" s="100"/>
      <c r="J55" s="100"/>
      <c r="K55" s="100"/>
      <c r="L55" s="100"/>
      <c r="M55" s="1172"/>
      <c r="N55" s="99"/>
      <c r="O55" s="100"/>
      <c r="P55" s="100"/>
      <c r="Q55" s="100"/>
      <c r="R55" s="100"/>
      <c r="S55" s="100"/>
      <c r="T55" s="53">
        <f t="shared" si="1"/>
        <v>0</v>
      </c>
      <c r="U55" s="1175">
        <f t="shared" si="1"/>
        <v>0</v>
      </c>
      <c r="V55" s="99"/>
      <c r="W55" s="100"/>
      <c r="X55" s="100"/>
      <c r="Y55" s="100"/>
      <c r="Z55" s="100"/>
      <c r="AA55" s="100"/>
      <c r="AB55" s="53"/>
      <c r="AC55" s="1175"/>
      <c r="AH55" s="968"/>
    </row>
    <row r="56" spans="1:34" ht="21.75" customHeight="1" thickBot="1">
      <c r="A56" s="67" t="s">
        <v>124</v>
      </c>
      <c r="B56" s="1482" t="s">
        <v>125</v>
      </c>
      <c r="C56" s="1482"/>
      <c r="D56" s="1482"/>
      <c r="E56" s="101"/>
      <c r="F56" s="96">
        <f>F7+F21+F34+F42+F50</f>
        <v>58762790</v>
      </c>
      <c r="G56" s="175">
        <f aca="true" t="shared" si="8" ref="G56:V56">G7+G21+G34+G42+G50</f>
        <v>0</v>
      </c>
      <c r="H56" s="175">
        <f t="shared" si="8"/>
        <v>0</v>
      </c>
      <c r="I56" s="175">
        <f t="shared" si="8"/>
        <v>0</v>
      </c>
      <c r="J56" s="175">
        <f t="shared" si="8"/>
        <v>0</v>
      </c>
      <c r="K56" s="175">
        <f t="shared" si="8"/>
        <v>0</v>
      </c>
      <c r="L56" s="175">
        <f>L7+L21+L34+L50+L53</f>
        <v>60217409</v>
      </c>
      <c r="M56" s="1170">
        <f>M7+M21+M34+M50+M53</f>
        <v>63270396</v>
      </c>
      <c r="N56" s="96">
        <f t="shared" si="8"/>
        <v>51906501</v>
      </c>
      <c r="O56" s="175">
        <f t="shared" si="8"/>
        <v>0</v>
      </c>
      <c r="P56" s="175">
        <f t="shared" si="8"/>
        <v>0</v>
      </c>
      <c r="Q56" s="175">
        <f t="shared" si="8"/>
        <v>0</v>
      </c>
      <c r="R56" s="175">
        <f t="shared" si="8"/>
        <v>0</v>
      </c>
      <c r="S56" s="175">
        <f t="shared" si="8"/>
        <v>0</v>
      </c>
      <c r="T56" s="27">
        <f t="shared" si="1"/>
        <v>53208975</v>
      </c>
      <c r="U56" s="1157">
        <f t="shared" si="1"/>
        <v>56029962</v>
      </c>
      <c r="V56" s="96">
        <f t="shared" si="8"/>
        <v>6856289</v>
      </c>
      <c r="W56" s="175" t="e">
        <f>W7+W21+W42+W50+W53+#REF!+#REF!+W34</f>
        <v>#REF!</v>
      </c>
      <c r="X56" s="175" t="e">
        <f>X7+X21+X42+X50+X53+#REF!+#REF!+X34</f>
        <v>#REF!</v>
      </c>
      <c r="Y56" s="175" t="e">
        <f>Y7+Y21+Y42+Y50+Y53+#REF!+#REF!+Y34</f>
        <v>#REF!</v>
      </c>
      <c r="Z56" s="175" t="e">
        <f>Z7+Z21+Z42+Z50+Z53+#REF!+#REF!+Z34</f>
        <v>#REF!</v>
      </c>
      <c r="AA56" s="175" t="e">
        <f>AA7+AA21+AA42+AA50+AA53+#REF!+#REF!+AA34</f>
        <v>#REF!</v>
      </c>
      <c r="AB56" s="27">
        <f>AB7+AB21+AB34</f>
        <v>7008434</v>
      </c>
      <c r="AC56" s="1157">
        <f>AC7+AC21+AC34</f>
        <v>7240434</v>
      </c>
      <c r="AH56" s="968"/>
    </row>
    <row r="57" spans="1:34" ht="24" customHeight="1" thickBot="1">
      <c r="A57" s="24" t="s">
        <v>126</v>
      </c>
      <c r="B57" s="1415" t="s">
        <v>127</v>
      </c>
      <c r="C57" s="1415"/>
      <c r="D57" s="1415"/>
      <c r="E57" s="25"/>
      <c r="F57" s="96">
        <f>F60</f>
        <v>20472695</v>
      </c>
      <c r="G57" s="175">
        <f aca="true" t="shared" si="9" ref="G57:V57">G60</f>
        <v>0</v>
      </c>
      <c r="H57" s="175">
        <f t="shared" si="9"/>
        <v>0</v>
      </c>
      <c r="I57" s="175">
        <f t="shared" si="9"/>
        <v>0</v>
      </c>
      <c r="J57" s="175">
        <f t="shared" si="9"/>
        <v>0</v>
      </c>
      <c r="K57" s="175">
        <f t="shared" si="9"/>
        <v>0</v>
      </c>
      <c r="L57" s="175">
        <f>L60</f>
        <v>20472695</v>
      </c>
      <c r="M57" s="1170">
        <f>M60</f>
        <v>20472695</v>
      </c>
      <c r="N57" s="96">
        <f t="shared" si="9"/>
        <v>20472695</v>
      </c>
      <c r="O57" s="175">
        <f t="shared" si="9"/>
        <v>0</v>
      </c>
      <c r="P57" s="175">
        <f t="shared" si="9"/>
        <v>0</v>
      </c>
      <c r="Q57" s="175">
        <f t="shared" si="9"/>
        <v>0</v>
      </c>
      <c r="R57" s="175">
        <f t="shared" si="9"/>
        <v>0</v>
      </c>
      <c r="S57" s="175">
        <f t="shared" si="9"/>
        <v>0</v>
      </c>
      <c r="T57" s="27">
        <f t="shared" si="1"/>
        <v>20472695</v>
      </c>
      <c r="U57" s="1157">
        <f t="shared" si="1"/>
        <v>20472695</v>
      </c>
      <c r="V57" s="96">
        <f t="shared" si="9"/>
        <v>0</v>
      </c>
      <c r="W57" s="175" t="e">
        <f>W58+#REF!</f>
        <v>#REF!</v>
      </c>
      <c r="X57" s="175" t="e">
        <f>X58+#REF!</f>
        <v>#REF!</v>
      </c>
      <c r="Y57" s="175" t="e">
        <f>Y58+#REF!</f>
        <v>#REF!</v>
      </c>
      <c r="Z57" s="175" t="e">
        <f>Z58+#REF!</f>
        <v>#REF!</v>
      </c>
      <c r="AA57" s="175" t="e">
        <f>AA58+#REF!</f>
        <v>#REF!</v>
      </c>
      <c r="AB57" s="27">
        <v>0</v>
      </c>
      <c r="AC57" s="1157">
        <v>0</v>
      </c>
      <c r="AH57" s="969"/>
    </row>
    <row r="58" spans="1:34" ht="21.75" customHeight="1">
      <c r="A58" s="56"/>
      <c r="B58" s="57" t="s">
        <v>128</v>
      </c>
      <c r="C58" s="1421" t="s">
        <v>129</v>
      </c>
      <c r="D58" s="1421"/>
      <c r="E58" s="59" t="s">
        <v>130</v>
      </c>
      <c r="F58" s="97"/>
      <c r="G58" s="98"/>
      <c r="H58" s="98"/>
      <c r="I58" s="98"/>
      <c r="J58" s="98"/>
      <c r="K58" s="98"/>
      <c r="L58" s="98"/>
      <c r="M58" s="1173"/>
      <c r="N58" s="97"/>
      <c r="O58" s="98"/>
      <c r="P58" s="98"/>
      <c r="Q58" s="98"/>
      <c r="R58" s="98"/>
      <c r="S58" s="98"/>
      <c r="T58" s="34">
        <f t="shared" si="1"/>
        <v>0</v>
      </c>
      <c r="U58" s="1161">
        <f t="shared" si="1"/>
        <v>0</v>
      </c>
      <c r="V58" s="97"/>
      <c r="W58" s="98">
        <f>SUM(W59:W60)</f>
        <v>0</v>
      </c>
      <c r="X58" s="98">
        <f>SUM(X59:X60)</f>
        <v>0</v>
      </c>
      <c r="Y58" s="98">
        <f>SUM(Y59:Y60)</f>
        <v>0</v>
      </c>
      <c r="Z58" s="98">
        <f>SUM(Z59:Z60)</f>
        <v>0</v>
      </c>
      <c r="AA58" s="98">
        <f>SUM(AA59:AA60)</f>
        <v>0</v>
      </c>
      <c r="AB58" s="34"/>
      <c r="AC58" s="1161"/>
      <c r="AH58" s="969"/>
    </row>
    <row r="59" spans="1:34" ht="21.75" customHeight="1">
      <c r="A59" s="36"/>
      <c r="B59" s="80" t="s">
        <v>131</v>
      </c>
      <c r="C59" s="1421" t="s">
        <v>132</v>
      </c>
      <c r="D59" s="1421"/>
      <c r="E59" s="59" t="s">
        <v>133</v>
      </c>
      <c r="F59" s="103"/>
      <c r="G59" s="102"/>
      <c r="H59" s="102"/>
      <c r="I59" s="102"/>
      <c r="J59" s="102"/>
      <c r="K59" s="102"/>
      <c r="L59" s="102"/>
      <c r="M59" s="1169"/>
      <c r="N59" s="103"/>
      <c r="O59" s="102"/>
      <c r="P59" s="102"/>
      <c r="Q59" s="102"/>
      <c r="R59" s="102"/>
      <c r="S59" s="102"/>
      <c r="T59" s="41">
        <f t="shared" si="1"/>
        <v>0</v>
      </c>
      <c r="U59" s="1160">
        <f t="shared" si="1"/>
        <v>0</v>
      </c>
      <c r="V59" s="103"/>
      <c r="W59" s="102"/>
      <c r="X59" s="102"/>
      <c r="Y59" s="102"/>
      <c r="Z59" s="102"/>
      <c r="AA59" s="102"/>
      <c r="AB59" s="41"/>
      <c r="AC59" s="1160"/>
      <c r="AH59" s="969"/>
    </row>
    <row r="60" spans="1:34" ht="21.75" customHeight="1" thickBot="1">
      <c r="A60" s="36"/>
      <c r="B60" s="80" t="s">
        <v>134</v>
      </c>
      <c r="C60" s="1421" t="s">
        <v>135</v>
      </c>
      <c r="D60" s="1421"/>
      <c r="E60" s="59" t="s">
        <v>136</v>
      </c>
      <c r="F60" s="103">
        <v>20472695</v>
      </c>
      <c r="G60" s="102"/>
      <c r="H60" s="102"/>
      <c r="I60" s="102"/>
      <c r="J60" s="102"/>
      <c r="K60" s="102"/>
      <c r="L60" s="102">
        <v>20472695</v>
      </c>
      <c r="M60" s="1169">
        <v>20472695</v>
      </c>
      <c r="N60" s="103">
        <v>20472695</v>
      </c>
      <c r="O60" s="102"/>
      <c r="P60" s="102"/>
      <c r="Q60" s="102"/>
      <c r="R60" s="102"/>
      <c r="S60" s="102"/>
      <c r="T60" s="53">
        <f t="shared" si="1"/>
        <v>20472695</v>
      </c>
      <c r="U60" s="1175">
        <f t="shared" si="1"/>
        <v>20472695</v>
      </c>
      <c r="V60" s="103"/>
      <c r="W60" s="102"/>
      <c r="X60" s="102"/>
      <c r="Y60" s="102"/>
      <c r="Z60" s="102"/>
      <c r="AA60" s="102"/>
      <c r="AB60" s="53"/>
      <c r="AC60" s="1175"/>
      <c r="AH60" s="968"/>
    </row>
    <row r="61" spans="1:34" ht="35.25" customHeight="1" thickBot="1">
      <c r="A61" s="67" t="s">
        <v>137</v>
      </c>
      <c r="B61" s="1469" t="s">
        <v>138</v>
      </c>
      <c r="C61" s="1469"/>
      <c r="D61" s="1469"/>
      <c r="E61" s="105"/>
      <c r="F61" s="106">
        <f>F56+F57</f>
        <v>79235485</v>
      </c>
      <c r="G61" s="155">
        <f aca="true" t="shared" si="10" ref="G61:V61">G56+G57</f>
        <v>0</v>
      </c>
      <c r="H61" s="155">
        <f t="shared" si="10"/>
        <v>0</v>
      </c>
      <c r="I61" s="155">
        <f t="shared" si="10"/>
        <v>0</v>
      </c>
      <c r="J61" s="155">
        <f t="shared" si="10"/>
        <v>0</v>
      </c>
      <c r="K61" s="155">
        <f t="shared" si="10"/>
        <v>0</v>
      </c>
      <c r="L61" s="155">
        <f>L56+L57</f>
        <v>80690104</v>
      </c>
      <c r="M61" s="1174">
        <f>M56+M57</f>
        <v>83743091</v>
      </c>
      <c r="N61" s="106">
        <f t="shared" si="10"/>
        <v>72379196</v>
      </c>
      <c r="O61" s="155">
        <f t="shared" si="10"/>
        <v>0</v>
      </c>
      <c r="P61" s="155">
        <f t="shared" si="10"/>
        <v>0</v>
      </c>
      <c r="Q61" s="155">
        <f t="shared" si="10"/>
        <v>0</v>
      </c>
      <c r="R61" s="155">
        <f t="shared" si="10"/>
        <v>0</v>
      </c>
      <c r="S61" s="155">
        <f t="shared" si="10"/>
        <v>0</v>
      </c>
      <c r="T61" s="27">
        <f t="shared" si="1"/>
        <v>73681670</v>
      </c>
      <c r="U61" s="1157">
        <f t="shared" si="1"/>
        <v>76502657</v>
      </c>
      <c r="V61" s="106">
        <f t="shared" si="10"/>
        <v>6856289</v>
      </c>
      <c r="W61" s="155" t="e">
        <f>W56+W57</f>
        <v>#REF!</v>
      </c>
      <c r="X61" s="155" t="e">
        <f>X56+X57</f>
        <v>#REF!</v>
      </c>
      <c r="Y61" s="155" t="e">
        <f>Y56+Y57</f>
        <v>#REF!</v>
      </c>
      <c r="Z61" s="155" t="e">
        <f>Z56+Z57</f>
        <v>#REF!</v>
      </c>
      <c r="AA61" s="155" t="e">
        <f>AA56+AA57</f>
        <v>#REF!</v>
      </c>
      <c r="AB61" s="27">
        <f>AB56</f>
        <v>7008434</v>
      </c>
      <c r="AC61" s="1157">
        <f>AC56</f>
        <v>7240434</v>
      </c>
      <c r="AH61" s="968"/>
    </row>
    <row r="62" spans="1:34" ht="21.75" customHeight="1" hidden="1">
      <c r="A62" s="1417" t="s">
        <v>139</v>
      </c>
      <c r="B62" s="1417"/>
      <c r="C62" s="1417"/>
      <c r="D62" s="1417"/>
      <c r="E62" s="107"/>
      <c r="F62" s="108"/>
      <c r="G62" s="109"/>
      <c r="H62" s="109"/>
      <c r="I62" s="109"/>
      <c r="J62" s="109"/>
      <c r="K62" s="110"/>
      <c r="L62" s="728"/>
      <c r="M62" s="728"/>
      <c r="N62" s="108"/>
      <c r="O62" s="109"/>
      <c r="P62" s="109"/>
      <c r="Q62" s="109"/>
      <c r="R62" s="109"/>
      <c r="S62" s="110"/>
      <c r="T62" s="26">
        <f t="shared" si="1"/>
        <v>0</v>
      </c>
      <c r="U62" s="26"/>
      <c r="V62" s="108"/>
      <c r="W62" s="109"/>
      <c r="X62" s="109"/>
      <c r="Y62" s="109"/>
      <c r="Z62" s="109"/>
      <c r="AA62" s="110"/>
      <c r="AH62" s="970"/>
    </row>
    <row r="63" spans="1:34" ht="21.75" customHeight="1" hidden="1">
      <c r="A63" s="1424" t="s">
        <v>140</v>
      </c>
      <c r="B63" s="1424"/>
      <c r="C63" s="1424"/>
      <c r="D63" s="1424"/>
      <c r="E63" s="111"/>
      <c r="F63" s="112"/>
      <c r="G63" s="113"/>
      <c r="H63" s="113"/>
      <c r="I63" s="113"/>
      <c r="J63" s="113"/>
      <c r="K63" s="114"/>
      <c r="L63" s="729"/>
      <c r="M63" s="729"/>
      <c r="N63" s="112"/>
      <c r="O63" s="113"/>
      <c r="P63" s="113"/>
      <c r="Q63" s="113"/>
      <c r="R63" s="113"/>
      <c r="S63" s="114"/>
      <c r="T63" s="26">
        <f t="shared" si="1"/>
        <v>0</v>
      </c>
      <c r="U63" s="26"/>
      <c r="V63" s="112"/>
      <c r="W63" s="113"/>
      <c r="X63" s="113"/>
      <c r="Y63" s="113"/>
      <c r="Z63" s="113"/>
      <c r="AA63" s="115"/>
      <c r="AH63" s="732"/>
    </row>
    <row r="64" spans="1:34" ht="21.75" customHeight="1">
      <c r="A64" s="116"/>
      <c r="B64" s="117"/>
      <c r="C64" s="117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H64" s="732"/>
    </row>
    <row r="66" ht="35.25" customHeight="1">
      <c r="AC66" s="4"/>
    </row>
    <row r="67" ht="35.25" customHeight="1"/>
    <row r="72" ht="48.75" customHeight="1"/>
    <row r="73" ht="46.5" customHeight="1"/>
    <row r="74" ht="41.25" customHeight="1"/>
  </sheetData>
  <sheetProtection selectLockedCells="1" selectUnlockedCells="1"/>
  <mergeCells count="46">
    <mergeCell ref="C22:D22"/>
    <mergeCell ref="C33:D33"/>
    <mergeCell ref="C20:D20"/>
    <mergeCell ref="C16:D16"/>
    <mergeCell ref="C17:D17"/>
    <mergeCell ref="A2:V2"/>
    <mergeCell ref="A4:C4"/>
    <mergeCell ref="B6:D6"/>
    <mergeCell ref="B7:D7"/>
    <mergeCell ref="C8:D8"/>
    <mergeCell ref="C13:D13"/>
    <mergeCell ref="F4:M4"/>
    <mergeCell ref="N4:U4"/>
    <mergeCell ref="V4:AC4"/>
    <mergeCell ref="C37:D37"/>
    <mergeCell ref="B21:D21"/>
    <mergeCell ref="C23:D23"/>
    <mergeCell ref="C24:D24"/>
    <mergeCell ref="C25:D25"/>
    <mergeCell ref="C29:D29"/>
    <mergeCell ref="C30:D30"/>
    <mergeCell ref="C31:D31"/>
    <mergeCell ref="C32:D32"/>
    <mergeCell ref="B34:D34"/>
    <mergeCell ref="C35:D35"/>
    <mergeCell ref="C36:D36"/>
    <mergeCell ref="C55:D55"/>
    <mergeCell ref="C38:D38"/>
    <mergeCell ref="B42:D42"/>
    <mergeCell ref="C43:D43"/>
    <mergeCell ref="C44:D44"/>
    <mergeCell ref="C48:D48"/>
    <mergeCell ref="C49:D49"/>
    <mergeCell ref="B50:D50"/>
    <mergeCell ref="C51:D51"/>
    <mergeCell ref="C52:D52"/>
    <mergeCell ref="B53:D53"/>
    <mergeCell ref="C54:D54"/>
    <mergeCell ref="A62:D62"/>
    <mergeCell ref="A63:D63"/>
    <mergeCell ref="B56:D56"/>
    <mergeCell ref="B57:D57"/>
    <mergeCell ref="C58:D58"/>
    <mergeCell ref="C59:D59"/>
    <mergeCell ref="C60:D60"/>
    <mergeCell ref="B61:D6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zoomScale="75" zoomScaleNormal="75" zoomScalePageLayoutView="0" workbookViewId="0" topLeftCell="A1">
      <selection activeCell="AD5" sqref="AD5"/>
    </sheetView>
  </sheetViews>
  <sheetFormatPr defaultColWidth="9.140625" defaultRowHeight="12.75"/>
  <cols>
    <col min="1" max="1" width="5.8515625" style="119" customWidth="1"/>
    <col min="2" max="2" width="8.140625" style="120" customWidth="1"/>
    <col min="3" max="3" width="6.8515625" style="120" customWidth="1"/>
    <col min="4" max="4" width="50.140625" style="121" customWidth="1"/>
    <col min="5" max="5" width="8.8515625" style="121" customWidth="1"/>
    <col min="6" max="6" width="18.28125" style="122" customWidth="1"/>
    <col min="7" max="11" width="0" style="122" hidden="1" customWidth="1"/>
    <col min="12" max="13" width="18.7109375" style="122" customWidth="1"/>
    <col min="14" max="14" width="19.421875" style="123" customWidth="1"/>
    <col min="15" max="19" width="0" style="123" hidden="1" customWidth="1"/>
    <col min="20" max="21" width="18.57421875" style="123" customWidth="1"/>
    <col min="22" max="22" width="16.7109375" style="123" customWidth="1"/>
    <col min="23" max="23" width="0" style="123" hidden="1" customWidth="1"/>
    <col min="24" max="28" width="0" style="122" hidden="1" customWidth="1"/>
    <col min="29" max="29" width="15.28125" style="122" customWidth="1"/>
    <col min="30" max="30" width="17.57421875" style="122" customWidth="1"/>
    <col min="31" max="16384" width="9.140625" style="122" customWidth="1"/>
  </cols>
  <sheetData>
    <row r="1" spans="6:22" ht="15.75">
      <c r="F1" s="1492" t="s">
        <v>248</v>
      </c>
      <c r="G1" s="1492"/>
      <c r="H1" s="1492"/>
      <c r="I1" s="1492"/>
      <c r="J1" s="1492"/>
      <c r="K1" s="1492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2"/>
    </row>
    <row r="2" spans="1:23" ht="37.5" customHeight="1">
      <c r="A2" s="1493" t="s">
        <v>600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266"/>
    </row>
    <row r="3" spans="1:22" ht="14.25" customHeight="1" thickBot="1">
      <c r="A3" s="267"/>
      <c r="B3" s="125"/>
      <c r="C3" s="125"/>
      <c r="D3" s="13"/>
      <c r="E3" s="126"/>
      <c r="V3" s="127" t="s">
        <v>484</v>
      </c>
    </row>
    <row r="4" spans="1:30" s="13" customFormat="1" ht="48.75" customHeight="1" thickBot="1">
      <c r="A4" s="1477" t="s">
        <v>141</v>
      </c>
      <c r="B4" s="1477"/>
      <c r="C4" s="1477"/>
      <c r="D4" s="1477"/>
      <c r="E4" s="128" t="s">
        <v>4</v>
      </c>
      <c r="F4" s="1494" t="s">
        <v>5</v>
      </c>
      <c r="G4" s="1495"/>
      <c r="H4" s="1495"/>
      <c r="I4" s="1495"/>
      <c r="J4" s="1495"/>
      <c r="K4" s="1495"/>
      <c r="L4" s="1495"/>
      <c r="M4" s="1496"/>
      <c r="N4" s="1494" t="s">
        <v>6</v>
      </c>
      <c r="O4" s="1495"/>
      <c r="P4" s="1495"/>
      <c r="Q4" s="1495"/>
      <c r="R4" s="1495"/>
      <c r="S4" s="1495"/>
      <c r="T4" s="1495"/>
      <c r="U4" s="1496"/>
      <c r="V4" s="1497" t="s">
        <v>7</v>
      </c>
      <c r="W4" s="1498"/>
      <c r="X4" s="1498"/>
      <c r="Y4" s="1498"/>
      <c r="Z4" s="1498"/>
      <c r="AA4" s="1498"/>
      <c r="AB4" s="1498"/>
      <c r="AC4" s="1498"/>
      <c r="AD4" s="1499"/>
    </row>
    <row r="5" spans="1:30" s="13" customFormat="1" ht="16.5" customHeight="1" thickBot="1">
      <c r="A5" s="128"/>
      <c r="B5" s="129"/>
      <c r="C5" s="129"/>
      <c r="D5" s="129"/>
      <c r="E5" s="128"/>
      <c r="F5" s="1235" t="s">
        <v>9</v>
      </c>
      <c r="G5" s="1236" t="s">
        <v>143</v>
      </c>
      <c r="H5" s="1236" t="s">
        <v>144</v>
      </c>
      <c r="I5" s="1236" t="s">
        <v>249</v>
      </c>
      <c r="J5" s="1236" t="s">
        <v>146</v>
      </c>
      <c r="K5" s="1237" t="s">
        <v>147</v>
      </c>
      <c r="L5" s="1237" t="s">
        <v>506</v>
      </c>
      <c r="M5" s="1238" t="s">
        <v>638</v>
      </c>
      <c r="N5" s="1235" t="s">
        <v>9</v>
      </c>
      <c r="O5" s="1236" t="s">
        <v>143</v>
      </c>
      <c r="P5" s="1236" t="s">
        <v>144</v>
      </c>
      <c r="Q5" s="1236" t="s">
        <v>249</v>
      </c>
      <c r="R5" s="1236" t="s">
        <v>146</v>
      </c>
      <c r="S5" s="1237" t="s">
        <v>147</v>
      </c>
      <c r="T5" s="1237" t="s">
        <v>507</v>
      </c>
      <c r="U5" s="1238" t="s">
        <v>638</v>
      </c>
      <c r="V5" s="1235" t="s">
        <v>9</v>
      </c>
      <c r="W5" s="1236" t="s">
        <v>143</v>
      </c>
      <c r="X5" s="1236" t="s">
        <v>144</v>
      </c>
      <c r="Y5" s="1236" t="s">
        <v>249</v>
      </c>
      <c r="Z5" s="1236" t="s">
        <v>146</v>
      </c>
      <c r="AA5" s="1237" t="s">
        <v>147</v>
      </c>
      <c r="AB5" s="1287"/>
      <c r="AC5" s="1288" t="s">
        <v>10</v>
      </c>
      <c r="AD5" s="1238" t="s">
        <v>638</v>
      </c>
    </row>
    <row r="6" spans="1:30" s="134" customFormat="1" ht="22.5" customHeight="1" thickBot="1">
      <c r="A6" s="67" t="s">
        <v>15</v>
      </c>
      <c r="B6" s="1464" t="s">
        <v>148</v>
      </c>
      <c r="C6" s="1464"/>
      <c r="D6" s="1464"/>
      <c r="E6" s="67"/>
      <c r="F6" s="1239">
        <f>F7+F8+F9+F10+F11</f>
        <v>48640100</v>
      </c>
      <c r="G6" s="1240">
        <f aca="true" t="shared" si="0" ref="G6:V6">G7+G8+G9+G10+G11</f>
        <v>0</v>
      </c>
      <c r="H6" s="1240">
        <f t="shared" si="0"/>
        <v>0</v>
      </c>
      <c r="I6" s="1240">
        <f t="shared" si="0"/>
        <v>0</v>
      </c>
      <c r="J6" s="1240">
        <f t="shared" si="0"/>
        <v>0</v>
      </c>
      <c r="K6" s="1240">
        <f t="shared" si="0"/>
        <v>0</v>
      </c>
      <c r="L6" s="1240">
        <f>L7+L8+L9+L10+L11</f>
        <v>49886983</v>
      </c>
      <c r="M6" s="1241">
        <f>M7+M8+M9+M10+M11</f>
        <v>51722505</v>
      </c>
      <c r="N6" s="1239">
        <f t="shared" si="0"/>
        <v>42183811</v>
      </c>
      <c r="O6" s="1240">
        <f t="shared" si="0"/>
        <v>0</v>
      </c>
      <c r="P6" s="1240">
        <f t="shared" si="0"/>
        <v>0</v>
      </c>
      <c r="Q6" s="1240">
        <f t="shared" si="0"/>
        <v>0</v>
      </c>
      <c r="R6" s="1240">
        <f t="shared" si="0"/>
        <v>0</v>
      </c>
      <c r="S6" s="1240">
        <f t="shared" si="0"/>
        <v>0</v>
      </c>
      <c r="T6" s="1240">
        <f>L6-AC6</f>
        <v>43278549</v>
      </c>
      <c r="U6" s="1241">
        <f>M6-AD6</f>
        <v>44882071</v>
      </c>
      <c r="V6" s="1239">
        <f t="shared" si="0"/>
        <v>6456289</v>
      </c>
      <c r="W6" s="1240">
        <f aca="true" t="shared" si="1" ref="W6:AB6">SUM(W7:W11)</f>
        <v>0</v>
      </c>
      <c r="X6" s="1240">
        <f t="shared" si="1"/>
        <v>0</v>
      </c>
      <c r="Y6" s="1240">
        <f t="shared" si="1"/>
        <v>0</v>
      </c>
      <c r="Z6" s="1240">
        <f t="shared" si="1"/>
        <v>0</v>
      </c>
      <c r="AA6" s="1240">
        <f t="shared" si="1"/>
        <v>0</v>
      </c>
      <c r="AB6" s="1240">
        <f t="shared" si="1"/>
        <v>18567</v>
      </c>
      <c r="AC6" s="1289">
        <f>AC7+AC8+AC9+AC10+AC11</f>
        <v>6608434</v>
      </c>
      <c r="AD6" s="1290">
        <f>AD7+AD8+AD9+AD10+AD11</f>
        <v>6840434</v>
      </c>
    </row>
    <row r="7" spans="1:30" s="140" customFormat="1" ht="22.5" customHeight="1">
      <c r="A7" s="135"/>
      <c r="B7" s="136" t="s">
        <v>18</v>
      </c>
      <c r="C7" s="136"/>
      <c r="D7" s="137" t="s">
        <v>149</v>
      </c>
      <c r="E7" s="1222" t="s">
        <v>150</v>
      </c>
      <c r="F7" s="1242">
        <v>20704539</v>
      </c>
      <c r="G7" s="1243"/>
      <c r="H7" s="1243"/>
      <c r="I7" s="1243"/>
      <c r="J7" s="1243"/>
      <c r="K7" s="1243"/>
      <c r="L7" s="1243">
        <f>21099539+7922+4121+13678+7603+8398+234556</f>
        <v>21375817</v>
      </c>
      <c r="M7" s="1244">
        <f>21099539+7922+4121+13678+7603+8398+234556+237000+40029</f>
        <v>21652846</v>
      </c>
      <c r="N7" s="1242">
        <f>F7-V7</f>
        <v>19234539</v>
      </c>
      <c r="O7" s="1243"/>
      <c r="P7" s="1243"/>
      <c r="Q7" s="1243"/>
      <c r="R7" s="1243"/>
      <c r="S7" s="1243"/>
      <c r="T7" s="1281">
        <f aca="true" t="shared" si="2" ref="T7:U38">L7-AC7</f>
        <v>19826317</v>
      </c>
      <c r="U7" s="1282">
        <f t="shared" si="2"/>
        <v>20103346</v>
      </c>
      <c r="V7" s="1242">
        <v>1470000</v>
      </c>
      <c r="W7" s="1243"/>
      <c r="X7" s="1243"/>
      <c r="Y7" s="1243"/>
      <c r="Z7" s="1243"/>
      <c r="AA7" s="1243"/>
      <c r="AB7" s="1243">
        <v>498</v>
      </c>
      <c r="AC7" s="1291">
        <v>1549500</v>
      </c>
      <c r="AD7" s="1292">
        <v>1549500</v>
      </c>
    </row>
    <row r="8" spans="1:30" s="140" customFormat="1" ht="22.5" customHeight="1">
      <c r="A8" s="141"/>
      <c r="B8" s="142" t="s">
        <v>28</v>
      </c>
      <c r="C8" s="142"/>
      <c r="D8" s="143" t="s">
        <v>151</v>
      </c>
      <c r="E8" s="1222" t="s">
        <v>152</v>
      </c>
      <c r="F8" s="1245">
        <v>5480479</v>
      </c>
      <c r="G8" s="1246"/>
      <c r="H8" s="1246"/>
      <c r="I8" s="1246"/>
      <c r="J8" s="1246"/>
      <c r="K8" s="1246"/>
      <c r="L8" s="1247">
        <f>5587129+3251+3693+2053+2268+63330</f>
        <v>5661724</v>
      </c>
      <c r="M8" s="1248">
        <f>5587129+3251+3693+2053+2268+63330+63990</f>
        <v>5725714</v>
      </c>
      <c r="N8" s="1242">
        <f aca="true" t="shared" si="3" ref="N8:N14">F8-V8</f>
        <v>5078172</v>
      </c>
      <c r="O8" s="1246"/>
      <c r="P8" s="1246"/>
      <c r="Q8" s="1246"/>
      <c r="R8" s="1247"/>
      <c r="S8" s="1243"/>
      <c r="T8" s="1250">
        <f t="shared" si="2"/>
        <v>5237952</v>
      </c>
      <c r="U8" s="1259">
        <f t="shared" si="2"/>
        <v>5301942</v>
      </c>
      <c r="V8" s="1245">
        <v>402307</v>
      </c>
      <c r="W8" s="1246"/>
      <c r="X8" s="1246"/>
      <c r="Y8" s="1246"/>
      <c r="Z8" s="1247"/>
      <c r="AA8" s="1247"/>
      <c r="AB8" s="1247">
        <v>130</v>
      </c>
      <c r="AC8" s="1293">
        <v>423772</v>
      </c>
      <c r="AD8" s="1294">
        <v>423772</v>
      </c>
    </row>
    <row r="9" spans="1:30" s="140" customFormat="1" ht="22.5" customHeight="1">
      <c r="A9" s="141"/>
      <c r="B9" s="142" t="s">
        <v>153</v>
      </c>
      <c r="C9" s="142"/>
      <c r="D9" s="143" t="s">
        <v>154</v>
      </c>
      <c r="E9" s="1222" t="s">
        <v>155</v>
      </c>
      <c r="F9" s="1245">
        <v>18303461</v>
      </c>
      <c r="G9" s="1246"/>
      <c r="H9" s="1246"/>
      <c r="I9" s="1246"/>
      <c r="J9" s="1246"/>
      <c r="K9" s="1246"/>
      <c r="L9" s="1247">
        <v>18646641</v>
      </c>
      <c r="M9" s="1248">
        <f>18646641+901723</f>
        <v>19548364</v>
      </c>
      <c r="N9" s="1242">
        <f t="shared" si="3"/>
        <v>16658405</v>
      </c>
      <c r="O9" s="1246"/>
      <c r="P9" s="1246"/>
      <c r="Q9" s="1246"/>
      <c r="R9" s="1247"/>
      <c r="S9" s="1243"/>
      <c r="T9" s="1250">
        <f t="shared" si="2"/>
        <v>17001585</v>
      </c>
      <c r="U9" s="1259">
        <f t="shared" si="2"/>
        <v>17903308</v>
      </c>
      <c r="V9" s="1245">
        <v>1645056</v>
      </c>
      <c r="W9" s="1246"/>
      <c r="X9" s="1246"/>
      <c r="Y9" s="1246"/>
      <c r="Z9" s="1247"/>
      <c r="AA9" s="1247"/>
      <c r="AB9" s="1247">
        <v>1819</v>
      </c>
      <c r="AC9" s="1246">
        <v>1645056</v>
      </c>
      <c r="AD9" s="1252">
        <f>'7.sz.m.Dologi kiadás (2)'!AA24</f>
        <v>1645056</v>
      </c>
    </row>
    <row r="10" spans="1:30" s="140" customFormat="1" ht="22.5" customHeight="1">
      <c r="A10" s="141"/>
      <c r="B10" s="142" t="s">
        <v>38</v>
      </c>
      <c r="C10" s="142"/>
      <c r="D10" s="143" t="s">
        <v>156</v>
      </c>
      <c r="E10" s="1222" t="s">
        <v>157</v>
      </c>
      <c r="F10" s="1249">
        <v>2211000</v>
      </c>
      <c r="G10" s="1250"/>
      <c r="H10" s="1250"/>
      <c r="I10" s="1250"/>
      <c r="J10" s="1250"/>
      <c r="K10" s="1250"/>
      <c r="L10" s="1243">
        <v>2211000</v>
      </c>
      <c r="M10" s="1244">
        <v>2211000</v>
      </c>
      <c r="N10" s="1242">
        <f t="shared" si="3"/>
        <v>455000</v>
      </c>
      <c r="O10" s="1250"/>
      <c r="P10" s="1250"/>
      <c r="Q10" s="1250"/>
      <c r="R10" s="1243"/>
      <c r="S10" s="1243"/>
      <c r="T10" s="1250">
        <f t="shared" si="2"/>
        <v>455000</v>
      </c>
      <c r="U10" s="1259">
        <f>'8.sz.m.szociális kiadások'!I43</f>
        <v>223000</v>
      </c>
      <c r="V10" s="1249">
        <v>1756000</v>
      </c>
      <c r="W10" s="1250"/>
      <c r="X10" s="1250"/>
      <c r="Y10" s="1250"/>
      <c r="Z10" s="1243"/>
      <c r="AA10" s="1243"/>
      <c r="AB10" s="1243">
        <v>3913</v>
      </c>
      <c r="AC10" s="1250">
        <v>1756000</v>
      </c>
      <c r="AD10" s="1259">
        <f>'8.sz.m.szociális kiadások'!I18</f>
        <v>1988000</v>
      </c>
    </row>
    <row r="11" spans="1:30" s="140" customFormat="1" ht="22.5" customHeight="1">
      <c r="A11" s="141"/>
      <c r="B11" s="142" t="s">
        <v>45</v>
      </c>
      <c r="C11" s="142"/>
      <c r="D11" s="144" t="s">
        <v>158</v>
      </c>
      <c r="E11" s="1223" t="s">
        <v>159</v>
      </c>
      <c r="F11" s="1245">
        <v>1940621</v>
      </c>
      <c r="G11" s="1246"/>
      <c r="H11" s="1246"/>
      <c r="I11" s="1246"/>
      <c r="J11" s="1246"/>
      <c r="K11" s="1246"/>
      <c r="L11" s="1247">
        <v>1991801</v>
      </c>
      <c r="M11" s="1248">
        <f>SUM(M12:M15)</f>
        <v>2584581</v>
      </c>
      <c r="N11" s="1242">
        <f t="shared" si="3"/>
        <v>757695</v>
      </c>
      <c r="O11" s="1246"/>
      <c r="P11" s="1246"/>
      <c r="Q11" s="1246"/>
      <c r="R11" s="1246"/>
      <c r="S11" s="1243"/>
      <c r="T11" s="1250">
        <f t="shared" si="2"/>
        <v>757695</v>
      </c>
      <c r="U11" s="1259">
        <f t="shared" si="2"/>
        <v>1350475</v>
      </c>
      <c r="V11" s="1245">
        <v>1182926</v>
      </c>
      <c r="W11" s="1246">
        <f>SUM(W12:W16)</f>
        <v>0</v>
      </c>
      <c r="X11" s="1246">
        <f>SUM(X12:X16)</f>
        <v>0</v>
      </c>
      <c r="Y11" s="1246">
        <f>SUM(Y12:Y16)</f>
        <v>0</v>
      </c>
      <c r="Z11" s="1246"/>
      <c r="AA11" s="1246"/>
      <c r="AB11" s="1246">
        <v>12207</v>
      </c>
      <c r="AC11" s="1246">
        <v>1234106</v>
      </c>
      <c r="AD11" s="1252">
        <v>1234106</v>
      </c>
    </row>
    <row r="12" spans="1:30" s="140" customFormat="1" ht="28.5" customHeight="1">
      <c r="A12" s="141"/>
      <c r="B12" s="146"/>
      <c r="C12" s="142" t="s">
        <v>160</v>
      </c>
      <c r="D12" s="147" t="s">
        <v>161</v>
      </c>
      <c r="E12" s="1224" t="s">
        <v>250</v>
      </c>
      <c r="F12" s="1249"/>
      <c r="G12" s="1250"/>
      <c r="H12" s="1250"/>
      <c r="I12" s="1250"/>
      <c r="J12" s="1250"/>
      <c r="K12" s="1250"/>
      <c r="L12" s="1243"/>
      <c r="M12" s="1244">
        <v>65280</v>
      </c>
      <c r="N12" s="1242">
        <f t="shared" si="3"/>
        <v>0</v>
      </c>
      <c r="O12" s="1250"/>
      <c r="P12" s="1250"/>
      <c r="Q12" s="1250"/>
      <c r="R12" s="1243"/>
      <c r="S12" s="1243"/>
      <c r="T12" s="1250">
        <f t="shared" si="2"/>
        <v>0</v>
      </c>
      <c r="U12" s="1259">
        <f t="shared" si="2"/>
        <v>65280</v>
      </c>
      <c r="V12" s="1249"/>
      <c r="W12" s="1250"/>
      <c r="X12" s="1250"/>
      <c r="Y12" s="1250"/>
      <c r="Z12" s="1243"/>
      <c r="AA12" s="1243"/>
      <c r="AB12" s="1243"/>
      <c r="AC12" s="1295"/>
      <c r="AD12" s="1296"/>
    </row>
    <row r="13" spans="1:30" s="140" customFormat="1" ht="31.5" customHeight="1">
      <c r="A13" s="141"/>
      <c r="B13" s="142"/>
      <c r="C13" s="142" t="s">
        <v>162</v>
      </c>
      <c r="D13" s="143" t="s">
        <v>163</v>
      </c>
      <c r="E13" s="1222" t="s">
        <v>251</v>
      </c>
      <c r="F13" s="1249">
        <v>1168266</v>
      </c>
      <c r="G13" s="1250"/>
      <c r="H13" s="1250"/>
      <c r="I13" s="1250"/>
      <c r="J13" s="1250"/>
      <c r="K13" s="1250"/>
      <c r="L13" s="1243">
        <v>1219446</v>
      </c>
      <c r="M13" s="1244">
        <f>1219446+27500</f>
        <v>1246946</v>
      </c>
      <c r="N13" s="1242">
        <f t="shared" si="3"/>
        <v>0</v>
      </c>
      <c r="O13" s="1250"/>
      <c r="P13" s="1250"/>
      <c r="Q13" s="1250"/>
      <c r="R13" s="1243"/>
      <c r="S13" s="1243"/>
      <c r="T13" s="1250">
        <f t="shared" si="2"/>
        <v>0</v>
      </c>
      <c r="U13" s="1259">
        <f t="shared" si="2"/>
        <v>0</v>
      </c>
      <c r="V13" s="1249">
        <v>1168266</v>
      </c>
      <c r="W13" s="1250"/>
      <c r="X13" s="1250"/>
      <c r="Y13" s="1250"/>
      <c r="Z13" s="1243"/>
      <c r="AA13" s="1243"/>
      <c r="AB13" s="1243"/>
      <c r="AC13" s="1293">
        <v>1219446</v>
      </c>
      <c r="AD13" s="1294">
        <f>'9.sz.m.átadott pe (2)'!O32</f>
        <v>1246946</v>
      </c>
    </row>
    <row r="14" spans="1:30" s="140" customFormat="1" ht="36.75" customHeight="1">
      <c r="A14" s="149"/>
      <c r="B14" s="150"/>
      <c r="C14" s="142" t="s">
        <v>164</v>
      </c>
      <c r="D14" s="143" t="s">
        <v>165</v>
      </c>
      <c r="E14" s="1222" t="s">
        <v>252</v>
      </c>
      <c r="F14" s="1249">
        <v>772355</v>
      </c>
      <c r="G14" s="1250"/>
      <c r="H14" s="1250"/>
      <c r="I14" s="1250"/>
      <c r="J14" s="1250"/>
      <c r="K14" s="1251"/>
      <c r="L14" s="1243">
        <v>772355</v>
      </c>
      <c r="M14" s="1244">
        <v>772355</v>
      </c>
      <c r="N14" s="1242">
        <f t="shared" si="3"/>
        <v>757695</v>
      </c>
      <c r="O14" s="1250"/>
      <c r="P14" s="1250"/>
      <c r="Q14" s="1250"/>
      <c r="R14" s="1243"/>
      <c r="S14" s="1243"/>
      <c r="T14" s="1314">
        <f t="shared" si="2"/>
        <v>757695</v>
      </c>
      <c r="U14" s="1315">
        <f>'9.sz.m.átadott pe (2)'!H60</f>
        <v>757695</v>
      </c>
      <c r="V14" s="1249">
        <v>14660</v>
      </c>
      <c r="W14" s="1250"/>
      <c r="X14" s="1250"/>
      <c r="Y14" s="1250"/>
      <c r="Z14" s="1243"/>
      <c r="AA14" s="1243"/>
      <c r="AB14" s="1243"/>
      <c r="AC14" s="1293">
        <v>14660</v>
      </c>
      <c r="AD14" s="1294">
        <f>'9.sz.m.átadott pe (2)'!O60</f>
        <v>14660</v>
      </c>
    </row>
    <row r="15" spans="1:30" s="140" customFormat="1" ht="42.75" customHeight="1" thickBot="1">
      <c r="A15" s="141"/>
      <c r="B15" s="142"/>
      <c r="C15" s="142" t="s">
        <v>166</v>
      </c>
      <c r="D15" s="143" t="s">
        <v>575</v>
      </c>
      <c r="E15" s="1222" t="s">
        <v>574</v>
      </c>
      <c r="F15" s="1245"/>
      <c r="G15" s="1246"/>
      <c r="H15" s="1246"/>
      <c r="I15" s="1246"/>
      <c r="J15" s="1246"/>
      <c r="K15" s="1246"/>
      <c r="L15" s="1246"/>
      <c r="M15" s="1252">
        <v>500000</v>
      </c>
      <c r="N15" s="1245"/>
      <c r="O15" s="1246"/>
      <c r="P15" s="1246"/>
      <c r="Q15" s="1246"/>
      <c r="R15" s="1247"/>
      <c r="S15" s="1243"/>
      <c r="T15" s="1316">
        <f t="shared" si="2"/>
        <v>0</v>
      </c>
      <c r="U15" s="1317">
        <f t="shared" si="2"/>
        <v>0</v>
      </c>
      <c r="V15" s="1245"/>
      <c r="W15" s="1246"/>
      <c r="X15" s="1246"/>
      <c r="Y15" s="1246"/>
      <c r="Z15" s="1247"/>
      <c r="AA15" s="1247"/>
      <c r="AB15" s="1247"/>
      <c r="AC15" s="1293"/>
      <c r="AD15" s="1294">
        <f>'9.sz.m.átadott pe (2)'!O87</f>
        <v>500000</v>
      </c>
    </row>
    <row r="16" spans="1:30" s="140" customFormat="1" ht="22.5" customHeight="1" hidden="1" thickBot="1">
      <c r="A16" s="151"/>
      <c r="B16" s="152"/>
      <c r="C16" s="152" t="s">
        <v>168</v>
      </c>
      <c r="D16" s="153" t="s">
        <v>169</v>
      </c>
      <c r="E16" s="1225"/>
      <c r="F16" s="1253"/>
      <c r="G16" s="1254"/>
      <c r="H16" s="1254"/>
      <c r="I16" s="1254"/>
      <c r="J16" s="1254"/>
      <c r="K16" s="1254"/>
      <c r="L16" s="1254"/>
      <c r="M16" s="1255"/>
      <c r="N16" s="1253"/>
      <c r="O16" s="1254"/>
      <c r="P16" s="1254"/>
      <c r="Q16" s="1254"/>
      <c r="R16" s="1261"/>
      <c r="S16" s="1243"/>
      <c r="T16" s="1240">
        <f t="shared" si="2"/>
        <v>0</v>
      </c>
      <c r="U16" s="1241">
        <f t="shared" si="2"/>
        <v>0</v>
      </c>
      <c r="V16" s="1253"/>
      <c r="W16" s="1254"/>
      <c r="X16" s="1254"/>
      <c r="Y16" s="1254"/>
      <c r="Z16" s="1261"/>
      <c r="AA16" s="1261"/>
      <c r="AB16" s="1261"/>
      <c r="AC16" s="1297"/>
      <c r="AD16" s="1298"/>
    </row>
    <row r="17" spans="1:30" s="140" customFormat="1" ht="22.5" customHeight="1" thickBot="1">
      <c r="A17" s="67" t="s">
        <v>170</v>
      </c>
      <c r="B17" s="1464" t="s">
        <v>171</v>
      </c>
      <c r="C17" s="1464"/>
      <c r="D17" s="1464"/>
      <c r="E17" s="67"/>
      <c r="F17" s="1256">
        <f>F18+F19+F20</f>
        <v>2567549</v>
      </c>
      <c r="G17" s="1257">
        <f aca="true" t="shared" si="4" ref="G17:V17">G18+G19+G20</f>
        <v>0</v>
      </c>
      <c r="H17" s="1257">
        <f t="shared" si="4"/>
        <v>0</v>
      </c>
      <c r="I17" s="1257">
        <f t="shared" si="4"/>
        <v>0</v>
      </c>
      <c r="J17" s="1257">
        <f t="shared" si="4"/>
        <v>0</v>
      </c>
      <c r="K17" s="1257">
        <f t="shared" si="4"/>
        <v>0</v>
      </c>
      <c r="L17" s="1257">
        <f>L18+L19+L20</f>
        <v>2594160</v>
      </c>
      <c r="M17" s="1258">
        <f>M18+M19+M20</f>
        <v>2594160</v>
      </c>
      <c r="N17" s="1256">
        <f t="shared" si="4"/>
        <v>2167549</v>
      </c>
      <c r="O17" s="1257">
        <f t="shared" si="4"/>
        <v>0</v>
      </c>
      <c r="P17" s="1257">
        <f t="shared" si="4"/>
        <v>0</v>
      </c>
      <c r="Q17" s="1257">
        <f t="shared" si="4"/>
        <v>0</v>
      </c>
      <c r="R17" s="1257">
        <f t="shared" si="4"/>
        <v>0</v>
      </c>
      <c r="S17" s="1257">
        <f t="shared" si="4"/>
        <v>0</v>
      </c>
      <c r="T17" s="1240">
        <f t="shared" si="2"/>
        <v>2194160</v>
      </c>
      <c r="U17" s="1241">
        <f t="shared" si="2"/>
        <v>2194160</v>
      </c>
      <c r="V17" s="1256">
        <f t="shared" si="4"/>
        <v>400000</v>
      </c>
      <c r="W17" s="1257">
        <f aca="true" t="shared" si="5" ref="W17:AB17">SUM(W18:W20)</f>
        <v>0</v>
      </c>
      <c r="X17" s="1257">
        <f t="shared" si="5"/>
        <v>0</v>
      </c>
      <c r="Y17" s="1257">
        <f t="shared" si="5"/>
        <v>0</v>
      </c>
      <c r="Z17" s="1257">
        <f t="shared" si="5"/>
        <v>0</v>
      </c>
      <c r="AA17" s="1257">
        <f t="shared" si="5"/>
        <v>0</v>
      </c>
      <c r="AB17" s="1257">
        <f t="shared" si="5"/>
        <v>1400</v>
      </c>
      <c r="AC17" s="1299">
        <v>400000</v>
      </c>
      <c r="AD17" s="1300">
        <v>400000</v>
      </c>
    </row>
    <row r="18" spans="1:30" s="140" customFormat="1" ht="22.5" customHeight="1">
      <c r="A18" s="135"/>
      <c r="B18" s="136" t="s">
        <v>51</v>
      </c>
      <c r="C18" s="1465" t="s">
        <v>172</v>
      </c>
      <c r="D18" s="1465"/>
      <c r="E18" s="135" t="s">
        <v>173</v>
      </c>
      <c r="F18" s="1242">
        <v>889000</v>
      </c>
      <c r="G18" s="1243"/>
      <c r="H18" s="1243"/>
      <c r="I18" s="1243"/>
      <c r="J18" s="1243"/>
      <c r="K18" s="1243"/>
      <c r="L18" s="1243">
        <v>1139000</v>
      </c>
      <c r="M18" s="1244">
        <v>1139000</v>
      </c>
      <c r="N18" s="1242">
        <v>889000</v>
      </c>
      <c r="O18" s="1243"/>
      <c r="P18" s="1243"/>
      <c r="Q18" s="1243"/>
      <c r="R18" s="1243"/>
      <c r="S18" s="1243"/>
      <c r="T18" s="1281">
        <f t="shared" si="2"/>
        <v>1139000</v>
      </c>
      <c r="U18" s="1282">
        <f t="shared" si="2"/>
        <v>1139000</v>
      </c>
      <c r="V18" s="1242"/>
      <c r="W18" s="1243"/>
      <c r="X18" s="1243"/>
      <c r="Y18" s="1243"/>
      <c r="Z18" s="1243"/>
      <c r="AA18" s="1243"/>
      <c r="AB18" s="1243">
        <v>0</v>
      </c>
      <c r="AC18" s="1291"/>
      <c r="AD18" s="1292"/>
    </row>
    <row r="19" spans="1:30" s="140" customFormat="1" ht="22.5" customHeight="1">
      <c r="A19" s="141"/>
      <c r="B19" s="142" t="s">
        <v>54</v>
      </c>
      <c r="C19" s="1466" t="s">
        <v>174</v>
      </c>
      <c r="D19" s="1466"/>
      <c r="E19" s="135" t="s">
        <v>175</v>
      </c>
      <c r="F19" s="1249">
        <v>1278549</v>
      </c>
      <c r="G19" s="1250"/>
      <c r="H19" s="1250"/>
      <c r="I19" s="1250"/>
      <c r="J19" s="1250"/>
      <c r="K19" s="1250"/>
      <c r="L19" s="1250">
        <v>1055160</v>
      </c>
      <c r="M19" s="1259">
        <v>1055160</v>
      </c>
      <c r="N19" s="1249">
        <v>1278549</v>
      </c>
      <c r="O19" s="1250"/>
      <c r="P19" s="1250"/>
      <c r="Q19" s="1250"/>
      <c r="R19" s="1250"/>
      <c r="S19" s="1250"/>
      <c r="T19" s="1250">
        <f t="shared" si="2"/>
        <v>1055160</v>
      </c>
      <c r="U19" s="1259">
        <f t="shared" si="2"/>
        <v>1055160</v>
      </c>
      <c r="V19" s="1249"/>
      <c r="W19" s="1250"/>
      <c r="X19" s="1250"/>
      <c r="Y19" s="1250"/>
      <c r="Z19" s="1250"/>
      <c r="AA19" s="1250"/>
      <c r="AB19" s="1250">
        <v>0</v>
      </c>
      <c r="AC19" s="1293"/>
      <c r="AD19" s="1294"/>
    </row>
    <row r="20" spans="1:30" s="140" customFormat="1" ht="22.5" customHeight="1">
      <c r="A20" s="157"/>
      <c r="B20" s="142" t="s">
        <v>57</v>
      </c>
      <c r="C20" s="1467" t="s">
        <v>176</v>
      </c>
      <c r="D20" s="1467"/>
      <c r="E20" s="1226" t="s">
        <v>177</v>
      </c>
      <c r="F20" s="1245">
        <v>400000</v>
      </c>
      <c r="G20" s="1246"/>
      <c r="H20" s="1246"/>
      <c r="I20" s="1246"/>
      <c r="J20" s="1246"/>
      <c r="K20" s="1246"/>
      <c r="L20" s="1246">
        <v>400000</v>
      </c>
      <c r="M20" s="1252">
        <v>400000</v>
      </c>
      <c r="N20" s="1245"/>
      <c r="O20" s="1246"/>
      <c r="P20" s="1246"/>
      <c r="Q20" s="1246"/>
      <c r="R20" s="1246"/>
      <c r="S20" s="1246"/>
      <c r="T20" s="1250">
        <f t="shared" si="2"/>
        <v>0</v>
      </c>
      <c r="U20" s="1259">
        <f t="shared" si="2"/>
        <v>0</v>
      </c>
      <c r="V20" s="1245">
        <v>400000</v>
      </c>
      <c r="W20" s="1246">
        <f>SUM(W21:W24)</f>
        <v>0</v>
      </c>
      <c r="X20" s="1246">
        <f>SUM(X21:X24)</f>
        <v>0</v>
      </c>
      <c r="Y20" s="1246">
        <f>SUM(Y21:Y24)</f>
        <v>0</v>
      </c>
      <c r="Z20" s="1246"/>
      <c r="AA20" s="1246"/>
      <c r="AB20" s="1246">
        <v>1400</v>
      </c>
      <c r="AC20" s="1293">
        <v>400000</v>
      </c>
      <c r="AD20" s="1294">
        <v>400000</v>
      </c>
    </row>
    <row r="21" spans="1:30" s="140" customFormat="1" ht="22.5" customHeight="1">
      <c r="A21" s="160"/>
      <c r="B21" s="161"/>
      <c r="C21" s="161" t="s">
        <v>60</v>
      </c>
      <c r="D21" s="158" t="s">
        <v>178</v>
      </c>
      <c r="E21" s="1226"/>
      <c r="F21" s="1249">
        <v>400000</v>
      </c>
      <c r="G21" s="1250"/>
      <c r="H21" s="1250"/>
      <c r="I21" s="1250"/>
      <c r="J21" s="1250"/>
      <c r="K21" s="1250"/>
      <c r="L21" s="1250">
        <v>400000</v>
      </c>
      <c r="M21" s="1259">
        <v>400000</v>
      </c>
      <c r="N21" s="1249"/>
      <c r="O21" s="1250"/>
      <c r="P21" s="1250"/>
      <c r="Q21" s="1250"/>
      <c r="R21" s="1243"/>
      <c r="S21" s="1243"/>
      <c r="T21" s="1250">
        <f t="shared" si="2"/>
        <v>0</v>
      </c>
      <c r="U21" s="1259">
        <f t="shared" si="2"/>
        <v>0</v>
      </c>
      <c r="V21" s="1249">
        <v>400000</v>
      </c>
      <c r="W21" s="1250"/>
      <c r="X21" s="1250"/>
      <c r="Y21" s="1250"/>
      <c r="Z21" s="1243"/>
      <c r="AA21" s="1243"/>
      <c r="AB21" s="1243">
        <v>1400</v>
      </c>
      <c r="AC21" s="1293">
        <v>400000</v>
      </c>
      <c r="AD21" s="1294">
        <f>'9.sz.m.átadott pe (2)'!AC32</f>
        <v>400000</v>
      </c>
    </row>
    <row r="22" spans="1:30" s="140" customFormat="1" ht="22.5" customHeight="1">
      <c r="A22" s="160"/>
      <c r="B22" s="161"/>
      <c r="C22" s="161" t="s">
        <v>62</v>
      </c>
      <c r="D22" s="158" t="s">
        <v>179</v>
      </c>
      <c r="E22" s="1226"/>
      <c r="F22" s="1249"/>
      <c r="G22" s="1250"/>
      <c r="H22" s="1250"/>
      <c r="I22" s="1250"/>
      <c r="J22" s="1250"/>
      <c r="K22" s="1250"/>
      <c r="L22" s="1250"/>
      <c r="M22" s="1259"/>
      <c r="N22" s="1249"/>
      <c r="O22" s="1250"/>
      <c r="P22" s="1250"/>
      <c r="Q22" s="1250"/>
      <c r="R22" s="1250"/>
      <c r="S22" s="1250"/>
      <c r="T22" s="1250">
        <f t="shared" si="2"/>
        <v>0</v>
      </c>
      <c r="U22" s="1259">
        <f t="shared" si="2"/>
        <v>0</v>
      </c>
      <c r="V22" s="1249"/>
      <c r="W22" s="1250">
        <v>0</v>
      </c>
      <c r="X22" s="1250">
        <v>0</v>
      </c>
      <c r="Y22" s="1250">
        <v>0</v>
      </c>
      <c r="Z22" s="1250">
        <v>0</v>
      </c>
      <c r="AA22" s="1250">
        <v>0</v>
      </c>
      <c r="AB22" s="1250">
        <v>0</v>
      </c>
      <c r="AC22" s="1293"/>
      <c r="AD22" s="1294"/>
    </row>
    <row r="23" spans="1:30" s="140" customFormat="1" ht="22.5" customHeight="1">
      <c r="A23" s="157"/>
      <c r="B23" s="158"/>
      <c r="C23" s="161" t="s">
        <v>64</v>
      </c>
      <c r="D23" s="158" t="s">
        <v>167</v>
      </c>
      <c r="E23" s="1226"/>
      <c r="F23" s="1245"/>
      <c r="G23" s="1246"/>
      <c r="H23" s="1246"/>
      <c r="I23" s="1246"/>
      <c r="J23" s="1246"/>
      <c r="K23" s="1246"/>
      <c r="L23" s="1246"/>
      <c r="M23" s="1252"/>
      <c r="N23" s="1245"/>
      <c r="O23" s="1246"/>
      <c r="P23" s="1246"/>
      <c r="Q23" s="1246"/>
      <c r="R23" s="1246"/>
      <c r="S23" s="1246"/>
      <c r="T23" s="1250">
        <f t="shared" si="2"/>
        <v>0</v>
      </c>
      <c r="U23" s="1259">
        <f t="shared" si="2"/>
        <v>0</v>
      </c>
      <c r="V23" s="1245"/>
      <c r="W23" s="1246">
        <v>0</v>
      </c>
      <c r="X23" s="1246">
        <v>0</v>
      </c>
      <c r="Y23" s="1246">
        <v>0</v>
      </c>
      <c r="Z23" s="1246">
        <v>0</v>
      </c>
      <c r="AA23" s="1246">
        <v>0</v>
      </c>
      <c r="AB23" s="1246">
        <v>0</v>
      </c>
      <c r="AC23" s="1293"/>
      <c r="AD23" s="1294"/>
    </row>
    <row r="24" spans="1:30" s="140" customFormat="1" ht="22.5" customHeight="1" thickBot="1">
      <c r="A24" s="162"/>
      <c r="B24" s="163"/>
      <c r="C24" s="164" t="s">
        <v>180</v>
      </c>
      <c r="D24" s="163" t="s">
        <v>181</v>
      </c>
      <c r="E24" s="162"/>
      <c r="F24" s="1260"/>
      <c r="G24" s="1261"/>
      <c r="H24" s="1261"/>
      <c r="I24" s="1261"/>
      <c r="J24" s="1261"/>
      <c r="K24" s="1261"/>
      <c r="L24" s="1261"/>
      <c r="M24" s="1262"/>
      <c r="N24" s="1260"/>
      <c r="O24" s="1261"/>
      <c r="P24" s="1261"/>
      <c r="Q24" s="1261"/>
      <c r="R24" s="1261"/>
      <c r="S24" s="1261"/>
      <c r="T24" s="1283">
        <f t="shared" si="2"/>
        <v>0</v>
      </c>
      <c r="U24" s="1284">
        <f t="shared" si="2"/>
        <v>0</v>
      </c>
      <c r="V24" s="1260"/>
      <c r="W24" s="1261">
        <v>0</v>
      </c>
      <c r="X24" s="1261">
        <v>0</v>
      </c>
      <c r="Y24" s="1261">
        <v>0</v>
      </c>
      <c r="Z24" s="1261">
        <v>0</v>
      </c>
      <c r="AA24" s="1261">
        <v>0</v>
      </c>
      <c r="AB24" s="1261">
        <v>0</v>
      </c>
      <c r="AC24" s="1297"/>
      <c r="AD24" s="1298"/>
    </row>
    <row r="25" spans="1:30" s="140" customFormat="1" ht="22.5" customHeight="1" thickBot="1">
      <c r="A25" s="67" t="s">
        <v>75</v>
      </c>
      <c r="B25" s="1464" t="s">
        <v>182</v>
      </c>
      <c r="C25" s="1464"/>
      <c r="D25" s="1464"/>
      <c r="E25" s="67" t="s">
        <v>183</v>
      </c>
      <c r="F25" s="1256">
        <f>F26+F27+F28</f>
        <v>10234211</v>
      </c>
      <c r="G25" s="1257">
        <f aca="true" t="shared" si="6" ref="G25:AB25">G26+G27+G28</f>
        <v>0</v>
      </c>
      <c r="H25" s="1257">
        <f t="shared" si="6"/>
        <v>0</v>
      </c>
      <c r="I25" s="1257">
        <f t="shared" si="6"/>
        <v>0</v>
      </c>
      <c r="J25" s="1257">
        <f t="shared" si="6"/>
        <v>0</v>
      </c>
      <c r="K25" s="1257">
        <f t="shared" si="6"/>
        <v>0</v>
      </c>
      <c r="L25" s="1257">
        <f>L26+L28</f>
        <v>10111523</v>
      </c>
      <c r="M25" s="1258">
        <f>M26+M28</f>
        <v>11129800</v>
      </c>
      <c r="N25" s="1256">
        <f t="shared" si="6"/>
        <v>10234211</v>
      </c>
      <c r="O25" s="1257">
        <f t="shared" si="6"/>
        <v>0</v>
      </c>
      <c r="P25" s="1257">
        <f t="shared" si="6"/>
        <v>0</v>
      </c>
      <c r="Q25" s="1257">
        <f t="shared" si="6"/>
        <v>0</v>
      </c>
      <c r="R25" s="1257">
        <f t="shared" si="6"/>
        <v>0</v>
      </c>
      <c r="S25" s="1257">
        <f t="shared" si="6"/>
        <v>0</v>
      </c>
      <c r="T25" s="1240">
        <f t="shared" si="2"/>
        <v>10111523</v>
      </c>
      <c r="U25" s="1241">
        <f t="shared" si="2"/>
        <v>11129800</v>
      </c>
      <c r="V25" s="1256">
        <f t="shared" si="6"/>
        <v>0</v>
      </c>
      <c r="W25" s="1257">
        <f t="shared" si="6"/>
        <v>0</v>
      </c>
      <c r="X25" s="1257">
        <f t="shared" si="6"/>
        <v>0</v>
      </c>
      <c r="Y25" s="1257">
        <f t="shared" si="6"/>
        <v>0</v>
      </c>
      <c r="Z25" s="1257">
        <f t="shared" si="6"/>
        <v>0</v>
      </c>
      <c r="AA25" s="1257">
        <f t="shared" si="6"/>
        <v>0</v>
      </c>
      <c r="AB25" s="1257">
        <f t="shared" si="6"/>
        <v>0</v>
      </c>
      <c r="AC25" s="1301"/>
      <c r="AD25" s="1302"/>
    </row>
    <row r="26" spans="1:30" s="140" customFormat="1" ht="22.5" customHeight="1">
      <c r="A26" s="135"/>
      <c r="B26" s="136" t="s">
        <v>78</v>
      </c>
      <c r="C26" s="1465" t="s">
        <v>184</v>
      </c>
      <c r="D26" s="1465"/>
      <c r="E26" s="135"/>
      <c r="F26" s="1242">
        <v>2804211</v>
      </c>
      <c r="G26" s="1243"/>
      <c r="H26" s="1243"/>
      <c r="I26" s="1243"/>
      <c r="J26" s="1243"/>
      <c r="K26" s="1243"/>
      <c r="L26" s="1243">
        <f>3209546-501412+9990-400000</f>
        <v>2318124</v>
      </c>
      <c r="M26" s="1244">
        <f>3209546-501412+9990-400000+1018277</f>
        <v>3336401</v>
      </c>
      <c r="N26" s="1242">
        <v>2804211</v>
      </c>
      <c r="O26" s="1243"/>
      <c r="P26" s="1243"/>
      <c r="Q26" s="1243"/>
      <c r="R26" s="1243"/>
      <c r="S26" s="1243"/>
      <c r="T26" s="1281">
        <f t="shared" si="2"/>
        <v>2318124</v>
      </c>
      <c r="U26" s="1282">
        <f t="shared" si="2"/>
        <v>3336401</v>
      </c>
      <c r="V26" s="1242"/>
      <c r="W26" s="1243">
        <v>0</v>
      </c>
      <c r="X26" s="1243">
        <v>0</v>
      </c>
      <c r="Y26" s="1243">
        <v>0</v>
      </c>
      <c r="Z26" s="1243">
        <v>0</v>
      </c>
      <c r="AA26" s="1243">
        <v>0</v>
      </c>
      <c r="AB26" s="1243">
        <v>0</v>
      </c>
      <c r="AC26" s="1291"/>
      <c r="AD26" s="1292"/>
    </row>
    <row r="27" spans="1:30" s="134" customFormat="1" ht="22.5" customHeight="1">
      <c r="A27" s="166"/>
      <c r="B27" s="142" t="s">
        <v>81</v>
      </c>
      <c r="C27" s="1468" t="s">
        <v>185</v>
      </c>
      <c r="D27" s="1468"/>
      <c r="E27" s="1227"/>
      <c r="F27" s="1242"/>
      <c r="G27" s="1250"/>
      <c r="H27" s="1250"/>
      <c r="I27" s="1250"/>
      <c r="J27" s="1250"/>
      <c r="K27" s="1250"/>
      <c r="L27" s="1243"/>
      <c r="M27" s="1244"/>
      <c r="N27" s="1242"/>
      <c r="O27" s="1250"/>
      <c r="P27" s="1250"/>
      <c r="Q27" s="1250"/>
      <c r="R27" s="1250"/>
      <c r="S27" s="1250"/>
      <c r="T27" s="1250">
        <f t="shared" si="2"/>
        <v>0</v>
      </c>
      <c r="U27" s="1259">
        <f t="shared" si="2"/>
        <v>0</v>
      </c>
      <c r="V27" s="1249"/>
      <c r="W27" s="1250">
        <v>0</v>
      </c>
      <c r="X27" s="1250">
        <v>0</v>
      </c>
      <c r="Y27" s="1250">
        <v>0</v>
      </c>
      <c r="Z27" s="1250">
        <v>0</v>
      </c>
      <c r="AA27" s="1250">
        <v>0</v>
      </c>
      <c r="AB27" s="1250">
        <v>0</v>
      </c>
      <c r="AC27" s="1303"/>
      <c r="AD27" s="1304"/>
    </row>
    <row r="28" spans="1:30" s="134" customFormat="1" ht="22.5" customHeight="1" thickBot="1">
      <c r="A28" s="168"/>
      <c r="B28" s="152" t="s">
        <v>83</v>
      </c>
      <c r="C28" s="169" t="s">
        <v>186</v>
      </c>
      <c r="D28" s="169"/>
      <c r="E28" s="1228"/>
      <c r="F28" s="1242">
        <v>7430000</v>
      </c>
      <c r="G28" s="1263"/>
      <c r="H28" s="1263"/>
      <c r="I28" s="1263"/>
      <c r="J28" s="1263"/>
      <c r="K28" s="1263"/>
      <c r="L28" s="1264">
        <f>7403389-9990+400000</f>
        <v>7793399</v>
      </c>
      <c r="M28" s="1265">
        <f>7403389-9990+400000</f>
        <v>7793399</v>
      </c>
      <c r="N28" s="1242">
        <v>7430000</v>
      </c>
      <c r="O28" s="1263"/>
      <c r="P28" s="1263"/>
      <c r="Q28" s="1263"/>
      <c r="R28" s="1263"/>
      <c r="S28" s="1263"/>
      <c r="T28" s="1283">
        <f t="shared" si="2"/>
        <v>7793399</v>
      </c>
      <c r="U28" s="1284">
        <f t="shared" si="2"/>
        <v>7793399</v>
      </c>
      <c r="V28" s="1305"/>
      <c r="W28" s="1263">
        <v>0</v>
      </c>
      <c r="X28" s="1263">
        <v>0</v>
      </c>
      <c r="Y28" s="1263">
        <v>0</v>
      </c>
      <c r="Z28" s="1263">
        <v>0</v>
      </c>
      <c r="AA28" s="1263">
        <v>0</v>
      </c>
      <c r="AB28" s="1263">
        <v>0</v>
      </c>
      <c r="AC28" s="1303"/>
      <c r="AD28" s="1304"/>
    </row>
    <row r="29" spans="1:30" s="134" customFormat="1" ht="22.5" customHeight="1" hidden="1">
      <c r="A29" s="171" t="s">
        <v>94</v>
      </c>
      <c r="B29" s="172" t="s">
        <v>187</v>
      </c>
      <c r="C29" s="172"/>
      <c r="D29" s="172"/>
      <c r="E29" s="171"/>
      <c r="F29" s="1266"/>
      <c r="G29" s="1267"/>
      <c r="H29" s="1267"/>
      <c r="I29" s="1267"/>
      <c r="J29" s="1267"/>
      <c r="K29" s="1267"/>
      <c r="L29" s="1267"/>
      <c r="M29" s="1268"/>
      <c r="N29" s="1266"/>
      <c r="O29" s="1267"/>
      <c r="P29" s="1267"/>
      <c r="Q29" s="1267"/>
      <c r="R29" s="1267"/>
      <c r="S29" s="1267"/>
      <c r="T29" s="1240">
        <f t="shared" si="2"/>
        <v>0</v>
      </c>
      <c r="U29" s="1241">
        <f t="shared" si="2"/>
        <v>0</v>
      </c>
      <c r="V29" s="1266"/>
      <c r="W29" s="1267">
        <v>0</v>
      </c>
      <c r="X29" s="1267">
        <v>0</v>
      </c>
      <c r="Y29" s="1267">
        <v>0</v>
      </c>
      <c r="Z29" s="1267">
        <v>0</v>
      </c>
      <c r="AA29" s="1267">
        <v>0</v>
      </c>
      <c r="AB29" s="1267">
        <v>0</v>
      </c>
      <c r="AC29" s="1303"/>
      <c r="AD29" s="1304"/>
    </row>
    <row r="30" spans="1:30" s="134" customFormat="1" ht="22.5" customHeight="1" hidden="1">
      <c r="A30" s="67"/>
      <c r="B30" s="1464"/>
      <c r="C30" s="1464"/>
      <c r="D30" s="1464"/>
      <c r="E30" s="1077"/>
      <c r="F30" s="1269"/>
      <c r="G30" s="1270"/>
      <c r="H30" s="1270"/>
      <c r="I30" s="1270"/>
      <c r="J30" s="1270"/>
      <c r="K30" s="1270"/>
      <c r="L30" s="1270"/>
      <c r="M30" s="1271"/>
      <c r="N30" s="1269"/>
      <c r="O30" s="1270"/>
      <c r="P30" s="1270"/>
      <c r="Q30" s="1270"/>
      <c r="R30" s="1270"/>
      <c r="S30" s="1270"/>
      <c r="T30" s="1240">
        <f t="shared" si="2"/>
        <v>0</v>
      </c>
      <c r="U30" s="1241">
        <f t="shared" si="2"/>
        <v>0</v>
      </c>
      <c r="V30" s="1269"/>
      <c r="W30" s="1240">
        <v>0</v>
      </c>
      <c r="X30" s="1240">
        <v>0</v>
      </c>
      <c r="Y30" s="1240">
        <v>0</v>
      </c>
      <c r="Z30" s="1240">
        <v>0</v>
      </c>
      <c r="AA30" s="1240">
        <v>0</v>
      </c>
      <c r="AB30" s="1240">
        <v>0</v>
      </c>
      <c r="AC30" s="1306"/>
      <c r="AD30" s="1307"/>
    </row>
    <row r="31" spans="1:30" s="134" customFormat="1" ht="22.5" customHeight="1" thickBot="1">
      <c r="A31" s="67" t="s">
        <v>94</v>
      </c>
      <c r="B31" s="1469" t="s">
        <v>188</v>
      </c>
      <c r="C31" s="1469"/>
      <c r="D31" s="1469"/>
      <c r="E31" s="176"/>
      <c r="F31" s="1239">
        <f>F6+F17+F25</f>
        <v>61441860</v>
      </c>
      <c r="G31" s="1240">
        <f aca="true" t="shared" si="7" ref="G31:V31">G6+G17+G25</f>
        <v>0</v>
      </c>
      <c r="H31" s="1240">
        <f t="shared" si="7"/>
        <v>0</v>
      </c>
      <c r="I31" s="1240">
        <f t="shared" si="7"/>
        <v>0</v>
      </c>
      <c r="J31" s="1240">
        <f t="shared" si="7"/>
        <v>0</v>
      </c>
      <c r="K31" s="1240">
        <f t="shared" si="7"/>
        <v>0</v>
      </c>
      <c r="L31" s="1240">
        <f>L6+L17+L25</f>
        <v>62592666</v>
      </c>
      <c r="M31" s="1241">
        <f>M6+M17+M25</f>
        <v>65446465</v>
      </c>
      <c r="N31" s="1239">
        <f t="shared" si="7"/>
        <v>54585571</v>
      </c>
      <c r="O31" s="1240">
        <f t="shared" si="7"/>
        <v>0</v>
      </c>
      <c r="P31" s="1240">
        <f t="shared" si="7"/>
        <v>0</v>
      </c>
      <c r="Q31" s="1240">
        <f t="shared" si="7"/>
        <v>0</v>
      </c>
      <c r="R31" s="1240">
        <f t="shared" si="7"/>
        <v>0</v>
      </c>
      <c r="S31" s="1240">
        <f t="shared" si="7"/>
        <v>0</v>
      </c>
      <c r="T31" s="1240">
        <f t="shared" si="2"/>
        <v>55584232</v>
      </c>
      <c r="U31" s="1241">
        <f t="shared" si="2"/>
        <v>58206031</v>
      </c>
      <c r="V31" s="1239">
        <f t="shared" si="7"/>
        <v>6856289</v>
      </c>
      <c r="W31" s="1240">
        <f aca="true" t="shared" si="8" ref="W31:AB31">W6+W17+W25+W29+W30</f>
        <v>0</v>
      </c>
      <c r="X31" s="1240">
        <f t="shared" si="8"/>
        <v>0</v>
      </c>
      <c r="Y31" s="1240">
        <f t="shared" si="8"/>
        <v>0</v>
      </c>
      <c r="Z31" s="1240">
        <f t="shared" si="8"/>
        <v>0</v>
      </c>
      <c r="AA31" s="1240">
        <f t="shared" si="8"/>
        <v>0</v>
      </c>
      <c r="AB31" s="1240">
        <f t="shared" si="8"/>
        <v>19967</v>
      </c>
      <c r="AC31" s="1299">
        <f>AC6+AC17</f>
        <v>7008434</v>
      </c>
      <c r="AD31" s="1300">
        <f>AD6+AD17</f>
        <v>7240434</v>
      </c>
    </row>
    <row r="32" spans="1:30" s="134" customFormat="1" ht="22.5" customHeight="1" thickBot="1">
      <c r="A32" s="176">
        <v>5</v>
      </c>
      <c r="B32" s="1456" t="s">
        <v>253</v>
      </c>
      <c r="C32" s="1456"/>
      <c r="D32" s="1456"/>
      <c r="E32" s="1229" t="s">
        <v>190</v>
      </c>
      <c r="F32" s="1272">
        <f>F33+F34+F35</f>
        <v>17793625</v>
      </c>
      <c r="G32" s="1273">
        <f aca="true" t="shared" si="9" ref="G32:V32">G33+G34+G35</f>
        <v>0</v>
      </c>
      <c r="H32" s="1273">
        <f t="shared" si="9"/>
        <v>0</v>
      </c>
      <c r="I32" s="1273">
        <f t="shared" si="9"/>
        <v>0</v>
      </c>
      <c r="J32" s="1273">
        <f t="shared" si="9"/>
        <v>0</v>
      </c>
      <c r="K32" s="1273">
        <f t="shared" si="9"/>
        <v>0</v>
      </c>
      <c r="L32" s="1273">
        <f>L33+L34+L35</f>
        <v>18097438</v>
      </c>
      <c r="M32" s="1274">
        <f>M33+M34+M35</f>
        <v>18296626</v>
      </c>
      <c r="N32" s="1272">
        <f t="shared" si="9"/>
        <v>17793625</v>
      </c>
      <c r="O32" s="1273">
        <f t="shared" si="9"/>
        <v>0</v>
      </c>
      <c r="P32" s="1273">
        <f t="shared" si="9"/>
        <v>0</v>
      </c>
      <c r="Q32" s="1273">
        <f t="shared" si="9"/>
        <v>0</v>
      </c>
      <c r="R32" s="1273">
        <f t="shared" si="9"/>
        <v>0</v>
      </c>
      <c r="S32" s="1273">
        <f t="shared" si="9"/>
        <v>0</v>
      </c>
      <c r="T32" s="1240">
        <f t="shared" si="2"/>
        <v>18097438</v>
      </c>
      <c r="U32" s="1241">
        <f t="shared" si="2"/>
        <v>18296626</v>
      </c>
      <c r="V32" s="1272">
        <f t="shared" si="9"/>
        <v>0</v>
      </c>
      <c r="W32" s="1273"/>
      <c r="X32" s="1273"/>
      <c r="Y32" s="1273"/>
      <c r="Z32" s="1273"/>
      <c r="AA32" s="1273"/>
      <c r="AB32" s="1273"/>
      <c r="AC32" s="1299"/>
      <c r="AD32" s="1300"/>
    </row>
    <row r="33" spans="1:30" s="140" customFormat="1" ht="22.5" customHeight="1">
      <c r="A33" s="1318"/>
      <c r="B33" s="1319" t="s">
        <v>109</v>
      </c>
      <c r="C33" s="1491" t="s">
        <v>191</v>
      </c>
      <c r="D33" s="1491"/>
      <c r="E33" s="1320" t="s">
        <v>254</v>
      </c>
      <c r="F33" s="1321"/>
      <c r="G33" s="1243"/>
      <c r="H33" s="1243"/>
      <c r="I33" s="1243"/>
      <c r="J33" s="1243"/>
      <c r="K33" s="1243"/>
      <c r="L33" s="1311"/>
      <c r="M33" s="1244"/>
      <c r="N33" s="1242"/>
      <c r="O33" s="1243"/>
      <c r="P33" s="1243"/>
      <c r="Q33" s="1243"/>
      <c r="R33" s="1243"/>
      <c r="S33" s="1243"/>
      <c r="T33" s="1281">
        <f t="shared" si="2"/>
        <v>0</v>
      </c>
      <c r="U33" s="1282">
        <f t="shared" si="2"/>
        <v>0</v>
      </c>
      <c r="V33" s="1242"/>
      <c r="W33" s="1243"/>
      <c r="X33" s="1243"/>
      <c r="Y33" s="1243"/>
      <c r="Z33" s="1243"/>
      <c r="AA33" s="1243"/>
      <c r="AB33" s="1243"/>
      <c r="AC33" s="1291"/>
      <c r="AD33" s="1292"/>
    </row>
    <row r="34" spans="1:30" s="140" customFormat="1" ht="22.5" customHeight="1">
      <c r="A34" s="141"/>
      <c r="B34" s="142" t="s">
        <v>112</v>
      </c>
      <c r="C34" s="1466" t="s">
        <v>482</v>
      </c>
      <c r="D34" s="1466"/>
      <c r="E34" s="141" t="s">
        <v>485</v>
      </c>
      <c r="F34" s="1245">
        <v>619055</v>
      </c>
      <c r="G34" s="1246"/>
      <c r="H34" s="1246"/>
      <c r="I34" s="1246"/>
      <c r="J34" s="1246"/>
      <c r="K34" s="1246"/>
      <c r="L34" s="1312">
        <v>619055</v>
      </c>
      <c r="M34" s="1252">
        <v>619055</v>
      </c>
      <c r="N34" s="1245">
        <v>619055</v>
      </c>
      <c r="O34" s="1246"/>
      <c r="P34" s="1246"/>
      <c r="Q34" s="1246"/>
      <c r="R34" s="1246"/>
      <c r="S34" s="1246"/>
      <c r="T34" s="1250">
        <f t="shared" si="2"/>
        <v>619055</v>
      </c>
      <c r="U34" s="1259">
        <f t="shared" si="2"/>
        <v>619055</v>
      </c>
      <c r="V34" s="1245"/>
      <c r="W34" s="1254"/>
      <c r="X34" s="1254"/>
      <c r="Y34" s="1254"/>
      <c r="Z34" s="1254"/>
      <c r="AA34" s="1254"/>
      <c r="AB34" s="1254"/>
      <c r="AC34" s="1293"/>
      <c r="AD34" s="1294"/>
    </row>
    <row r="35" spans="1:30" s="140" customFormat="1" ht="22.5" customHeight="1" thickBot="1">
      <c r="A35" s="1322"/>
      <c r="B35" s="1323" t="s">
        <v>278</v>
      </c>
      <c r="C35" s="1324" t="s">
        <v>255</v>
      </c>
      <c r="D35" s="1324"/>
      <c r="E35" s="1322" t="s">
        <v>256</v>
      </c>
      <c r="F35" s="1325">
        <v>17174570</v>
      </c>
      <c r="G35" s="1276"/>
      <c r="H35" s="1276"/>
      <c r="I35" s="1276"/>
      <c r="J35" s="1276"/>
      <c r="K35" s="1276"/>
      <c r="L35" s="1313">
        <f>17263470+9387+9990+195536</f>
        <v>17478383</v>
      </c>
      <c r="M35" s="1277">
        <f>17263470+9387+9990+195536+53340+145848</f>
        <v>17677571</v>
      </c>
      <c r="N35" s="1275">
        <v>17174570</v>
      </c>
      <c r="O35" s="1276"/>
      <c r="P35" s="1276"/>
      <c r="Q35" s="1276"/>
      <c r="R35" s="1276"/>
      <c r="S35" s="1276"/>
      <c r="T35" s="1283">
        <f t="shared" si="2"/>
        <v>17478383</v>
      </c>
      <c r="U35" s="1284">
        <f t="shared" si="2"/>
        <v>17677571</v>
      </c>
      <c r="V35" s="1308"/>
      <c r="W35" s="1261"/>
      <c r="X35" s="1261"/>
      <c r="Y35" s="1261"/>
      <c r="Z35" s="1261"/>
      <c r="AA35" s="1261"/>
      <c r="AB35" s="1261"/>
      <c r="AC35" s="1297"/>
      <c r="AD35" s="1298"/>
    </row>
    <row r="36" spans="1:30" s="140" customFormat="1" ht="22.5" customHeight="1" thickBot="1">
      <c r="A36" s="67" t="s">
        <v>115</v>
      </c>
      <c r="B36" s="1469" t="s">
        <v>257</v>
      </c>
      <c r="C36" s="1469"/>
      <c r="D36" s="1469"/>
      <c r="E36" s="1077"/>
      <c r="F36" s="1278">
        <f>F31+F32</f>
        <v>79235485</v>
      </c>
      <c r="G36" s="1279">
        <f aca="true" t="shared" si="10" ref="G36:V36">G31+G32</f>
        <v>0</v>
      </c>
      <c r="H36" s="1279">
        <f t="shared" si="10"/>
        <v>0</v>
      </c>
      <c r="I36" s="1279">
        <f t="shared" si="10"/>
        <v>0</v>
      </c>
      <c r="J36" s="1279">
        <f t="shared" si="10"/>
        <v>0</v>
      </c>
      <c r="K36" s="1279">
        <f t="shared" si="10"/>
        <v>0</v>
      </c>
      <c r="L36" s="1279">
        <f>L6+L17+L25+L32</f>
        <v>80690104</v>
      </c>
      <c r="M36" s="1280">
        <f>M6+M17+M25+M32</f>
        <v>83743091</v>
      </c>
      <c r="N36" s="1278">
        <f t="shared" si="10"/>
        <v>72379196</v>
      </c>
      <c r="O36" s="1279">
        <f t="shared" si="10"/>
        <v>0</v>
      </c>
      <c r="P36" s="1279">
        <f t="shared" si="10"/>
        <v>0</v>
      </c>
      <c r="Q36" s="1279">
        <f t="shared" si="10"/>
        <v>0</v>
      </c>
      <c r="R36" s="1279">
        <f t="shared" si="10"/>
        <v>0</v>
      </c>
      <c r="S36" s="1279">
        <f t="shared" si="10"/>
        <v>0</v>
      </c>
      <c r="T36" s="1285">
        <f t="shared" si="2"/>
        <v>73681670</v>
      </c>
      <c r="U36" s="1286">
        <f t="shared" si="2"/>
        <v>76502657</v>
      </c>
      <c r="V36" s="1278">
        <f t="shared" si="10"/>
        <v>6856289</v>
      </c>
      <c r="W36" s="1279">
        <f aca="true" t="shared" si="11" ref="W36:AB36">W31+W32</f>
        <v>0</v>
      </c>
      <c r="X36" s="1279">
        <f t="shared" si="11"/>
        <v>0</v>
      </c>
      <c r="Y36" s="1279">
        <f t="shared" si="11"/>
        <v>0</v>
      </c>
      <c r="Z36" s="1279">
        <f t="shared" si="11"/>
        <v>0</v>
      </c>
      <c r="AA36" s="1279">
        <f t="shared" si="11"/>
        <v>0</v>
      </c>
      <c r="AB36" s="1279">
        <f t="shared" si="11"/>
        <v>19967</v>
      </c>
      <c r="AC36" s="1309">
        <f>AC31</f>
        <v>7008434</v>
      </c>
      <c r="AD36" s="1310">
        <f>AD31</f>
        <v>7240434</v>
      </c>
    </row>
    <row r="37" spans="1:27" s="140" customFormat="1" ht="19.5" customHeight="1" hidden="1">
      <c r="A37" s="1417" t="s">
        <v>192</v>
      </c>
      <c r="B37" s="1417"/>
      <c r="C37" s="1417"/>
      <c r="D37" s="1417"/>
      <c r="E37" s="107"/>
      <c r="F37" s="1230"/>
      <c r="G37" s="1231"/>
      <c r="H37" s="1231"/>
      <c r="I37" s="1231"/>
      <c r="J37" s="1231"/>
      <c r="K37" s="1232"/>
      <c r="L37" s="1233"/>
      <c r="M37" s="1233"/>
      <c r="N37" s="1230"/>
      <c r="O37" s="1231"/>
      <c r="P37" s="1231"/>
      <c r="Q37" s="1231"/>
      <c r="R37" s="1231"/>
      <c r="S37" s="1232"/>
      <c r="T37" s="269">
        <f t="shared" si="2"/>
        <v>0</v>
      </c>
      <c r="U37" s="269"/>
      <c r="V37" s="1230"/>
      <c r="W37" s="1231"/>
      <c r="X37" s="1231"/>
      <c r="Y37" s="1231"/>
      <c r="Z37" s="1231"/>
      <c r="AA37" s="1234"/>
    </row>
    <row r="38" spans="1:27" s="140" customFormat="1" ht="19.5" customHeight="1" hidden="1">
      <c r="A38" s="1424" t="s">
        <v>205</v>
      </c>
      <c r="B38" s="1424"/>
      <c r="C38" s="1424"/>
      <c r="D38" s="1424"/>
      <c r="E38" s="111"/>
      <c r="F38" s="112">
        <f>SUM(F36:F37)</f>
        <v>79235485</v>
      </c>
      <c r="G38" s="113">
        <f>SUM(G36:G37)</f>
        <v>0</v>
      </c>
      <c r="H38" s="113">
        <f>SUM(H36:H37)</f>
        <v>0</v>
      </c>
      <c r="I38" s="113">
        <f>SUM(I36:I37)</f>
        <v>0</v>
      </c>
      <c r="J38" s="113">
        <f>SUM(J36:J37)</f>
        <v>0</v>
      </c>
      <c r="K38" s="114"/>
      <c r="L38" s="729"/>
      <c r="M38" s="729"/>
      <c r="N38" s="112">
        <f>SUM(N36:N37)</f>
        <v>72379196</v>
      </c>
      <c r="O38" s="113">
        <f>SUM(O36:O37)</f>
        <v>0</v>
      </c>
      <c r="P38" s="113">
        <f>SUM(P36:P37)</f>
        <v>0</v>
      </c>
      <c r="Q38" s="113">
        <f>SUM(Q36:Q37)</f>
        <v>0</v>
      </c>
      <c r="R38" s="113">
        <f>SUM(R36:R37)</f>
        <v>0</v>
      </c>
      <c r="S38" s="114"/>
      <c r="T38" s="96">
        <f t="shared" si="2"/>
        <v>0</v>
      </c>
      <c r="U38" s="96"/>
      <c r="V38" s="112">
        <f>SUM(V36:V37)</f>
        <v>6856289</v>
      </c>
      <c r="W38" s="113">
        <f>SUM(W36:W37)</f>
        <v>0</v>
      </c>
      <c r="X38" s="113">
        <f>SUM(X36:X37)</f>
        <v>0</v>
      </c>
      <c r="Y38" s="113">
        <f>SUM(Y36:Y37)</f>
        <v>0</v>
      </c>
      <c r="Z38" s="113">
        <f>SUM(Z36:Z37)</f>
        <v>0</v>
      </c>
      <c r="AA38" s="115"/>
    </row>
    <row r="39" spans="1:27" s="140" customFormat="1" ht="19.5" customHeight="1">
      <c r="A39" s="270"/>
      <c r="B39" s="182"/>
      <c r="C39" s="270"/>
      <c r="D39" s="270"/>
      <c r="E39" s="270"/>
      <c r="F39" s="271"/>
      <c r="G39" s="271"/>
      <c r="H39" s="271"/>
      <c r="I39" s="271"/>
      <c r="J39" s="271"/>
      <c r="K39" s="271"/>
      <c r="L39" s="271"/>
      <c r="M39" s="271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3"/>
      <c r="Y39" s="273"/>
      <c r="Z39" s="273"/>
      <c r="AA39" s="273"/>
    </row>
    <row r="40" spans="1:23" s="140" customFormat="1" ht="19.5" customHeight="1">
      <c r="A40" s="187"/>
      <c r="B40" s="268"/>
      <c r="C40" s="268"/>
      <c r="D40" s="274"/>
      <c r="E40" s="274"/>
      <c r="F40" s="188"/>
      <c r="G40" s="188"/>
      <c r="H40" s="188"/>
      <c r="I40" s="188"/>
      <c r="J40" s="188"/>
      <c r="K40" s="188"/>
      <c r="L40" s="188"/>
      <c r="M40" s="188"/>
      <c r="N40" s="189"/>
      <c r="O40" s="189"/>
      <c r="P40" s="189"/>
      <c r="Q40" s="189"/>
      <c r="R40" s="189"/>
      <c r="S40" s="189"/>
      <c r="T40" s="189"/>
      <c r="U40" s="189"/>
      <c r="V40" s="189"/>
      <c r="W40" s="189"/>
    </row>
  </sheetData>
  <sheetProtection selectLockedCells="1" selectUnlockedCells="1"/>
  <mergeCells count="22">
    <mergeCell ref="F1:V1"/>
    <mergeCell ref="A2:V2"/>
    <mergeCell ref="A4:D4"/>
    <mergeCell ref="B6:D6"/>
    <mergeCell ref="F4:M4"/>
    <mergeCell ref="N4:U4"/>
    <mergeCell ref="V4:AD4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275" customWidth="1"/>
    <col min="2" max="2" width="8.28125" style="276" customWidth="1"/>
    <col min="3" max="3" width="41.7109375" style="276" customWidth="1"/>
    <col min="4" max="4" width="8.140625" style="276" customWidth="1"/>
    <col min="5" max="9" width="0" style="276" hidden="1" customWidth="1"/>
    <col min="10" max="10" width="11.28125" style="276" customWidth="1"/>
    <col min="11" max="15" width="0" style="276" hidden="1" customWidth="1"/>
    <col min="16" max="17" width="12.7109375" style="276" customWidth="1"/>
    <col min="18" max="18" width="13.00390625" style="276" customWidth="1"/>
    <col min="19" max="21" width="9.140625" style="276" hidden="1" customWidth="1"/>
    <col min="22" max="22" width="17.28125" style="276" customWidth="1"/>
    <col min="23" max="23" width="11.57421875" style="276" customWidth="1"/>
    <col min="24" max="16384" width="9.140625" style="276" customWidth="1"/>
  </cols>
  <sheetData>
    <row r="1" spans="1:18" s="281" customFormat="1" ht="21" customHeight="1">
      <c r="A1" s="277"/>
      <c r="B1" s="278"/>
      <c r="C1" s="279"/>
      <c r="D1" s="280"/>
      <c r="E1" s="280"/>
      <c r="F1" s="280"/>
      <c r="G1" s="280"/>
      <c r="H1" s="280"/>
      <c r="I1" s="280"/>
      <c r="J1" s="1504" t="s">
        <v>258</v>
      </c>
      <c r="K1" s="1504"/>
      <c r="L1" s="1504"/>
      <c r="M1" s="1504"/>
      <c r="N1" s="1504"/>
      <c r="O1" s="1504"/>
      <c r="P1" s="1504"/>
      <c r="Q1" s="1504"/>
      <c r="R1" s="1504"/>
    </row>
    <row r="2" spans="1:9" s="281" customFormat="1" ht="21" customHeight="1">
      <c r="A2" s="282"/>
      <c r="B2" s="278"/>
      <c r="C2" s="13"/>
      <c r="D2" s="283"/>
      <c r="E2" s="283"/>
      <c r="F2" s="283"/>
      <c r="G2" s="283"/>
      <c r="H2" s="283"/>
      <c r="I2" s="283"/>
    </row>
    <row r="3" spans="1:18" s="284" customFormat="1" ht="25.5" customHeight="1">
      <c r="A3" s="1505" t="s">
        <v>603</v>
      </c>
      <c r="B3" s="1505"/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5"/>
      <c r="P3" s="1505"/>
      <c r="Q3" s="1505"/>
      <c r="R3" s="1505"/>
    </row>
    <row r="4" spans="1:18" s="287" customFormat="1" ht="15.75" customHeight="1" thickBot="1">
      <c r="A4" s="285"/>
      <c r="B4" s="285"/>
      <c r="C4" s="286" t="s">
        <v>486</v>
      </c>
      <c r="R4" s="288" t="s">
        <v>487</v>
      </c>
    </row>
    <row r="5" spans="1:23" s="287" customFormat="1" ht="41.25" customHeight="1" thickBot="1">
      <c r="A5" s="285"/>
      <c r="B5" s="285"/>
      <c r="C5" s="285"/>
      <c r="D5" s="1506" t="s">
        <v>4</v>
      </c>
      <c r="E5" s="1506"/>
      <c r="F5" s="1506"/>
      <c r="G5" s="1506"/>
      <c r="H5" s="1506"/>
      <c r="I5" s="1506"/>
      <c r="J5" s="1508" t="s">
        <v>5</v>
      </c>
      <c r="K5" s="1509"/>
      <c r="L5" s="1509"/>
      <c r="M5" s="1509"/>
      <c r="N5" s="1509"/>
      <c r="O5" s="1509"/>
      <c r="P5" s="1509"/>
      <c r="Q5" s="1510"/>
      <c r="R5" s="1500" t="s">
        <v>259</v>
      </c>
      <c r="S5" s="1501"/>
      <c r="T5" s="1501"/>
      <c r="U5" s="1501"/>
      <c r="V5" s="1501"/>
      <c r="W5" s="1502"/>
    </row>
    <row r="6" spans="1:23" ht="19.5" customHeight="1" thickBot="1">
      <c r="A6" s="1507" t="s">
        <v>260</v>
      </c>
      <c r="B6" s="1507"/>
      <c r="C6" s="289" t="s">
        <v>261</v>
      </c>
      <c r="D6" s="290"/>
      <c r="E6" s="291" t="s">
        <v>143</v>
      </c>
      <c r="F6" s="291" t="s">
        <v>144</v>
      </c>
      <c r="G6" s="291" t="s">
        <v>145</v>
      </c>
      <c r="H6" s="291" t="s">
        <v>262</v>
      </c>
      <c r="I6" s="291" t="s">
        <v>263</v>
      </c>
      <c r="J6" s="290" t="s">
        <v>9</v>
      </c>
      <c r="K6" s="291" t="s">
        <v>143</v>
      </c>
      <c r="L6" s="291" t="s">
        <v>144</v>
      </c>
      <c r="M6" s="291" t="s">
        <v>145</v>
      </c>
      <c r="N6" s="291" t="s">
        <v>262</v>
      </c>
      <c r="O6" s="291" t="s">
        <v>263</v>
      </c>
      <c r="P6" s="291" t="s">
        <v>10</v>
      </c>
      <c r="Q6" s="1083" t="s">
        <v>11</v>
      </c>
      <c r="R6" s="290" t="s">
        <v>9</v>
      </c>
      <c r="S6" s="291"/>
      <c r="T6" s="291"/>
      <c r="U6" s="291" t="s">
        <v>145</v>
      </c>
      <c r="V6" s="291" t="s">
        <v>505</v>
      </c>
      <c r="W6" s="1083" t="s">
        <v>11</v>
      </c>
    </row>
    <row r="7" spans="1:23" s="296" customFormat="1" ht="19.5" customHeight="1" thickBot="1">
      <c r="A7" s="292">
        <v>1</v>
      </c>
      <c r="B7" s="293">
        <v>2</v>
      </c>
      <c r="C7" s="294">
        <v>3</v>
      </c>
      <c r="D7" s="292">
        <v>4</v>
      </c>
      <c r="E7" s="293"/>
      <c r="F7" s="293"/>
      <c r="G7" s="293"/>
      <c r="H7" s="293"/>
      <c r="I7" s="293"/>
      <c r="J7" s="292">
        <v>5</v>
      </c>
      <c r="K7" s="293"/>
      <c r="L7" s="293"/>
      <c r="M7" s="293"/>
      <c r="N7" s="293"/>
      <c r="O7" s="293"/>
      <c r="P7" s="293">
        <v>6</v>
      </c>
      <c r="Q7" s="295">
        <v>7</v>
      </c>
      <c r="R7" s="292">
        <v>8</v>
      </c>
      <c r="S7" s="293">
        <v>4</v>
      </c>
      <c r="T7" s="293">
        <v>4</v>
      </c>
      <c r="U7" s="293">
        <v>5</v>
      </c>
      <c r="V7" s="293">
        <v>9</v>
      </c>
      <c r="W7" s="295">
        <v>10</v>
      </c>
    </row>
    <row r="8" spans="1:23" s="296" customFormat="1" ht="19.5" customHeight="1" thickBot="1">
      <c r="A8" s="297"/>
      <c r="B8" s="298"/>
      <c r="C8" s="298" t="s">
        <v>264</v>
      </c>
      <c r="D8" s="299"/>
      <c r="E8" s="300"/>
      <c r="F8" s="300"/>
      <c r="G8" s="300"/>
      <c r="H8" s="300"/>
      <c r="I8" s="300"/>
      <c r="J8" s="301"/>
      <c r="K8" s="302"/>
      <c r="L8" s="302"/>
      <c r="M8" s="302"/>
      <c r="N8" s="302"/>
      <c r="O8" s="302"/>
      <c r="P8" s="302"/>
      <c r="Q8" s="303"/>
      <c r="R8" s="301"/>
      <c r="S8" s="302"/>
      <c r="T8" s="302"/>
      <c r="U8" s="302"/>
      <c r="V8" s="302"/>
      <c r="W8" s="303"/>
    </row>
    <row r="9" spans="1:23" s="310" customFormat="1" ht="19.5" customHeight="1" thickBot="1">
      <c r="A9" s="292" t="s">
        <v>15</v>
      </c>
      <c r="B9" s="304"/>
      <c r="C9" s="305" t="s">
        <v>265</v>
      </c>
      <c r="D9" s="306" t="s">
        <v>50</v>
      </c>
      <c r="E9" s="307"/>
      <c r="F9" s="307"/>
      <c r="G9" s="307"/>
      <c r="H9" s="307"/>
      <c r="I9" s="307"/>
      <c r="J9" s="306">
        <v>4037617</v>
      </c>
      <c r="K9" s="307"/>
      <c r="L9" s="307"/>
      <c r="M9" s="307"/>
      <c r="N9" s="307"/>
      <c r="O9" s="307"/>
      <c r="P9" s="307">
        <f>SUM(P10:P13)</f>
        <v>4037727</v>
      </c>
      <c r="Q9" s="308">
        <f>SUM(Q10:Q13)</f>
        <v>4037827</v>
      </c>
      <c r="R9" s="306">
        <v>4037617</v>
      </c>
      <c r="S9" s="307"/>
      <c r="T9" s="307"/>
      <c r="U9" s="307"/>
      <c r="V9" s="307">
        <f>SUM(V10:V13)</f>
        <v>4037727</v>
      </c>
      <c r="W9" s="308">
        <f>SUM(W10:W13)</f>
        <v>4037827</v>
      </c>
    </row>
    <row r="10" spans="1:23" s="310" customFormat="1" ht="19.5" customHeight="1">
      <c r="A10" s="321"/>
      <c r="B10" s="312" t="s">
        <v>18</v>
      </c>
      <c r="C10" s="1054" t="s">
        <v>525</v>
      </c>
      <c r="D10" s="1055"/>
      <c r="E10" s="1056"/>
      <c r="F10" s="1056"/>
      <c r="G10" s="1056"/>
      <c r="H10" s="1056"/>
      <c r="I10" s="1056"/>
      <c r="J10" s="1055"/>
      <c r="K10" s="1056"/>
      <c r="L10" s="1056"/>
      <c r="M10" s="1056"/>
      <c r="N10" s="1056"/>
      <c r="O10" s="1056"/>
      <c r="P10" s="1064">
        <v>3712800</v>
      </c>
      <c r="Q10" s="1065">
        <v>3712800</v>
      </c>
      <c r="R10" s="1063"/>
      <c r="S10" s="1064"/>
      <c r="T10" s="1064"/>
      <c r="U10" s="1064"/>
      <c r="V10" s="1064">
        <v>3712800</v>
      </c>
      <c r="W10" s="1065">
        <v>3712800</v>
      </c>
    </row>
    <row r="11" spans="1:23" s="310" customFormat="1" ht="19.5" customHeight="1">
      <c r="A11" s="311"/>
      <c r="B11" s="312" t="s">
        <v>28</v>
      </c>
      <c r="C11" s="1057" t="s">
        <v>526</v>
      </c>
      <c r="D11" s="1058"/>
      <c r="E11" s="1059"/>
      <c r="F11" s="1059"/>
      <c r="G11" s="1059"/>
      <c r="H11" s="1059"/>
      <c r="I11" s="1059"/>
      <c r="J11" s="1058"/>
      <c r="K11" s="1059"/>
      <c r="L11" s="1059"/>
      <c r="M11" s="1059"/>
      <c r="N11" s="1059"/>
      <c r="O11" s="1059"/>
      <c r="P11" s="1067">
        <v>324817</v>
      </c>
      <c r="Q11" s="1068">
        <v>324817</v>
      </c>
      <c r="R11" s="1066"/>
      <c r="S11" s="1067"/>
      <c r="T11" s="1067"/>
      <c r="U11" s="1067"/>
      <c r="V11" s="1067">
        <v>324817</v>
      </c>
      <c r="W11" s="1068">
        <v>324817</v>
      </c>
    </row>
    <row r="12" spans="1:23" s="310" customFormat="1" ht="19.5" customHeight="1">
      <c r="A12" s="311"/>
      <c r="B12" s="312" t="s">
        <v>153</v>
      </c>
      <c r="C12" s="1057" t="s">
        <v>71</v>
      </c>
      <c r="D12" s="1058"/>
      <c r="E12" s="1059"/>
      <c r="F12" s="1059"/>
      <c r="G12" s="1059"/>
      <c r="H12" s="1059"/>
      <c r="I12" s="1059"/>
      <c r="J12" s="1058"/>
      <c r="K12" s="1059"/>
      <c r="L12" s="1059"/>
      <c r="M12" s="1059"/>
      <c r="N12" s="1059"/>
      <c r="O12" s="1059"/>
      <c r="P12" s="1067">
        <v>100</v>
      </c>
      <c r="Q12" s="1068">
        <v>200</v>
      </c>
      <c r="R12" s="1066"/>
      <c r="S12" s="1067"/>
      <c r="T12" s="1067"/>
      <c r="U12" s="1067"/>
      <c r="V12" s="1067">
        <v>100</v>
      </c>
      <c r="W12" s="1068">
        <v>200</v>
      </c>
    </row>
    <row r="13" spans="1:23" s="310" customFormat="1" ht="19.5" customHeight="1" thickBot="1">
      <c r="A13" s="1053"/>
      <c r="B13" s="312" t="s">
        <v>38</v>
      </c>
      <c r="C13" s="1060" t="s">
        <v>570</v>
      </c>
      <c r="D13" s="1061"/>
      <c r="E13" s="1062"/>
      <c r="F13" s="1062"/>
      <c r="G13" s="1062"/>
      <c r="H13" s="1062"/>
      <c r="I13" s="1062"/>
      <c r="J13" s="1061"/>
      <c r="K13" s="1062"/>
      <c r="L13" s="1062"/>
      <c r="M13" s="1062"/>
      <c r="N13" s="1062"/>
      <c r="O13" s="1062"/>
      <c r="P13" s="1070">
        <v>10</v>
      </c>
      <c r="Q13" s="1071">
        <v>10</v>
      </c>
      <c r="R13" s="1069"/>
      <c r="S13" s="1070"/>
      <c r="T13" s="1070"/>
      <c r="U13" s="1070"/>
      <c r="V13" s="1070">
        <v>10</v>
      </c>
      <c r="W13" s="1071">
        <v>10</v>
      </c>
    </row>
    <row r="14" spans="1:23" s="310" customFormat="1" ht="30" customHeight="1" thickBot="1">
      <c r="A14" s="292" t="s">
        <v>170</v>
      </c>
      <c r="B14" s="304"/>
      <c r="C14" s="305" t="s">
        <v>266</v>
      </c>
      <c r="D14" s="306"/>
      <c r="E14" s="307"/>
      <c r="F14" s="307"/>
      <c r="G14" s="307"/>
      <c r="H14" s="307"/>
      <c r="I14" s="307"/>
      <c r="J14" s="306">
        <v>1005268</v>
      </c>
      <c r="K14" s="307"/>
      <c r="L14" s="307"/>
      <c r="M14" s="307"/>
      <c r="N14" s="307"/>
      <c r="O14" s="307"/>
      <c r="P14" s="307">
        <v>1005268</v>
      </c>
      <c r="Q14" s="308">
        <f>Q15+Q17</f>
        <v>1067001</v>
      </c>
      <c r="R14" s="306">
        <v>1005268</v>
      </c>
      <c r="S14" s="307"/>
      <c r="T14" s="307"/>
      <c r="U14" s="307"/>
      <c r="V14" s="307">
        <v>1005268</v>
      </c>
      <c r="W14" s="308">
        <f>W15+W17</f>
        <v>1067001</v>
      </c>
    </row>
    <row r="15" spans="1:23" s="317" customFormat="1" ht="19.5" customHeight="1">
      <c r="A15" s="311"/>
      <c r="B15" s="312" t="s">
        <v>51</v>
      </c>
      <c r="C15" s="313" t="s">
        <v>110</v>
      </c>
      <c r="D15" s="314" t="s">
        <v>77</v>
      </c>
      <c r="E15" s="315"/>
      <c r="F15" s="315"/>
      <c r="G15" s="315"/>
      <c r="H15" s="315"/>
      <c r="I15" s="315"/>
      <c r="J15" s="314">
        <v>1005268</v>
      </c>
      <c r="K15" s="315"/>
      <c r="L15" s="315"/>
      <c r="M15" s="315"/>
      <c r="N15" s="315"/>
      <c r="O15" s="315"/>
      <c r="P15" s="315">
        <v>1005268</v>
      </c>
      <c r="Q15" s="316">
        <f>1005268+61733</f>
        <v>1067001</v>
      </c>
      <c r="R15" s="314">
        <v>1005268</v>
      </c>
      <c r="S15" s="315"/>
      <c r="T15" s="315"/>
      <c r="U15" s="315"/>
      <c r="V15" s="315">
        <v>1005268</v>
      </c>
      <c r="W15" s="316">
        <f>1005268+61733</f>
        <v>1067001</v>
      </c>
    </row>
    <row r="16" spans="1:23" s="317" customFormat="1" ht="19.5" customHeight="1">
      <c r="A16" s="311"/>
      <c r="B16" s="312" t="s">
        <v>54</v>
      </c>
      <c r="C16" s="318" t="s">
        <v>267</v>
      </c>
      <c r="D16" s="314"/>
      <c r="E16" s="315"/>
      <c r="F16" s="315"/>
      <c r="G16" s="315"/>
      <c r="H16" s="315"/>
      <c r="I16" s="315"/>
      <c r="J16" s="314"/>
      <c r="K16" s="315"/>
      <c r="L16" s="315"/>
      <c r="M16" s="315"/>
      <c r="N16" s="315"/>
      <c r="O16" s="315"/>
      <c r="P16" s="315"/>
      <c r="Q16" s="316"/>
      <c r="R16" s="314"/>
      <c r="S16" s="315"/>
      <c r="T16" s="315"/>
      <c r="U16" s="315"/>
      <c r="V16" s="315"/>
      <c r="W16" s="316"/>
    </row>
    <row r="17" spans="1:23" s="317" customFormat="1" ht="19.5" customHeight="1">
      <c r="A17" s="311"/>
      <c r="B17" s="312" t="s">
        <v>57</v>
      </c>
      <c r="C17" s="318" t="s">
        <v>113</v>
      </c>
      <c r="D17" s="314" t="s">
        <v>96</v>
      </c>
      <c r="E17" s="315"/>
      <c r="F17" s="315"/>
      <c r="G17" s="315"/>
      <c r="H17" s="315"/>
      <c r="I17" s="315"/>
      <c r="J17" s="314"/>
      <c r="K17" s="315"/>
      <c r="L17" s="315"/>
      <c r="M17" s="315"/>
      <c r="N17" s="315"/>
      <c r="O17" s="315"/>
      <c r="P17" s="315"/>
      <c r="Q17" s="316"/>
      <c r="R17" s="314"/>
      <c r="S17" s="315"/>
      <c r="T17" s="315"/>
      <c r="U17" s="315"/>
      <c r="V17" s="315"/>
      <c r="W17" s="316"/>
    </row>
    <row r="18" spans="1:23" s="317" customFormat="1" ht="19.5" customHeight="1" thickBot="1">
      <c r="A18" s="311"/>
      <c r="B18" s="312" t="s">
        <v>66</v>
      </c>
      <c r="C18" s="318" t="s">
        <v>267</v>
      </c>
      <c r="D18" s="314"/>
      <c r="E18" s="315"/>
      <c r="F18" s="315"/>
      <c r="G18" s="315"/>
      <c r="H18" s="315"/>
      <c r="I18" s="315"/>
      <c r="J18" s="314"/>
      <c r="K18" s="315"/>
      <c r="L18" s="315"/>
      <c r="M18" s="315"/>
      <c r="N18" s="315"/>
      <c r="O18" s="315"/>
      <c r="P18" s="315"/>
      <c r="Q18" s="316"/>
      <c r="R18" s="314"/>
      <c r="S18" s="315"/>
      <c r="T18" s="315"/>
      <c r="U18" s="315"/>
      <c r="V18" s="315"/>
      <c r="W18" s="316"/>
    </row>
    <row r="19" spans="1:23" s="317" customFormat="1" ht="26.25" customHeight="1" thickBot="1">
      <c r="A19" s="292" t="s">
        <v>75</v>
      </c>
      <c r="B19" s="319"/>
      <c r="C19" s="320" t="s">
        <v>268</v>
      </c>
      <c r="D19" s="306"/>
      <c r="E19" s="307"/>
      <c r="F19" s="307"/>
      <c r="G19" s="307"/>
      <c r="H19" s="307"/>
      <c r="I19" s="307"/>
      <c r="J19" s="306"/>
      <c r="K19" s="307"/>
      <c r="L19" s="307"/>
      <c r="M19" s="307"/>
      <c r="N19" s="307"/>
      <c r="O19" s="307"/>
      <c r="P19" s="307"/>
      <c r="Q19" s="308"/>
      <c r="R19" s="306"/>
      <c r="S19" s="307"/>
      <c r="T19" s="307"/>
      <c r="U19" s="307"/>
      <c r="V19" s="307"/>
      <c r="W19" s="308"/>
    </row>
    <row r="20" spans="1:23" s="310" customFormat="1" ht="19.5" customHeight="1">
      <c r="A20" s="321"/>
      <c r="B20" s="322" t="s">
        <v>78</v>
      </c>
      <c r="C20" s="323" t="s">
        <v>269</v>
      </c>
      <c r="D20" s="324" t="s">
        <v>270</v>
      </c>
      <c r="E20" s="325"/>
      <c r="F20" s="325"/>
      <c r="G20" s="325"/>
      <c r="H20" s="325"/>
      <c r="I20" s="325"/>
      <c r="J20" s="324"/>
      <c r="K20" s="325"/>
      <c r="L20" s="325"/>
      <c r="M20" s="325"/>
      <c r="N20" s="325"/>
      <c r="O20" s="325"/>
      <c r="P20" s="325"/>
      <c r="Q20" s="326"/>
      <c r="R20" s="324"/>
      <c r="S20" s="325"/>
      <c r="T20" s="325"/>
      <c r="U20" s="325"/>
      <c r="V20" s="325"/>
      <c r="W20" s="326"/>
    </row>
    <row r="21" spans="1:23" s="310" customFormat="1" ht="21.75" customHeight="1" thickBot="1">
      <c r="A21" s="327"/>
      <c r="B21" s="328" t="s">
        <v>81</v>
      </c>
      <c r="C21" s="329" t="s">
        <v>271</v>
      </c>
      <c r="D21" s="330" t="s">
        <v>272</v>
      </c>
      <c r="E21" s="331"/>
      <c r="F21" s="331"/>
      <c r="G21" s="331"/>
      <c r="H21" s="331"/>
      <c r="I21" s="331"/>
      <c r="J21" s="330"/>
      <c r="K21" s="331"/>
      <c r="L21" s="331"/>
      <c r="M21" s="331"/>
      <c r="N21" s="331"/>
      <c r="O21" s="331"/>
      <c r="P21" s="331"/>
      <c r="Q21" s="332"/>
      <c r="R21" s="330"/>
      <c r="S21" s="331"/>
      <c r="T21" s="331"/>
      <c r="U21" s="331"/>
      <c r="V21" s="331"/>
      <c r="W21" s="332"/>
    </row>
    <row r="22" spans="1:23" s="310" customFormat="1" ht="19.5" customHeight="1" thickBot="1">
      <c r="A22" s="292"/>
      <c r="B22" s="304"/>
      <c r="D22" s="333"/>
      <c r="E22" s="334"/>
      <c r="F22" s="334"/>
      <c r="G22" s="334"/>
      <c r="H22" s="334"/>
      <c r="I22" s="334"/>
      <c r="J22" s="333"/>
      <c r="K22" s="334"/>
      <c r="L22" s="334"/>
      <c r="M22" s="334"/>
      <c r="N22" s="334"/>
      <c r="O22" s="334"/>
      <c r="P22" s="334"/>
      <c r="Q22" s="335"/>
      <c r="R22" s="333"/>
      <c r="S22" s="334"/>
      <c r="T22" s="334"/>
      <c r="U22" s="334"/>
      <c r="V22" s="334"/>
      <c r="W22" s="335"/>
    </row>
    <row r="23" spans="1:23" s="310" customFormat="1" ht="19.5" customHeight="1" thickBot="1">
      <c r="A23" s="292" t="s">
        <v>94</v>
      </c>
      <c r="B23" s="337"/>
      <c r="C23" s="320" t="s">
        <v>273</v>
      </c>
      <c r="D23" s="306"/>
      <c r="E23" s="307"/>
      <c r="F23" s="307"/>
      <c r="G23" s="307"/>
      <c r="H23" s="307"/>
      <c r="I23" s="307"/>
      <c r="J23" s="306">
        <f>J9+J14</f>
        <v>5042885</v>
      </c>
      <c r="K23" s="307"/>
      <c r="L23" s="307"/>
      <c r="M23" s="307"/>
      <c r="N23" s="307"/>
      <c r="O23" s="307"/>
      <c r="P23" s="307">
        <f>P9+P14</f>
        <v>5042995</v>
      </c>
      <c r="Q23" s="308">
        <f>Q9+Q14</f>
        <v>5104828</v>
      </c>
      <c r="R23" s="306">
        <f>R9+R14</f>
        <v>5042885</v>
      </c>
      <c r="S23" s="307"/>
      <c r="T23" s="307"/>
      <c r="U23" s="307"/>
      <c r="V23" s="307">
        <f>V9+V14</f>
        <v>5042995</v>
      </c>
      <c r="W23" s="308">
        <f>W9+W14</f>
        <v>5104828</v>
      </c>
    </row>
    <row r="24" spans="1:23" s="317" customFormat="1" ht="19.5" customHeight="1" thickBot="1">
      <c r="A24" s="338" t="s">
        <v>107</v>
      </c>
      <c r="B24" s="339"/>
      <c r="C24" s="340" t="s">
        <v>274</v>
      </c>
      <c r="D24" s="341"/>
      <c r="E24" s="342"/>
      <c r="F24" s="342"/>
      <c r="G24" s="342"/>
      <c r="H24" s="342"/>
      <c r="I24" s="342"/>
      <c r="J24" s="341">
        <f>J25+J26</f>
        <v>17424696</v>
      </c>
      <c r="K24" s="342"/>
      <c r="L24" s="342"/>
      <c r="M24" s="342"/>
      <c r="N24" s="342"/>
      <c r="O24" s="342"/>
      <c r="P24" s="342">
        <f>SUM(P25:P26)</f>
        <v>17728509</v>
      </c>
      <c r="Q24" s="1078">
        <f>SUM(Q25:Q26)</f>
        <v>17927697</v>
      </c>
      <c r="R24" s="341">
        <f>R25+R26</f>
        <v>17424696</v>
      </c>
      <c r="S24" s="307"/>
      <c r="T24" s="308"/>
      <c r="U24" s="309"/>
      <c r="V24" s="794">
        <f>SUM(V25:V26)</f>
        <v>17728509</v>
      </c>
      <c r="W24" s="794">
        <f>SUM(W25:W26)</f>
        <v>17927697</v>
      </c>
    </row>
    <row r="25" spans="1:23" s="317" customFormat="1" ht="19.5" customHeight="1" thickBot="1">
      <c r="A25" s="321"/>
      <c r="B25" s="343" t="s">
        <v>109</v>
      </c>
      <c r="C25" s="323" t="s">
        <v>275</v>
      </c>
      <c r="D25" s="324" t="s">
        <v>136</v>
      </c>
      <c r="E25" s="325"/>
      <c r="F25" s="325"/>
      <c r="G25" s="325"/>
      <c r="H25" s="325"/>
      <c r="I25" s="325"/>
      <c r="J25" s="324">
        <v>250126</v>
      </c>
      <c r="K25" s="325"/>
      <c r="L25" s="325"/>
      <c r="M25" s="325"/>
      <c r="N25" s="325"/>
      <c r="O25" s="325"/>
      <c r="P25" s="325">
        <v>250126</v>
      </c>
      <c r="Q25" s="326">
        <v>250126</v>
      </c>
      <c r="R25" s="324">
        <v>250126</v>
      </c>
      <c r="S25" s="345"/>
      <c r="T25" s="346"/>
      <c r="U25" s="347"/>
      <c r="V25" s="792">
        <v>250126</v>
      </c>
      <c r="W25" s="792">
        <v>250126</v>
      </c>
    </row>
    <row r="26" spans="1:23" s="317" customFormat="1" ht="19.5" customHeight="1">
      <c r="A26" s="348"/>
      <c r="B26" s="349" t="s">
        <v>112</v>
      </c>
      <c r="C26" s="323" t="s">
        <v>276</v>
      </c>
      <c r="D26" s="350" t="s">
        <v>277</v>
      </c>
      <c r="E26" s="351"/>
      <c r="F26" s="351"/>
      <c r="G26" s="351"/>
      <c r="H26" s="351"/>
      <c r="I26" s="351"/>
      <c r="J26" s="350">
        <v>17174570</v>
      </c>
      <c r="K26" s="351"/>
      <c r="L26" s="351"/>
      <c r="M26" s="351"/>
      <c r="N26" s="351"/>
      <c r="O26" s="351"/>
      <c r="P26" s="351">
        <f>17263470+9387+9990+195536</f>
        <v>17478383</v>
      </c>
      <c r="Q26" s="352">
        <f>17263470+9387+9990+195536+53340+145848</f>
        <v>17677571</v>
      </c>
      <c r="R26" s="350">
        <v>17174570</v>
      </c>
      <c r="S26" s="351"/>
      <c r="T26" s="352"/>
      <c r="U26" s="353"/>
      <c r="V26" s="795">
        <f>17263470+9387+9990+195536</f>
        <v>17478383</v>
      </c>
      <c r="W26" s="795">
        <f>17263470+9387+9990+195536+53340+145848</f>
        <v>17677571</v>
      </c>
    </row>
    <row r="27" spans="1:23" s="317" customFormat="1" ht="19.5" customHeight="1" thickBot="1">
      <c r="A27" s="354"/>
      <c r="B27" s="355" t="s">
        <v>278</v>
      </c>
      <c r="C27" s="356" t="s">
        <v>279</v>
      </c>
      <c r="D27" s="357" t="s">
        <v>280</v>
      </c>
      <c r="E27" s="358"/>
      <c r="F27" s="358"/>
      <c r="G27" s="358"/>
      <c r="H27" s="358"/>
      <c r="I27" s="358"/>
      <c r="J27" s="357"/>
      <c r="K27" s="358"/>
      <c r="L27" s="358"/>
      <c r="M27" s="358"/>
      <c r="N27" s="358"/>
      <c r="O27" s="358"/>
      <c r="P27" s="358"/>
      <c r="Q27" s="359"/>
      <c r="R27" s="357"/>
      <c r="S27" s="358"/>
      <c r="T27" s="359"/>
      <c r="U27" s="360"/>
      <c r="V27" s="796"/>
      <c r="W27" s="796"/>
    </row>
    <row r="28" spans="1:23" ht="19.5" customHeight="1" thickBot="1">
      <c r="A28" s="361" t="s">
        <v>115</v>
      </c>
      <c r="B28" s="362"/>
      <c r="C28" s="363" t="s">
        <v>281</v>
      </c>
      <c r="D28" s="333"/>
      <c r="E28" s="334"/>
      <c r="F28" s="334"/>
      <c r="G28" s="334"/>
      <c r="H28" s="334"/>
      <c r="I28" s="334"/>
      <c r="J28" s="333"/>
      <c r="K28" s="334"/>
      <c r="L28" s="334"/>
      <c r="M28" s="334"/>
      <c r="N28" s="334"/>
      <c r="O28" s="334"/>
      <c r="P28" s="334"/>
      <c r="Q28" s="335"/>
      <c r="R28" s="333"/>
      <c r="S28" s="334"/>
      <c r="T28" s="335"/>
      <c r="U28" s="336"/>
      <c r="V28" s="793"/>
      <c r="W28" s="793"/>
    </row>
    <row r="29" spans="1:23" s="296" customFormat="1" ht="19.5" customHeight="1" thickBot="1">
      <c r="A29" s="361" t="s">
        <v>115</v>
      </c>
      <c r="B29" s="364"/>
      <c r="C29" s="365" t="s">
        <v>282</v>
      </c>
      <c r="D29" s="306"/>
      <c r="E29" s="307"/>
      <c r="F29" s="307"/>
      <c r="G29" s="307"/>
      <c r="H29" s="307"/>
      <c r="I29" s="307"/>
      <c r="J29" s="306">
        <f>J23+J24</f>
        <v>22467581</v>
      </c>
      <c r="K29" s="307"/>
      <c r="L29" s="307"/>
      <c r="M29" s="307"/>
      <c r="N29" s="307"/>
      <c r="O29" s="307"/>
      <c r="P29" s="307">
        <f>P23+P24</f>
        <v>22771504</v>
      </c>
      <c r="Q29" s="308">
        <f>Q23+Q24</f>
        <v>23032525</v>
      </c>
      <c r="R29" s="306">
        <f>R23+R24</f>
        <v>22467581</v>
      </c>
      <c r="S29" s="307"/>
      <c r="T29" s="308"/>
      <c r="U29" s="309"/>
      <c r="V29" s="791">
        <f>V23+V24</f>
        <v>22771504</v>
      </c>
      <c r="W29" s="791">
        <f>W23+W24</f>
        <v>23032525</v>
      </c>
    </row>
    <row r="30" spans="1:20" s="369" customFormat="1" ht="19.5" customHeight="1">
      <c r="A30" s="366"/>
      <c r="B30" s="366"/>
      <c r="C30" s="367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</row>
    <row r="31" spans="1:20" ht="19.5" customHeight="1" thickBot="1">
      <c r="A31" s="370"/>
      <c r="B31" s="371"/>
      <c r="C31" s="371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</row>
    <row r="32" spans="1:23" ht="19.5" customHeight="1" thickBot="1">
      <c r="A32" s="373"/>
      <c r="B32" s="374"/>
      <c r="C32" s="375" t="s">
        <v>283</v>
      </c>
      <c r="D32" s="306"/>
      <c r="E32" s="307"/>
      <c r="F32" s="307"/>
      <c r="G32" s="307"/>
      <c r="H32" s="307"/>
      <c r="I32" s="308"/>
      <c r="J32" s="1511"/>
      <c r="K32" s="1512"/>
      <c r="L32" s="1512"/>
      <c r="M32" s="1512"/>
      <c r="N32" s="1512"/>
      <c r="O32" s="1512"/>
      <c r="P32" s="1512"/>
      <c r="Q32" s="1513"/>
      <c r="R32" s="1511"/>
      <c r="S32" s="1512"/>
      <c r="T32" s="1512"/>
      <c r="U32" s="1512"/>
      <c r="V32" s="1512"/>
      <c r="W32" s="1514"/>
    </row>
    <row r="33" spans="1:23" ht="19.5" customHeight="1" thickBot="1">
      <c r="A33" s="292" t="s">
        <v>15</v>
      </c>
      <c r="B33" s="319"/>
      <c r="C33" s="320" t="s">
        <v>284</v>
      </c>
      <c r="D33" s="306"/>
      <c r="E33" s="307"/>
      <c r="F33" s="307"/>
      <c r="G33" s="307"/>
      <c r="H33" s="307"/>
      <c r="I33" s="308"/>
      <c r="J33" s="306">
        <f>J34+J35+J36+J37</f>
        <v>22467581</v>
      </c>
      <c r="K33" s="307"/>
      <c r="L33" s="307"/>
      <c r="M33" s="307"/>
      <c r="N33" s="307"/>
      <c r="O33" s="307"/>
      <c r="P33" s="307">
        <f>P34+P35+P36</f>
        <v>22761514</v>
      </c>
      <c r="Q33" s="308">
        <f>Q34+Q35+Q36</f>
        <v>22806635</v>
      </c>
      <c r="R33" s="306">
        <f>R34+R35+R36+R37</f>
        <v>22467581</v>
      </c>
      <c r="S33" s="307"/>
      <c r="T33" s="307"/>
      <c r="U33" s="307"/>
      <c r="V33" s="307">
        <f>V34+V35+V36</f>
        <v>22761514</v>
      </c>
      <c r="W33" s="308">
        <f>W34+W35+W36</f>
        <v>22806635</v>
      </c>
    </row>
    <row r="34" spans="1:23" ht="19.5" customHeight="1">
      <c r="A34" s="376"/>
      <c r="B34" s="377" t="s">
        <v>285</v>
      </c>
      <c r="C34" s="313" t="s">
        <v>286</v>
      </c>
      <c r="D34" s="344" t="s">
        <v>150</v>
      </c>
      <c r="E34" s="345"/>
      <c r="F34" s="345"/>
      <c r="G34" s="345"/>
      <c r="H34" s="345"/>
      <c r="I34" s="346"/>
      <c r="J34" s="344">
        <v>12264548</v>
      </c>
      <c r="K34" s="345"/>
      <c r="L34" s="345"/>
      <c r="M34" s="345"/>
      <c r="N34" s="345"/>
      <c r="O34" s="345"/>
      <c r="P34" s="345">
        <f>12334548+4013+3379+91060</f>
        <v>12433000</v>
      </c>
      <c r="Q34" s="346">
        <f>12334548+4013+3379+91060+42000+48608</f>
        <v>12523608</v>
      </c>
      <c r="R34" s="344">
        <v>12264548</v>
      </c>
      <c r="S34" s="315"/>
      <c r="T34" s="315"/>
      <c r="U34" s="315"/>
      <c r="V34" s="345">
        <f>12334548+4013+3379+91060</f>
        <v>12433000</v>
      </c>
      <c r="W34" s="346">
        <f>12334548+4013+3379+91060+42000+48608</f>
        <v>12523608</v>
      </c>
    </row>
    <row r="35" spans="1:23" ht="24" customHeight="1">
      <c r="A35" s="311"/>
      <c r="B35" s="378" t="s">
        <v>287</v>
      </c>
      <c r="C35" s="318" t="s">
        <v>288</v>
      </c>
      <c r="D35" s="314" t="s">
        <v>152</v>
      </c>
      <c r="E35" s="315"/>
      <c r="F35" s="315"/>
      <c r="G35" s="315"/>
      <c r="H35" s="315"/>
      <c r="I35" s="316"/>
      <c r="J35" s="314">
        <v>3336136</v>
      </c>
      <c r="K35" s="315"/>
      <c r="L35" s="315"/>
      <c r="M35" s="315"/>
      <c r="N35" s="315"/>
      <c r="O35" s="315"/>
      <c r="P35" s="315">
        <f>3355036+1083+912+24586</f>
        <v>3381617</v>
      </c>
      <c r="Q35" s="316">
        <f>3355036+1083+912+24586+11340+13125</f>
        <v>3406082</v>
      </c>
      <c r="R35" s="314">
        <v>3336136</v>
      </c>
      <c r="S35" s="315"/>
      <c r="T35" s="315"/>
      <c r="U35" s="315"/>
      <c r="V35" s="315">
        <f>3355036+1083+912+24586</f>
        <v>3381617</v>
      </c>
      <c r="W35" s="316">
        <f>3355036+1083+912+24586+11340+13125</f>
        <v>3406082</v>
      </c>
    </row>
    <row r="36" spans="1:23" ht="19.5" customHeight="1">
      <c r="A36" s="311"/>
      <c r="B36" s="378" t="s">
        <v>35</v>
      </c>
      <c r="C36" s="318" t="s">
        <v>289</v>
      </c>
      <c r="D36" s="314" t="s">
        <v>155</v>
      </c>
      <c r="E36" s="315"/>
      <c r="F36" s="315"/>
      <c r="G36" s="315"/>
      <c r="H36" s="315"/>
      <c r="I36" s="316"/>
      <c r="J36" s="314">
        <v>6866897</v>
      </c>
      <c r="K36" s="315"/>
      <c r="L36" s="315"/>
      <c r="M36" s="315"/>
      <c r="N36" s="315"/>
      <c r="O36" s="315"/>
      <c r="P36" s="315">
        <f>6866897+80000</f>
        <v>6946897</v>
      </c>
      <c r="Q36" s="316">
        <f>6866897+80000-69952</f>
        <v>6876945</v>
      </c>
      <c r="R36" s="314">
        <v>6866897</v>
      </c>
      <c r="S36" s="315"/>
      <c r="T36" s="315"/>
      <c r="U36" s="315"/>
      <c r="V36" s="315">
        <f>6866897+80000</f>
        <v>6946897</v>
      </c>
      <c r="W36" s="316">
        <f>6866897+80000-69952</f>
        <v>6876945</v>
      </c>
    </row>
    <row r="37" spans="1:23" s="369" customFormat="1" ht="19.5" customHeight="1">
      <c r="A37" s="311"/>
      <c r="B37" s="378" t="s">
        <v>290</v>
      </c>
      <c r="C37" s="318" t="s">
        <v>156</v>
      </c>
      <c r="D37" s="314" t="s">
        <v>157</v>
      </c>
      <c r="E37" s="315"/>
      <c r="F37" s="315"/>
      <c r="G37" s="315"/>
      <c r="H37" s="315"/>
      <c r="I37" s="316"/>
      <c r="J37" s="314"/>
      <c r="K37" s="315"/>
      <c r="L37" s="315"/>
      <c r="M37" s="315"/>
      <c r="N37" s="315"/>
      <c r="O37" s="315"/>
      <c r="P37" s="315"/>
      <c r="Q37" s="316"/>
      <c r="R37" s="314"/>
      <c r="S37" s="315"/>
      <c r="T37" s="315"/>
      <c r="U37" s="315"/>
      <c r="V37" s="315"/>
      <c r="W37" s="316"/>
    </row>
    <row r="38" spans="1:23" ht="19.5" customHeight="1" thickBot="1">
      <c r="A38" s="311"/>
      <c r="B38" s="378" t="s">
        <v>45</v>
      </c>
      <c r="C38" s="318" t="s">
        <v>158</v>
      </c>
      <c r="D38" s="314" t="s">
        <v>159</v>
      </c>
      <c r="E38" s="315"/>
      <c r="F38" s="315"/>
      <c r="G38" s="315"/>
      <c r="H38" s="315"/>
      <c r="I38" s="316"/>
      <c r="J38" s="314"/>
      <c r="K38" s="315"/>
      <c r="L38" s="315"/>
      <c r="M38" s="315"/>
      <c r="N38" s="315"/>
      <c r="O38" s="315"/>
      <c r="P38" s="315"/>
      <c r="Q38" s="316"/>
      <c r="R38" s="314"/>
      <c r="S38" s="315"/>
      <c r="T38" s="315"/>
      <c r="U38" s="315"/>
      <c r="V38" s="315"/>
      <c r="W38" s="316"/>
    </row>
    <row r="39" spans="1:23" ht="19.5" customHeight="1" thickBot="1">
      <c r="A39" s="292" t="s">
        <v>170</v>
      </c>
      <c r="B39" s="319"/>
      <c r="C39" s="320" t="s">
        <v>291</v>
      </c>
      <c r="D39" s="306"/>
      <c r="E39" s="307"/>
      <c r="F39" s="307"/>
      <c r="G39" s="307"/>
      <c r="H39" s="307"/>
      <c r="I39" s="308"/>
      <c r="J39" s="306"/>
      <c r="K39" s="307"/>
      <c r="L39" s="307"/>
      <c r="M39" s="307"/>
      <c r="N39" s="307"/>
      <c r="O39" s="307"/>
      <c r="P39" s="307">
        <f>SUM(P40:P42)</f>
        <v>9990</v>
      </c>
      <c r="Q39" s="308">
        <f>SUM(Q40:Q42)</f>
        <v>225890</v>
      </c>
      <c r="R39" s="306"/>
      <c r="S39" s="307"/>
      <c r="T39" s="307"/>
      <c r="U39" s="307"/>
      <c r="V39" s="307">
        <f>SUM(V40:V42)</f>
        <v>9990</v>
      </c>
      <c r="W39" s="308">
        <f>SUM(W40:W42)</f>
        <v>225890</v>
      </c>
    </row>
    <row r="40" spans="1:23" ht="19.5" customHeight="1">
      <c r="A40" s="376"/>
      <c r="B40" s="377" t="s">
        <v>292</v>
      </c>
      <c r="C40" s="313" t="s">
        <v>172</v>
      </c>
      <c r="D40" s="344" t="s">
        <v>173</v>
      </c>
      <c r="E40" s="345"/>
      <c r="F40" s="345"/>
      <c r="G40" s="345"/>
      <c r="H40" s="345"/>
      <c r="I40" s="346"/>
      <c r="J40" s="344"/>
      <c r="K40" s="345"/>
      <c r="L40" s="345"/>
      <c r="M40" s="345"/>
      <c r="N40" s="345"/>
      <c r="O40" s="345"/>
      <c r="P40" s="345">
        <v>9990</v>
      </c>
      <c r="Q40" s="346">
        <f>9990+215900</f>
        <v>225890</v>
      </c>
      <c r="R40" s="344"/>
      <c r="S40" s="315"/>
      <c r="T40" s="315"/>
      <c r="U40" s="315"/>
      <c r="V40" s="345">
        <v>9990</v>
      </c>
      <c r="W40" s="346">
        <f>9990+215900</f>
        <v>225890</v>
      </c>
    </row>
    <row r="41" spans="1:23" ht="19.5" customHeight="1">
      <c r="A41" s="311"/>
      <c r="B41" s="378" t="s">
        <v>293</v>
      </c>
      <c r="C41" s="318" t="s">
        <v>174</v>
      </c>
      <c r="D41" s="314" t="s">
        <v>175</v>
      </c>
      <c r="E41" s="315"/>
      <c r="F41" s="315"/>
      <c r="G41" s="315"/>
      <c r="H41" s="315"/>
      <c r="I41" s="316"/>
      <c r="J41" s="314"/>
      <c r="K41" s="315"/>
      <c r="L41" s="315"/>
      <c r="M41" s="315"/>
      <c r="N41" s="315"/>
      <c r="O41" s="315"/>
      <c r="P41" s="315"/>
      <c r="Q41" s="316"/>
      <c r="R41" s="314"/>
      <c r="S41" s="315"/>
      <c r="T41" s="315"/>
      <c r="U41" s="315"/>
      <c r="V41" s="315"/>
      <c r="W41" s="316"/>
    </row>
    <row r="42" spans="1:23" ht="19.5" customHeight="1">
      <c r="A42" s="311"/>
      <c r="B42" s="378" t="s">
        <v>57</v>
      </c>
      <c r="C42" s="318" t="s">
        <v>294</v>
      </c>
      <c r="D42" s="314" t="s">
        <v>177</v>
      </c>
      <c r="E42" s="315"/>
      <c r="F42" s="315"/>
      <c r="G42" s="315"/>
      <c r="H42" s="315"/>
      <c r="I42" s="316"/>
      <c r="J42" s="314"/>
      <c r="K42" s="315"/>
      <c r="L42" s="315"/>
      <c r="M42" s="315"/>
      <c r="N42" s="315"/>
      <c r="O42" s="315"/>
      <c r="P42" s="315"/>
      <c r="Q42" s="316"/>
      <c r="R42" s="314"/>
      <c r="S42" s="315"/>
      <c r="T42" s="315"/>
      <c r="U42" s="315"/>
      <c r="V42" s="315"/>
      <c r="W42" s="316"/>
    </row>
    <row r="43" spans="1:23" ht="22.5" customHeight="1" thickBot="1">
      <c r="A43" s="311"/>
      <c r="B43" s="378" t="s">
        <v>66</v>
      </c>
      <c r="C43" s="318" t="s">
        <v>295</v>
      </c>
      <c r="D43" s="314"/>
      <c r="E43" s="315"/>
      <c r="F43" s="315"/>
      <c r="G43" s="315"/>
      <c r="H43" s="315"/>
      <c r="I43" s="316"/>
      <c r="J43" s="314"/>
      <c r="K43" s="315"/>
      <c r="L43" s="315"/>
      <c r="M43" s="315"/>
      <c r="N43" s="315"/>
      <c r="O43" s="315"/>
      <c r="P43" s="315"/>
      <c r="Q43" s="316"/>
      <c r="R43" s="314"/>
      <c r="S43" s="315"/>
      <c r="T43" s="315"/>
      <c r="U43" s="315"/>
      <c r="V43" s="315"/>
      <c r="W43" s="316"/>
    </row>
    <row r="44" spans="1:23" ht="19.5" customHeight="1" thickBot="1">
      <c r="A44" s="292" t="s">
        <v>75</v>
      </c>
      <c r="B44" s="319"/>
      <c r="C44" s="320" t="s">
        <v>296</v>
      </c>
      <c r="D44" s="333"/>
      <c r="E44" s="334"/>
      <c r="F44" s="334"/>
      <c r="G44" s="334"/>
      <c r="H44" s="334"/>
      <c r="I44" s="335"/>
      <c r="J44" s="333"/>
      <c r="K44" s="334"/>
      <c r="L44" s="334"/>
      <c r="M44" s="334"/>
      <c r="N44" s="334"/>
      <c r="O44" s="334"/>
      <c r="P44" s="334"/>
      <c r="Q44" s="335"/>
      <c r="R44" s="333"/>
      <c r="S44" s="334"/>
      <c r="T44" s="334"/>
      <c r="U44" s="334"/>
      <c r="V44" s="334"/>
      <c r="W44" s="335"/>
    </row>
    <row r="45" spans="1:23" ht="19.5" customHeight="1" thickBot="1">
      <c r="A45" s="361" t="s">
        <v>94</v>
      </c>
      <c r="B45" s="362"/>
      <c r="C45" s="363" t="s">
        <v>297</v>
      </c>
      <c r="D45" s="333"/>
      <c r="E45" s="334"/>
      <c r="F45" s="334"/>
      <c r="G45" s="334"/>
      <c r="H45" s="334"/>
      <c r="I45" s="335"/>
      <c r="J45" s="333"/>
      <c r="K45" s="334"/>
      <c r="L45" s="334"/>
      <c r="M45" s="334"/>
      <c r="N45" s="334"/>
      <c r="O45" s="334"/>
      <c r="P45" s="334"/>
      <c r="Q45" s="335"/>
      <c r="R45" s="333"/>
      <c r="S45" s="334"/>
      <c r="T45" s="334"/>
      <c r="U45" s="334"/>
      <c r="V45" s="334"/>
      <c r="W45" s="335"/>
    </row>
    <row r="46" spans="1:23" ht="19.5" customHeight="1" thickBot="1">
      <c r="A46" s="292" t="s">
        <v>75</v>
      </c>
      <c r="B46" s="379"/>
      <c r="C46" s="380" t="s">
        <v>298</v>
      </c>
      <c r="D46" s="306"/>
      <c r="E46" s="307"/>
      <c r="F46" s="307"/>
      <c r="G46" s="307"/>
      <c r="H46" s="307"/>
      <c r="I46" s="308"/>
      <c r="J46" s="306">
        <f>J33</f>
        <v>22467581</v>
      </c>
      <c r="K46" s="307">
        <f aca="true" t="shared" si="0" ref="K46:U46">K33</f>
        <v>0</v>
      </c>
      <c r="L46" s="307">
        <f t="shared" si="0"/>
        <v>0</v>
      </c>
      <c r="M46" s="307">
        <f t="shared" si="0"/>
        <v>0</v>
      </c>
      <c r="N46" s="307">
        <f t="shared" si="0"/>
        <v>0</v>
      </c>
      <c r="O46" s="307">
        <f t="shared" si="0"/>
        <v>0</v>
      </c>
      <c r="P46" s="307">
        <f>P33+P39</f>
        <v>22771504</v>
      </c>
      <c r="Q46" s="308">
        <f>Q33+Q39</f>
        <v>23032525</v>
      </c>
      <c r="R46" s="306">
        <f t="shared" si="0"/>
        <v>22467581</v>
      </c>
      <c r="S46" s="307">
        <f t="shared" si="0"/>
        <v>0</v>
      </c>
      <c r="T46" s="307">
        <f t="shared" si="0"/>
        <v>0</v>
      </c>
      <c r="U46" s="307">
        <f t="shared" si="0"/>
        <v>0</v>
      </c>
      <c r="V46" s="307">
        <f>V33+V39</f>
        <v>22771504</v>
      </c>
      <c r="W46" s="308">
        <f>W33+W39</f>
        <v>23032525</v>
      </c>
    </row>
    <row r="47" spans="1:23" ht="19.5" customHeight="1" thickBot="1">
      <c r="A47" s="381"/>
      <c r="B47" s="382"/>
      <c r="C47" s="382"/>
      <c r="D47" s="383"/>
      <c r="E47" s="384"/>
      <c r="F47" s="384"/>
      <c r="G47" s="384"/>
      <c r="H47" s="384"/>
      <c r="I47" s="385"/>
      <c r="J47" s="383"/>
      <c r="K47" s="384"/>
      <c r="L47" s="384"/>
      <c r="M47" s="384"/>
      <c r="N47" s="384"/>
      <c r="O47" s="384"/>
      <c r="P47" s="384"/>
      <c r="Q47" s="385"/>
      <c r="R47" s="383"/>
      <c r="S47" s="384"/>
      <c r="T47" s="384"/>
      <c r="U47" s="384"/>
      <c r="V47" s="1079"/>
      <c r="W47" s="385"/>
    </row>
    <row r="48" spans="1:23" ht="19.5" customHeight="1" thickBot="1">
      <c r="A48" s="386" t="s">
        <v>299</v>
      </c>
      <c r="B48" s="387"/>
      <c r="C48" s="388"/>
      <c r="D48" s="389"/>
      <c r="E48" s="390"/>
      <c r="F48" s="390"/>
      <c r="G48" s="390"/>
      <c r="H48" s="390"/>
      <c r="I48" s="391"/>
      <c r="J48" s="389">
        <v>5</v>
      </c>
      <c r="K48" s="390"/>
      <c r="L48" s="390"/>
      <c r="M48" s="390"/>
      <c r="N48" s="390"/>
      <c r="O48" s="390"/>
      <c r="P48" s="390">
        <v>5</v>
      </c>
      <c r="Q48" s="391">
        <v>5</v>
      </c>
      <c r="R48" s="389">
        <v>5</v>
      </c>
      <c r="S48" s="390"/>
      <c r="T48" s="390"/>
      <c r="U48" s="390"/>
      <c r="V48" s="1080">
        <v>5</v>
      </c>
      <c r="W48" s="391">
        <v>5</v>
      </c>
    </row>
    <row r="49" spans="1:23" ht="19.5" customHeight="1" thickBot="1">
      <c r="A49" s="386" t="s">
        <v>300</v>
      </c>
      <c r="B49" s="387"/>
      <c r="C49" s="388"/>
      <c r="D49" s="389"/>
      <c r="E49" s="390"/>
      <c r="F49" s="390"/>
      <c r="G49" s="390"/>
      <c r="H49" s="390"/>
      <c r="I49" s="391"/>
      <c r="J49" s="389">
        <v>1</v>
      </c>
      <c r="K49" s="390"/>
      <c r="L49" s="390"/>
      <c r="M49" s="390"/>
      <c r="N49" s="390"/>
      <c r="O49" s="390"/>
      <c r="P49" s="390">
        <v>1</v>
      </c>
      <c r="Q49" s="391">
        <v>1</v>
      </c>
      <c r="R49" s="389">
        <v>1</v>
      </c>
      <c r="S49" s="390"/>
      <c r="T49" s="390"/>
      <c r="U49" s="390"/>
      <c r="V49" s="1081">
        <v>1</v>
      </c>
      <c r="W49" s="391">
        <v>1</v>
      </c>
    </row>
    <row r="50" spans="6:9" ht="12.75">
      <c r="F50" s="392"/>
      <c r="G50" s="392"/>
      <c r="H50" s="392"/>
      <c r="I50" s="392"/>
    </row>
    <row r="51" spans="1:9" ht="12.75" customHeight="1">
      <c r="A51" s="1503" t="s">
        <v>301</v>
      </c>
      <c r="B51" s="1503"/>
      <c r="C51" s="1503"/>
      <c r="D51" s="1503"/>
      <c r="E51" s="393"/>
      <c r="F51" s="393"/>
      <c r="G51" s="393"/>
      <c r="H51" s="393"/>
      <c r="I51" s="393"/>
    </row>
    <row r="52" spans="1:3" ht="12.75">
      <c r="A52" s="1503"/>
      <c r="B52" s="1503"/>
      <c r="C52" s="1503"/>
    </row>
    <row r="53" spans="4:9" ht="12.75">
      <c r="D53" s="392">
        <v>0</v>
      </c>
      <c r="E53" s="392"/>
      <c r="F53" s="392"/>
      <c r="G53" s="392"/>
      <c r="H53" s="392"/>
      <c r="I53" s="392"/>
    </row>
  </sheetData>
  <sheetProtection selectLockedCells="1" selectUnlockedCells="1"/>
  <mergeCells count="10">
    <mergeCell ref="R5:W5"/>
    <mergeCell ref="A51:D51"/>
    <mergeCell ref="A52:C52"/>
    <mergeCell ref="J1:R1"/>
    <mergeCell ref="A3:R3"/>
    <mergeCell ref="D5:I5"/>
    <mergeCell ref="A6:B6"/>
    <mergeCell ref="J5:Q5"/>
    <mergeCell ref="J32:Q32"/>
    <mergeCell ref="R32:W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8.28125" style="394" customWidth="1"/>
    <col min="2" max="3" width="14.8515625" style="395" customWidth="1"/>
    <col min="4" max="4" width="20.57421875" style="395" customWidth="1"/>
    <col min="5" max="5" width="31.00390625" style="395" customWidth="1"/>
    <col min="6" max="11" width="0" style="395" hidden="1" customWidth="1"/>
    <col min="12" max="16384" width="9.140625" style="395" customWidth="1"/>
  </cols>
  <sheetData>
    <row r="2" spans="2:9" ht="12.75">
      <c r="B2" s="13"/>
      <c r="D2" s="1518" t="s">
        <v>302</v>
      </c>
      <c r="E2" s="1518"/>
      <c r="F2" s="396"/>
      <c r="G2" s="396"/>
      <c r="H2" s="396"/>
      <c r="I2" s="396"/>
    </row>
    <row r="4" spans="1:9" ht="19.5" customHeight="1">
      <c r="A4" s="1519" t="s">
        <v>601</v>
      </c>
      <c r="B4" s="1519"/>
      <c r="C4" s="1519"/>
      <c r="D4" s="1519"/>
      <c r="E4" s="1519"/>
      <c r="F4" s="397"/>
      <c r="G4" s="397"/>
      <c r="H4" s="397"/>
      <c r="I4" s="397"/>
    </row>
    <row r="5" spans="1:9" ht="19.5">
      <c r="A5" s="397"/>
      <c r="B5" s="397"/>
      <c r="C5" s="397"/>
      <c r="D5" s="1526" t="s">
        <v>598</v>
      </c>
      <c r="E5" s="1526"/>
      <c r="F5" s="397"/>
      <c r="G5" s="397"/>
      <c r="H5" s="397"/>
      <c r="I5" s="397"/>
    </row>
    <row r="6" spans="2:11" ht="20.25" customHeight="1" thickBot="1">
      <c r="B6" s="1520" t="s">
        <v>5</v>
      </c>
      <c r="C6" s="1520"/>
      <c r="D6" s="1520"/>
      <c r="E6" s="1520"/>
      <c r="F6" s="1520"/>
      <c r="G6" s="1520"/>
      <c r="H6" s="1520"/>
      <c r="I6" s="1520"/>
      <c r="J6" s="1521" t="s">
        <v>303</v>
      </c>
      <c r="K6" s="1521"/>
    </row>
    <row r="7" spans="1:11" ht="36.75" customHeight="1">
      <c r="A7" s="1522" t="s">
        <v>141</v>
      </c>
      <c r="B7" s="1523" t="s">
        <v>488</v>
      </c>
      <c r="C7" s="1523"/>
      <c r="D7" s="1523"/>
      <c r="E7" s="1523"/>
      <c r="F7" s="1524" t="s">
        <v>304</v>
      </c>
      <c r="G7" s="1524"/>
      <c r="H7" s="1524"/>
      <c r="I7" s="1524"/>
      <c r="J7" s="1525" t="s">
        <v>305</v>
      </c>
      <c r="K7" s="1525"/>
    </row>
    <row r="8" spans="1:11" ht="41.25" customHeight="1">
      <c r="A8" s="1522"/>
      <c r="B8" s="398" t="s">
        <v>306</v>
      </c>
      <c r="C8" s="398" t="s">
        <v>307</v>
      </c>
      <c r="D8" s="398" t="s">
        <v>308</v>
      </c>
      <c r="E8" s="399" t="s">
        <v>309</v>
      </c>
      <c r="F8" s="400" t="s">
        <v>306</v>
      </c>
      <c r="G8" s="398" t="s">
        <v>307</v>
      </c>
      <c r="H8" s="398" t="s">
        <v>308</v>
      </c>
      <c r="I8" s="399" t="s">
        <v>309</v>
      </c>
      <c r="J8" s="401" t="s">
        <v>303</v>
      </c>
      <c r="K8" s="402" t="s">
        <v>310</v>
      </c>
    </row>
    <row r="9" spans="1:11" ht="30" customHeight="1">
      <c r="A9" s="403"/>
      <c r="B9" s="404"/>
      <c r="C9" s="404"/>
      <c r="D9" s="405"/>
      <c r="E9" s="406"/>
      <c r="F9" s="407"/>
      <c r="G9" s="404"/>
      <c r="H9" s="405"/>
      <c r="I9" s="408"/>
      <c r="J9" s="409"/>
      <c r="K9" s="410" t="e">
        <f>J9/E9</f>
        <v>#DIV/0!</v>
      </c>
    </row>
    <row r="10" spans="1:11" ht="30" customHeight="1">
      <c r="A10" s="403" t="s">
        <v>311</v>
      </c>
      <c r="B10" s="708">
        <v>2</v>
      </c>
      <c r="C10" s="708">
        <v>4</v>
      </c>
      <c r="D10" s="708"/>
      <c r="E10" s="406">
        <v>6</v>
      </c>
      <c r="F10" s="407"/>
      <c r="G10" s="404"/>
      <c r="H10" s="404"/>
      <c r="I10" s="406"/>
      <c r="J10" s="411"/>
      <c r="K10" s="412">
        <f>J10/E10</f>
        <v>0</v>
      </c>
    </row>
    <row r="11" spans="1:11" ht="30" customHeight="1">
      <c r="A11" s="413" t="s">
        <v>312</v>
      </c>
      <c r="B11" s="709">
        <v>3</v>
      </c>
      <c r="C11" s="709">
        <v>2</v>
      </c>
      <c r="D11" s="709"/>
      <c r="E11" s="406">
        <v>5</v>
      </c>
      <c r="F11" s="415"/>
      <c r="G11" s="414"/>
      <c r="H11" s="414"/>
      <c r="I11" s="416"/>
      <c r="J11" s="417"/>
      <c r="K11" s="418">
        <f>J11/E11</f>
        <v>0</v>
      </c>
    </row>
    <row r="12" spans="1:11" ht="54.75" customHeight="1">
      <c r="A12" s="419" t="s">
        <v>313</v>
      </c>
      <c r="B12" s="710">
        <f>SUM(B10:B11)</f>
        <v>5</v>
      </c>
      <c r="C12" s="710">
        <f>SUM(C10:C11)</f>
        <v>6</v>
      </c>
      <c r="D12" s="710">
        <f>SUM(D10:D11)</f>
        <v>0</v>
      </c>
      <c r="E12" s="710">
        <f>SUM(E10:E11)</f>
        <v>11</v>
      </c>
      <c r="F12" s="422">
        <f>SUM(F9:F11)</f>
        <v>0</v>
      </c>
      <c r="G12" s="420">
        <f>SUM(G9:G11)</f>
        <v>0</v>
      </c>
      <c r="H12" s="420">
        <f>SUM(H9:H11)</f>
        <v>0</v>
      </c>
      <c r="I12" s="421">
        <f>SUM(I9:I11)</f>
        <v>0</v>
      </c>
      <c r="J12" s="423">
        <f>SUM(J9:J11)</f>
        <v>0</v>
      </c>
      <c r="K12" s="424">
        <f>J12/E12</f>
        <v>0</v>
      </c>
    </row>
    <row r="13" spans="1:11" ht="39" customHeight="1">
      <c r="A13" s="715"/>
      <c r="B13" s="716"/>
      <c r="C13" s="716"/>
      <c r="D13" s="716"/>
      <c r="E13" s="716"/>
      <c r="F13" s="717"/>
      <c r="G13" s="717"/>
      <c r="H13" s="717"/>
      <c r="I13" s="716"/>
      <c r="J13" s="716"/>
      <c r="K13" s="714"/>
    </row>
    <row r="14" ht="13.5" thickBot="1">
      <c r="K14" s="425"/>
    </row>
    <row r="15" spans="1:11" ht="20.25" customHeight="1" thickBot="1">
      <c r="A15" s="1515" t="s">
        <v>502</v>
      </c>
      <c r="B15" s="1516"/>
      <c r="C15" s="1516"/>
      <c r="D15" s="1516"/>
      <c r="E15" s="1517"/>
      <c r="F15" s="426"/>
      <c r="G15" s="427"/>
      <c r="H15" s="428"/>
      <c r="I15" s="428"/>
      <c r="J15" s="429"/>
      <c r="K15" s="430" t="e">
        <f>J15/E15</f>
        <v>#DIV/0!</v>
      </c>
    </row>
    <row r="16" spans="1:14" ht="18.75" customHeight="1">
      <c r="A16" s="718"/>
      <c r="B16" s="719"/>
      <c r="C16" s="719"/>
      <c r="D16" s="719"/>
      <c r="E16" s="720"/>
      <c r="F16" s="712"/>
      <c r="G16" s="712"/>
      <c r="H16" s="712"/>
      <c r="I16" s="712"/>
      <c r="J16" s="713"/>
      <c r="K16" s="714"/>
      <c r="N16" s="727"/>
    </row>
    <row r="17" spans="1:11" ht="24" customHeight="1">
      <c r="A17" s="725" t="s">
        <v>311</v>
      </c>
      <c r="B17" s="721"/>
      <c r="C17" s="721"/>
      <c r="D17" s="721"/>
      <c r="E17" s="726">
        <v>5</v>
      </c>
      <c r="F17" s="712"/>
      <c r="G17" s="712"/>
      <c r="H17" s="712"/>
      <c r="I17" s="712"/>
      <c r="J17" s="713"/>
      <c r="K17" s="714"/>
    </row>
    <row r="18" spans="1:11" ht="25.5" customHeight="1">
      <c r="A18" s="725" t="s">
        <v>312</v>
      </c>
      <c r="B18" s="721"/>
      <c r="C18" s="721"/>
      <c r="D18" s="721"/>
      <c r="E18" s="726">
        <v>1</v>
      </c>
      <c r="F18" s="712"/>
      <c r="G18" s="712"/>
      <c r="H18" s="712"/>
      <c r="I18" s="712"/>
      <c r="J18" s="713"/>
      <c r="K18" s="714"/>
    </row>
    <row r="19" spans="1:11" ht="36.75" customHeight="1" thickBot="1">
      <c r="A19" s="722" t="s">
        <v>503</v>
      </c>
      <c r="B19" s="723"/>
      <c r="C19" s="723"/>
      <c r="D19" s="723"/>
      <c r="E19" s="724">
        <v>6</v>
      </c>
      <c r="F19" s="712"/>
      <c r="G19" s="712"/>
      <c r="H19" s="712"/>
      <c r="I19" s="712"/>
      <c r="J19" s="713"/>
      <c r="K19" s="714"/>
    </row>
    <row r="20" spans="1:11" ht="18.75" customHeight="1">
      <c r="A20" s="711"/>
      <c r="B20" s="711"/>
      <c r="C20" s="711"/>
      <c r="D20" s="711"/>
      <c r="E20" s="712"/>
      <c r="F20" s="712"/>
      <c r="G20" s="712"/>
      <c r="H20" s="712"/>
      <c r="I20" s="712"/>
      <c r="J20" s="713"/>
      <c r="K20" s="714"/>
    </row>
    <row r="21" spans="1:11" ht="18.75" customHeight="1">
      <c r="A21" s="394" t="s">
        <v>314</v>
      </c>
      <c r="B21" s="711"/>
      <c r="C21" s="711"/>
      <c r="D21" s="711"/>
      <c r="E21" s="712"/>
      <c r="F21" s="712"/>
      <c r="G21" s="712"/>
      <c r="H21" s="712"/>
      <c r="I21" s="712"/>
      <c r="J21" s="713"/>
      <c r="K21" s="714"/>
    </row>
    <row r="23" ht="12.75">
      <c r="A23" s="395"/>
    </row>
  </sheetData>
  <sheetProtection selectLockedCells="1" selectUnlockedCells="1"/>
  <mergeCells count="10">
    <mergeCell ref="A15:E15"/>
    <mergeCell ref="D2:E2"/>
    <mergeCell ref="A4:E4"/>
    <mergeCell ref="B6:I6"/>
    <mergeCell ref="J6:K6"/>
    <mergeCell ref="A7:A8"/>
    <mergeCell ref="B7:E7"/>
    <mergeCell ref="F7:I7"/>
    <mergeCell ref="J7:K7"/>
    <mergeCell ref="D5:E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PageLayoutView="0" workbookViewId="0" topLeftCell="A1">
      <selection activeCell="A3" sqref="A3:T3"/>
    </sheetView>
  </sheetViews>
  <sheetFormatPr defaultColWidth="9.140625" defaultRowHeight="12.75"/>
  <cols>
    <col min="1" max="1" width="9.140625" style="431" customWidth="1"/>
    <col min="2" max="2" width="12.00390625" style="431" customWidth="1"/>
    <col min="3" max="3" width="41.7109375" style="431" customWidth="1"/>
    <col min="4" max="4" width="12.8515625" style="432" customWidth="1"/>
    <col min="5" max="9" width="0" style="432" hidden="1" customWidth="1"/>
    <col min="10" max="11" width="12.7109375" style="432" customWidth="1"/>
    <col min="12" max="12" width="14.00390625" style="433" customWidth="1"/>
    <col min="13" max="17" width="0" style="433" hidden="1" customWidth="1"/>
    <col min="18" max="19" width="14.57421875" style="433" customWidth="1"/>
    <col min="20" max="20" width="13.28125" style="433" customWidth="1"/>
    <col min="21" max="21" width="0" style="433" hidden="1" customWidth="1"/>
    <col min="22" max="25" width="0" style="431" hidden="1" customWidth="1"/>
    <col min="26" max="26" width="13.421875" style="431" customWidth="1"/>
    <col min="27" max="27" width="12.7109375" style="431" customWidth="1"/>
    <col min="28" max="16384" width="9.140625" style="431" customWidth="1"/>
  </cols>
  <sheetData>
    <row r="1" spans="3:21" ht="12.75">
      <c r="C1" s="13"/>
      <c r="D1" s="434"/>
      <c r="E1" s="434"/>
      <c r="F1" s="434"/>
      <c r="G1" s="434"/>
      <c r="H1" s="434"/>
      <c r="I1" s="434"/>
      <c r="J1" s="434"/>
      <c r="K1" s="434"/>
      <c r="L1" s="1533" t="s">
        <v>315</v>
      </c>
      <c r="M1" s="1533"/>
      <c r="N1" s="1533"/>
      <c r="O1" s="1533"/>
      <c r="P1" s="1533"/>
      <c r="Q1" s="1533"/>
      <c r="R1" s="1533"/>
      <c r="S1" s="1533"/>
      <c r="T1" s="1533"/>
      <c r="U1" s="435"/>
    </row>
    <row r="2" spans="1:21" ht="31.5" customHeight="1">
      <c r="A2" s="1534" t="s">
        <v>602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  <c r="O2" s="1534"/>
      <c r="P2" s="1534"/>
      <c r="Q2" s="1534"/>
      <c r="R2" s="1534"/>
      <c r="S2" s="1534"/>
      <c r="T2" s="1534"/>
      <c r="U2" s="436"/>
    </row>
    <row r="3" spans="1:21" ht="15" customHeight="1">
      <c r="A3" s="1535" t="s">
        <v>486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437"/>
    </row>
    <row r="4" spans="1:21" ht="15" customHeight="1">
      <c r="A4" s="1536" t="s">
        <v>316</v>
      </c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  <c r="O4" s="1536"/>
      <c r="P4" s="1536"/>
      <c r="Q4" s="1536"/>
      <c r="R4" s="1536"/>
      <c r="S4" s="1536"/>
      <c r="T4" s="1536"/>
      <c r="U4" s="438"/>
    </row>
    <row r="5" spans="2:3" ht="13.5" thickBot="1">
      <c r="B5" s="439"/>
      <c r="C5" s="439"/>
    </row>
    <row r="6" spans="1:27" s="441" customFormat="1" ht="41.25" customHeight="1" thickBot="1">
      <c r="A6" s="440" t="s">
        <v>2</v>
      </c>
      <c r="B6" s="1539" t="s">
        <v>141</v>
      </c>
      <c r="C6" s="1539"/>
      <c r="D6" s="1541" t="s">
        <v>5</v>
      </c>
      <c r="E6" s="1542"/>
      <c r="F6" s="1542"/>
      <c r="G6" s="1542"/>
      <c r="H6" s="1542"/>
      <c r="I6" s="1542"/>
      <c r="J6" s="1542"/>
      <c r="K6" s="1543"/>
      <c r="L6" s="1541" t="s">
        <v>317</v>
      </c>
      <c r="M6" s="1542"/>
      <c r="N6" s="1542"/>
      <c r="O6" s="1542"/>
      <c r="P6" s="1542"/>
      <c r="Q6" s="1542"/>
      <c r="R6" s="1542"/>
      <c r="S6" s="1543"/>
      <c r="T6" s="1541" t="s">
        <v>318</v>
      </c>
      <c r="U6" s="1542"/>
      <c r="V6" s="1542"/>
      <c r="W6" s="1542"/>
      <c r="X6" s="1542"/>
      <c r="Y6" s="1542"/>
      <c r="Z6" s="1542"/>
      <c r="AA6" s="1543"/>
    </row>
    <row r="7" spans="1:28" s="441" customFormat="1" ht="27" customHeight="1" thickBot="1">
      <c r="A7" s="442"/>
      <c r="B7" s="443"/>
      <c r="C7" s="443"/>
      <c r="D7" s="1097" t="s">
        <v>9</v>
      </c>
      <c r="E7" s="1097" t="s">
        <v>143</v>
      </c>
      <c r="F7" s="1097" t="s">
        <v>144</v>
      </c>
      <c r="G7" s="1097" t="s">
        <v>319</v>
      </c>
      <c r="H7" s="1097" t="s">
        <v>303</v>
      </c>
      <c r="I7" s="1097" t="s">
        <v>320</v>
      </c>
      <c r="J7" s="1097" t="s">
        <v>143</v>
      </c>
      <c r="K7" s="1097" t="s">
        <v>144</v>
      </c>
      <c r="L7" s="1097" t="s">
        <v>9</v>
      </c>
      <c r="M7" s="1097" t="s">
        <v>321</v>
      </c>
      <c r="N7" s="1097" t="s">
        <v>144</v>
      </c>
      <c r="O7" s="1097" t="s">
        <v>319</v>
      </c>
      <c r="P7" s="1097" t="s">
        <v>303</v>
      </c>
      <c r="Q7" s="1097" t="s">
        <v>320</v>
      </c>
      <c r="R7" s="1097" t="s">
        <v>504</v>
      </c>
      <c r="S7" s="1097" t="s">
        <v>144</v>
      </c>
      <c r="T7" s="1097" t="s">
        <v>9</v>
      </c>
      <c r="U7" s="1097" t="s">
        <v>143</v>
      </c>
      <c r="V7" s="1097" t="s">
        <v>144</v>
      </c>
      <c r="W7" s="1097" t="s">
        <v>319</v>
      </c>
      <c r="X7" s="1097" t="s">
        <v>303</v>
      </c>
      <c r="Y7" s="1097" t="s">
        <v>320</v>
      </c>
      <c r="Z7" s="1097" t="s">
        <v>517</v>
      </c>
      <c r="AA7" s="1097" t="s">
        <v>144</v>
      </c>
      <c r="AB7" s="1096"/>
    </row>
    <row r="8" spans="1:27" s="441" customFormat="1" ht="27" customHeight="1" thickBot="1">
      <c r="A8" s="440">
        <v>1</v>
      </c>
      <c r="B8" s="1537" t="s">
        <v>489</v>
      </c>
      <c r="C8" s="1538"/>
      <c r="D8" s="799">
        <v>139700</v>
      </c>
      <c r="E8" s="704"/>
      <c r="F8" s="704"/>
      <c r="G8" s="704"/>
      <c r="H8" s="704"/>
      <c r="I8" s="705"/>
      <c r="J8" s="799">
        <v>139700</v>
      </c>
      <c r="K8" s="799">
        <v>139700</v>
      </c>
      <c r="L8" s="799">
        <v>139700</v>
      </c>
      <c r="M8" s="450"/>
      <c r="N8" s="451"/>
      <c r="O8" s="451"/>
      <c r="P8" s="451"/>
      <c r="Q8" s="452"/>
      <c r="R8" s="799">
        <v>139700</v>
      </c>
      <c r="S8" s="799">
        <v>139700</v>
      </c>
      <c r="T8" s="453"/>
      <c r="U8" s="446"/>
      <c r="V8" s="444"/>
      <c r="W8" s="445"/>
      <c r="X8" s="446"/>
      <c r="Y8" s="802"/>
      <c r="Z8" s="978"/>
      <c r="AA8" s="978"/>
    </row>
    <row r="9" spans="1:27" s="441" customFormat="1" ht="19.5" customHeight="1" thickBot="1">
      <c r="A9" s="447">
        <v>2</v>
      </c>
      <c r="B9" s="1528" t="s">
        <v>322</v>
      </c>
      <c r="C9" s="1528"/>
      <c r="D9" s="800">
        <v>488950</v>
      </c>
      <c r="E9" s="797"/>
      <c r="F9" s="449"/>
      <c r="G9" s="449"/>
      <c r="H9" s="449"/>
      <c r="I9" s="449"/>
      <c r="J9" s="800">
        <v>618950</v>
      </c>
      <c r="K9" s="800">
        <v>618950</v>
      </c>
      <c r="L9" s="800">
        <v>488950</v>
      </c>
      <c r="M9" s="803"/>
      <c r="N9" s="804"/>
      <c r="O9" s="804"/>
      <c r="P9" s="804"/>
      <c r="Q9" s="805"/>
      <c r="R9" s="800">
        <v>618950</v>
      </c>
      <c r="S9" s="800">
        <v>618950</v>
      </c>
      <c r="T9" s="449"/>
      <c r="U9" s="806"/>
      <c r="V9" s="807"/>
      <c r="W9" s="808"/>
      <c r="X9" s="806"/>
      <c r="Y9" s="809"/>
      <c r="Z9" s="978"/>
      <c r="AA9" s="978"/>
    </row>
    <row r="10" spans="1:27" s="441" customFormat="1" ht="19.5" customHeight="1" thickBot="1">
      <c r="A10" s="447">
        <v>3</v>
      </c>
      <c r="B10" s="454" t="s">
        <v>323</v>
      </c>
      <c r="C10" s="454"/>
      <c r="D10" s="800">
        <v>578612</v>
      </c>
      <c r="E10" s="797"/>
      <c r="F10" s="449"/>
      <c r="G10" s="449"/>
      <c r="H10" s="449"/>
      <c r="I10" s="449"/>
      <c r="J10" s="800">
        <v>578612</v>
      </c>
      <c r="K10" s="800">
        <v>578612</v>
      </c>
      <c r="L10" s="800">
        <v>578612</v>
      </c>
      <c r="M10" s="803"/>
      <c r="N10" s="804"/>
      <c r="O10" s="804"/>
      <c r="P10" s="804"/>
      <c r="Q10" s="805"/>
      <c r="R10" s="800">
        <v>578612</v>
      </c>
      <c r="S10" s="800">
        <v>578612</v>
      </c>
      <c r="T10" s="449"/>
      <c r="U10" s="806"/>
      <c r="V10" s="807"/>
      <c r="W10" s="808"/>
      <c r="X10" s="806"/>
      <c r="Y10" s="809"/>
      <c r="Z10" s="978"/>
      <c r="AA10" s="978"/>
    </row>
    <row r="11" spans="1:27" s="441" customFormat="1" ht="19.5" customHeight="1" thickBot="1">
      <c r="A11" s="447">
        <v>4</v>
      </c>
      <c r="B11" s="1529" t="s">
        <v>324</v>
      </c>
      <c r="C11" s="1529"/>
      <c r="D11" s="800">
        <v>3359620</v>
      </c>
      <c r="E11" s="797"/>
      <c r="F11" s="449"/>
      <c r="G11" s="449"/>
      <c r="H11" s="449"/>
      <c r="I11" s="449"/>
      <c r="J11" s="800">
        <v>3359620</v>
      </c>
      <c r="K11" s="800">
        <f>3359620+859971</f>
        <v>4219591</v>
      </c>
      <c r="L11" s="800">
        <v>3359620</v>
      </c>
      <c r="M11" s="803"/>
      <c r="N11" s="804"/>
      <c r="O11" s="804"/>
      <c r="P11" s="804"/>
      <c r="Q11" s="805"/>
      <c r="R11" s="800">
        <v>3359620</v>
      </c>
      <c r="S11" s="800">
        <f>3359620+859971</f>
        <v>4219591</v>
      </c>
      <c r="T11" s="449"/>
      <c r="U11" s="806"/>
      <c r="V11" s="807"/>
      <c r="W11" s="808"/>
      <c r="X11" s="806"/>
      <c r="Y11" s="809"/>
      <c r="Z11" s="978"/>
      <c r="AA11" s="978"/>
    </row>
    <row r="12" spans="1:27" s="441" customFormat="1" ht="19.5" customHeight="1" thickBot="1">
      <c r="A12" s="447">
        <v>5</v>
      </c>
      <c r="B12" s="1529" t="s">
        <v>325</v>
      </c>
      <c r="C12" s="1529"/>
      <c r="D12" s="800">
        <v>1645056</v>
      </c>
      <c r="E12" s="797"/>
      <c r="F12" s="449"/>
      <c r="G12" s="449"/>
      <c r="H12" s="449"/>
      <c r="I12" s="449"/>
      <c r="J12" s="800">
        <v>1645056</v>
      </c>
      <c r="K12" s="800">
        <v>1645056</v>
      </c>
      <c r="L12" s="800"/>
      <c r="M12" s="803"/>
      <c r="N12" s="804"/>
      <c r="O12" s="804"/>
      <c r="P12" s="804"/>
      <c r="Q12" s="805"/>
      <c r="R12" s="800"/>
      <c r="S12" s="800"/>
      <c r="T12" s="448">
        <v>1645056</v>
      </c>
      <c r="U12" s="806"/>
      <c r="V12" s="807"/>
      <c r="W12" s="808"/>
      <c r="X12" s="806"/>
      <c r="Y12" s="809"/>
      <c r="Z12" s="978">
        <v>1645056</v>
      </c>
      <c r="AA12" s="800">
        <v>1645056</v>
      </c>
    </row>
    <row r="13" spans="1:27" s="441" customFormat="1" ht="19.5" customHeight="1" thickBot="1">
      <c r="A13" s="447">
        <v>6</v>
      </c>
      <c r="B13" s="1529" t="s">
        <v>326</v>
      </c>
      <c r="C13" s="1529"/>
      <c r="D13" s="800">
        <v>254000</v>
      </c>
      <c r="E13" s="797"/>
      <c r="F13" s="449"/>
      <c r="G13" s="449"/>
      <c r="H13" s="449"/>
      <c r="I13" s="449"/>
      <c r="J13" s="800">
        <v>467180</v>
      </c>
      <c r="K13" s="800">
        <v>467180</v>
      </c>
      <c r="L13" s="800">
        <v>254000</v>
      </c>
      <c r="M13" s="803"/>
      <c r="N13" s="804"/>
      <c r="O13" s="804"/>
      <c r="P13" s="804"/>
      <c r="Q13" s="805"/>
      <c r="R13" s="800">
        <v>467180</v>
      </c>
      <c r="S13" s="800">
        <v>467180</v>
      </c>
      <c r="T13" s="449"/>
      <c r="U13" s="806"/>
      <c r="V13" s="807"/>
      <c r="W13" s="808"/>
      <c r="X13" s="806"/>
      <c r="Y13" s="809"/>
      <c r="Z13" s="978"/>
      <c r="AA13" s="978"/>
    </row>
    <row r="14" spans="1:27" s="441" customFormat="1" ht="19.5" customHeight="1" thickBot="1">
      <c r="A14" s="447">
        <v>7</v>
      </c>
      <c r="B14" s="1530" t="s">
        <v>327</v>
      </c>
      <c r="C14" s="1530"/>
      <c r="D14" s="801">
        <v>94000</v>
      </c>
      <c r="E14" s="798"/>
      <c r="F14" s="455"/>
      <c r="G14" s="455"/>
      <c r="H14" s="455"/>
      <c r="I14" s="456"/>
      <c r="J14" s="801">
        <v>94000</v>
      </c>
      <c r="K14" s="801">
        <v>94000</v>
      </c>
      <c r="L14" s="801">
        <v>94000</v>
      </c>
      <c r="M14" s="810"/>
      <c r="N14" s="811"/>
      <c r="O14" s="811"/>
      <c r="P14" s="811"/>
      <c r="Q14" s="812"/>
      <c r="R14" s="801">
        <v>94000</v>
      </c>
      <c r="S14" s="801">
        <v>94000</v>
      </c>
      <c r="T14" s="455"/>
      <c r="U14" s="806"/>
      <c r="V14" s="807"/>
      <c r="W14" s="808"/>
      <c r="X14" s="806"/>
      <c r="Y14" s="809"/>
      <c r="Z14" s="978"/>
      <c r="AA14" s="978"/>
    </row>
    <row r="15" spans="1:27" s="441" customFormat="1" ht="19.5" customHeight="1" thickBot="1">
      <c r="A15" s="447">
        <v>8</v>
      </c>
      <c r="B15" s="1529" t="s">
        <v>328</v>
      </c>
      <c r="C15" s="1529"/>
      <c r="D15" s="801">
        <v>1544320</v>
      </c>
      <c r="E15" s="798"/>
      <c r="F15" s="455"/>
      <c r="G15" s="455"/>
      <c r="H15" s="455"/>
      <c r="I15" s="456"/>
      <c r="J15" s="801">
        <v>1544320</v>
      </c>
      <c r="K15" s="801">
        <v>1544320</v>
      </c>
      <c r="L15" s="801">
        <v>1544320</v>
      </c>
      <c r="M15" s="803"/>
      <c r="N15" s="804"/>
      <c r="O15" s="804"/>
      <c r="P15" s="804"/>
      <c r="Q15" s="805"/>
      <c r="R15" s="801">
        <v>1544320</v>
      </c>
      <c r="S15" s="801">
        <v>1544320</v>
      </c>
      <c r="T15" s="449"/>
      <c r="U15" s="806"/>
      <c r="V15" s="807"/>
      <c r="W15" s="808"/>
      <c r="X15" s="806"/>
      <c r="Y15" s="809"/>
      <c r="Z15" s="978"/>
      <c r="AA15" s="978"/>
    </row>
    <row r="16" spans="1:27" ht="19.5" customHeight="1" thickBot="1">
      <c r="A16" s="457">
        <v>9</v>
      </c>
      <c r="B16" s="458" t="s">
        <v>329</v>
      </c>
      <c r="C16" s="459"/>
      <c r="D16" s="801">
        <v>635000</v>
      </c>
      <c r="E16" s="798"/>
      <c r="F16" s="455"/>
      <c r="G16" s="455"/>
      <c r="H16" s="455"/>
      <c r="I16" s="456"/>
      <c r="J16" s="801">
        <v>635000</v>
      </c>
      <c r="K16" s="801">
        <v>635000</v>
      </c>
      <c r="L16" s="801">
        <v>635000</v>
      </c>
      <c r="M16" s="810"/>
      <c r="N16" s="811"/>
      <c r="O16" s="811"/>
      <c r="P16" s="811"/>
      <c r="Q16" s="812"/>
      <c r="R16" s="801">
        <v>635000</v>
      </c>
      <c r="S16" s="801">
        <v>635000</v>
      </c>
      <c r="T16" s="455"/>
      <c r="U16" s="810"/>
      <c r="V16" s="811"/>
      <c r="W16" s="813"/>
      <c r="X16" s="810"/>
      <c r="Y16" s="814"/>
      <c r="Z16" s="977"/>
      <c r="AA16" s="977"/>
    </row>
    <row r="17" spans="1:27" ht="19.5" customHeight="1" thickBot="1">
      <c r="A17" s="457">
        <v>10</v>
      </c>
      <c r="B17" s="1529" t="s">
        <v>330</v>
      </c>
      <c r="C17" s="1529"/>
      <c r="D17" s="801">
        <v>3506203</v>
      </c>
      <c r="E17" s="798"/>
      <c r="F17" s="455"/>
      <c r="G17" s="455"/>
      <c r="H17" s="455"/>
      <c r="I17" s="456"/>
      <c r="J17" s="801">
        <v>3506203</v>
      </c>
      <c r="K17" s="801">
        <f>3506203+41752</f>
        <v>3547955</v>
      </c>
      <c r="L17" s="801">
        <v>3506203</v>
      </c>
      <c r="M17" s="810"/>
      <c r="N17" s="811"/>
      <c r="O17" s="811"/>
      <c r="P17" s="811"/>
      <c r="Q17" s="812"/>
      <c r="R17" s="801">
        <v>3506203</v>
      </c>
      <c r="S17" s="801">
        <f>3506203+41752</f>
        <v>3547955</v>
      </c>
      <c r="T17" s="455"/>
      <c r="U17" s="810"/>
      <c r="V17" s="811"/>
      <c r="W17" s="813"/>
      <c r="X17" s="810"/>
      <c r="Y17" s="814"/>
      <c r="Z17" s="977"/>
      <c r="AA17" s="977"/>
    </row>
    <row r="18" spans="1:27" ht="19.5" customHeight="1" thickBot="1">
      <c r="A18" s="457">
        <v>11</v>
      </c>
      <c r="B18" s="1529" t="s">
        <v>331</v>
      </c>
      <c r="C18" s="1529"/>
      <c r="D18" s="801">
        <v>4279350</v>
      </c>
      <c r="E18" s="798"/>
      <c r="F18" s="455"/>
      <c r="G18" s="455"/>
      <c r="H18" s="455"/>
      <c r="I18" s="456"/>
      <c r="J18" s="801">
        <v>4279350</v>
      </c>
      <c r="K18" s="801">
        <v>4279350</v>
      </c>
      <c r="L18" s="801">
        <v>4279350</v>
      </c>
      <c r="M18" s="810"/>
      <c r="N18" s="811"/>
      <c r="O18" s="811"/>
      <c r="P18" s="811"/>
      <c r="Q18" s="812"/>
      <c r="R18" s="801">
        <v>4279350</v>
      </c>
      <c r="S18" s="801">
        <v>4279350</v>
      </c>
      <c r="T18" s="455"/>
      <c r="U18" s="810"/>
      <c r="V18" s="811"/>
      <c r="W18" s="813"/>
      <c r="X18" s="810"/>
      <c r="Y18" s="814"/>
      <c r="Z18" s="977"/>
      <c r="AA18" s="977"/>
    </row>
    <row r="19" spans="1:27" ht="19.5" customHeight="1" thickBot="1">
      <c r="A19" s="457">
        <v>12</v>
      </c>
      <c r="B19" s="1529" t="s">
        <v>332</v>
      </c>
      <c r="C19" s="1529"/>
      <c r="D19" s="801">
        <v>7000</v>
      </c>
      <c r="E19" s="798"/>
      <c r="F19" s="455"/>
      <c r="G19" s="455"/>
      <c r="H19" s="455"/>
      <c r="I19" s="456"/>
      <c r="J19" s="801">
        <v>7000</v>
      </c>
      <c r="K19" s="801">
        <v>7000</v>
      </c>
      <c r="L19" s="801">
        <v>7000</v>
      </c>
      <c r="M19" s="810"/>
      <c r="N19" s="811"/>
      <c r="O19" s="811"/>
      <c r="P19" s="811"/>
      <c r="Q19" s="812"/>
      <c r="R19" s="801">
        <v>7000</v>
      </c>
      <c r="S19" s="801">
        <v>7000</v>
      </c>
      <c r="T19" s="455"/>
      <c r="U19" s="810"/>
      <c r="V19" s="811"/>
      <c r="W19" s="813"/>
      <c r="X19" s="810"/>
      <c r="Y19" s="814"/>
      <c r="Z19" s="977"/>
      <c r="AA19" s="977"/>
    </row>
    <row r="20" spans="1:27" ht="19.5" customHeight="1" thickBot="1">
      <c r="A20" s="457">
        <v>13</v>
      </c>
      <c r="B20" s="1540" t="s">
        <v>333</v>
      </c>
      <c r="C20" s="1540"/>
      <c r="D20" s="801">
        <v>565150</v>
      </c>
      <c r="E20" s="798"/>
      <c r="F20" s="455"/>
      <c r="G20" s="455"/>
      <c r="H20" s="455"/>
      <c r="I20" s="456"/>
      <c r="J20" s="801">
        <v>565150</v>
      </c>
      <c r="K20" s="801">
        <v>565150</v>
      </c>
      <c r="L20" s="801">
        <v>565150</v>
      </c>
      <c r="M20" s="810"/>
      <c r="N20" s="811"/>
      <c r="O20" s="811"/>
      <c r="P20" s="811"/>
      <c r="Q20" s="812"/>
      <c r="R20" s="801">
        <v>565150</v>
      </c>
      <c r="S20" s="801">
        <v>565150</v>
      </c>
      <c r="T20" s="455"/>
      <c r="U20" s="810"/>
      <c r="V20" s="811"/>
      <c r="W20" s="813"/>
      <c r="X20" s="810"/>
      <c r="Y20" s="814"/>
      <c r="Z20" s="977"/>
      <c r="AA20" s="977"/>
    </row>
    <row r="21" spans="1:27" ht="19.5" customHeight="1" thickBot="1">
      <c r="A21" s="457">
        <v>14</v>
      </c>
      <c r="B21" s="1540" t="s">
        <v>334</v>
      </c>
      <c r="C21" s="1540"/>
      <c r="D21" s="801">
        <v>1206500</v>
      </c>
      <c r="E21" s="798"/>
      <c r="F21" s="455"/>
      <c r="G21" s="455"/>
      <c r="H21" s="455"/>
      <c r="I21" s="456"/>
      <c r="J21" s="801">
        <v>1080500</v>
      </c>
      <c r="K21" s="801">
        <v>1080500</v>
      </c>
      <c r="L21" s="801">
        <v>1206500</v>
      </c>
      <c r="M21" s="810"/>
      <c r="N21" s="811"/>
      <c r="O21" s="811"/>
      <c r="P21" s="811"/>
      <c r="Q21" s="812"/>
      <c r="R21" s="801">
        <v>1080500</v>
      </c>
      <c r="S21" s="801">
        <v>1080500</v>
      </c>
      <c r="T21" s="455"/>
      <c r="U21" s="810"/>
      <c r="V21" s="811"/>
      <c r="W21" s="813"/>
      <c r="X21" s="810"/>
      <c r="Y21" s="814"/>
      <c r="Z21" s="977"/>
      <c r="AA21" s="977"/>
    </row>
    <row r="22" spans="1:27" ht="19.5" customHeight="1" thickBot="1">
      <c r="A22" s="457">
        <v>15</v>
      </c>
      <c r="B22" s="1531" t="s">
        <v>518</v>
      </c>
      <c r="C22" s="1532"/>
      <c r="D22" s="976"/>
      <c r="E22" s="976"/>
      <c r="F22" s="976"/>
      <c r="G22" s="976"/>
      <c r="H22" s="976"/>
      <c r="I22" s="976"/>
      <c r="J22" s="976">
        <v>126000</v>
      </c>
      <c r="K22" s="976">
        <v>126000</v>
      </c>
      <c r="L22" s="976"/>
      <c r="M22" s="810"/>
      <c r="N22" s="811"/>
      <c r="O22" s="811"/>
      <c r="P22" s="811"/>
      <c r="Q22" s="813"/>
      <c r="R22" s="976">
        <v>126000</v>
      </c>
      <c r="S22" s="976">
        <v>126000</v>
      </c>
      <c r="T22" s="455"/>
      <c r="U22" s="810"/>
      <c r="V22" s="811"/>
      <c r="W22" s="813"/>
      <c r="X22" s="810"/>
      <c r="Y22" s="814"/>
      <c r="Z22" s="977"/>
      <c r="AA22" s="977"/>
    </row>
    <row r="23" spans="1:27" ht="19.5" customHeight="1" hidden="1" thickBot="1">
      <c r="A23" s="1084"/>
      <c r="B23" s="1085"/>
      <c r="C23" s="1086"/>
      <c r="D23" s="1087"/>
      <c r="E23" s="1088"/>
      <c r="F23" s="1087"/>
      <c r="G23" s="1087"/>
      <c r="H23" s="1087"/>
      <c r="I23" s="1087"/>
      <c r="J23" s="1087"/>
      <c r="K23" s="1087"/>
      <c r="L23" s="1087"/>
      <c r="M23" s="1089"/>
      <c r="N23" s="1089"/>
      <c r="O23" s="1089"/>
      <c r="P23" s="1089"/>
      <c r="Q23" s="1090"/>
      <c r="R23" s="1087"/>
      <c r="S23" s="1087"/>
      <c r="T23" s="1091"/>
      <c r="U23" s="1089"/>
      <c r="V23" s="1092"/>
      <c r="W23" s="1093"/>
      <c r="X23" s="1089"/>
      <c r="Y23" s="1094"/>
      <c r="Z23" s="1095"/>
      <c r="AA23" s="1095"/>
    </row>
    <row r="24" spans="1:27" ht="27" customHeight="1" thickBot="1">
      <c r="A24" s="460"/>
      <c r="B24" s="1527" t="s">
        <v>309</v>
      </c>
      <c r="C24" s="1527"/>
      <c r="D24" s="975">
        <f aca="true" t="shared" si="0" ref="D24:R24">SUM(D8:D22)</f>
        <v>18303461</v>
      </c>
      <c r="E24" s="975">
        <f t="shared" si="0"/>
        <v>0</v>
      </c>
      <c r="F24" s="975">
        <f t="shared" si="0"/>
        <v>0</v>
      </c>
      <c r="G24" s="975">
        <f t="shared" si="0"/>
        <v>0</v>
      </c>
      <c r="H24" s="975">
        <f t="shared" si="0"/>
        <v>0</v>
      </c>
      <c r="I24" s="975">
        <f t="shared" si="0"/>
        <v>0</v>
      </c>
      <c r="J24" s="975">
        <f t="shared" si="0"/>
        <v>18646641</v>
      </c>
      <c r="K24" s="975">
        <f t="shared" si="0"/>
        <v>19548364</v>
      </c>
      <c r="L24" s="975">
        <f t="shared" si="0"/>
        <v>16658405</v>
      </c>
      <c r="M24" s="975">
        <f t="shared" si="0"/>
        <v>0</v>
      </c>
      <c r="N24" s="975">
        <f t="shared" si="0"/>
        <v>0</v>
      </c>
      <c r="O24" s="975">
        <f t="shared" si="0"/>
        <v>0</v>
      </c>
      <c r="P24" s="975">
        <f t="shared" si="0"/>
        <v>0</v>
      </c>
      <c r="Q24" s="975">
        <f t="shared" si="0"/>
        <v>0</v>
      </c>
      <c r="R24" s="975">
        <f t="shared" si="0"/>
        <v>17001585</v>
      </c>
      <c r="S24" s="975">
        <f>SUM(S8:S22)</f>
        <v>17903308</v>
      </c>
      <c r="T24" s="975">
        <f aca="true" t="shared" si="1" ref="T24:Z24">SUM(T8:T22)</f>
        <v>1645056</v>
      </c>
      <c r="U24" s="975">
        <f t="shared" si="1"/>
        <v>0</v>
      </c>
      <c r="V24" s="975">
        <f t="shared" si="1"/>
        <v>0</v>
      </c>
      <c r="W24" s="975">
        <f t="shared" si="1"/>
        <v>0</v>
      </c>
      <c r="X24" s="975">
        <f t="shared" si="1"/>
        <v>0</v>
      </c>
      <c r="Y24" s="975">
        <f t="shared" si="1"/>
        <v>0</v>
      </c>
      <c r="Z24" s="975">
        <f t="shared" si="1"/>
        <v>1645056</v>
      </c>
      <c r="AA24" s="975">
        <f>SUM(AA8:AA22)</f>
        <v>1645056</v>
      </c>
    </row>
  </sheetData>
  <sheetProtection selectLockedCells="1" selectUnlockedCells="1"/>
  <mergeCells count="22">
    <mergeCell ref="B20:C20"/>
    <mergeCell ref="B21:C21"/>
    <mergeCell ref="B17:C17"/>
    <mergeCell ref="D6:K6"/>
    <mergeCell ref="L6:S6"/>
    <mergeCell ref="T6:AA6"/>
    <mergeCell ref="L1:T1"/>
    <mergeCell ref="A2:T2"/>
    <mergeCell ref="A3:T3"/>
    <mergeCell ref="A4:T4"/>
    <mergeCell ref="B8:C8"/>
    <mergeCell ref="B6:C6"/>
    <mergeCell ref="B24:C24"/>
    <mergeCell ref="B9:C9"/>
    <mergeCell ref="B11:C11"/>
    <mergeCell ref="B12:C12"/>
    <mergeCell ref="B13:C13"/>
    <mergeCell ref="B14:C14"/>
    <mergeCell ref="B15:C15"/>
    <mergeCell ref="B22:C22"/>
    <mergeCell ref="B18:C18"/>
    <mergeCell ref="B19:C19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75" zoomScaleNormal="75" zoomScalePageLayoutView="0" workbookViewId="0" topLeftCell="A1">
      <selection activeCell="Z35" sqref="Z35"/>
    </sheetView>
  </sheetViews>
  <sheetFormatPr defaultColWidth="9.140625" defaultRowHeight="12.75"/>
  <cols>
    <col min="1" max="1" width="40.00390625" style="222" customWidth="1"/>
    <col min="2" max="2" width="9.7109375" style="222" customWidth="1"/>
    <col min="3" max="3" width="10.8515625" style="251" customWidth="1"/>
    <col min="4" max="7" width="0" style="251" hidden="1" customWidth="1"/>
    <col min="8" max="9" width="12.28125" style="251" customWidth="1"/>
    <col min="10" max="10" width="13.140625" style="251" customWidth="1"/>
    <col min="11" max="14" width="0" style="251" hidden="1" customWidth="1"/>
    <col min="15" max="16" width="13.7109375" style="251" customWidth="1"/>
    <col min="17" max="17" width="14.140625" style="251" customWidth="1"/>
    <col min="18" max="21" width="0" style="222" hidden="1" customWidth="1"/>
    <col min="22" max="22" width="14.140625" style="222" customWidth="1"/>
    <col min="23" max="23" width="11.57421875" style="222" customWidth="1"/>
    <col min="24" max="24" width="13.28125" style="222" customWidth="1"/>
    <col min="25" max="25" width="15.57421875" style="222" customWidth="1"/>
    <col min="26" max="16384" width="9.140625" style="222" customWidth="1"/>
  </cols>
  <sheetData>
    <row r="1" spans="3:17" ht="24.75" customHeight="1">
      <c r="C1" s="13"/>
      <c r="J1" s="1568" t="s">
        <v>335</v>
      </c>
      <c r="K1" s="1568"/>
      <c r="L1" s="1568"/>
      <c r="M1" s="1568"/>
      <c r="N1" s="1568"/>
      <c r="O1" s="1568"/>
      <c r="P1" s="1568"/>
      <c r="Q1" s="1568"/>
    </row>
    <row r="2" spans="1:17" ht="37.5" customHeight="1">
      <c r="A2" s="1546" t="s">
        <v>156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546"/>
    </row>
    <row r="3" spans="1:17" ht="18.75" customHeight="1">
      <c r="A3" s="1569" t="s">
        <v>486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  <c r="P3" s="1569"/>
      <c r="Q3" s="1569"/>
    </row>
    <row r="4" spans="1:17" ht="15.75" customHeight="1">
      <c r="A4" s="1570" t="s">
        <v>336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</row>
    <row r="5" spans="1:17" ht="19.5" thickBot="1">
      <c r="A5" s="461"/>
      <c r="B5" s="461"/>
      <c r="Q5" s="462" t="s">
        <v>481</v>
      </c>
    </row>
    <row r="6" spans="1:23" ht="19.5" customHeight="1" thickBot="1">
      <c r="A6" s="1544" t="s">
        <v>337</v>
      </c>
      <c r="B6" s="1545" t="s">
        <v>338</v>
      </c>
      <c r="C6" s="1547" t="s">
        <v>5</v>
      </c>
      <c r="D6" s="1548"/>
      <c r="E6" s="1548"/>
      <c r="F6" s="1548"/>
      <c r="G6" s="1548"/>
      <c r="H6" s="1548"/>
      <c r="I6" s="1562"/>
      <c r="J6" s="1547" t="s">
        <v>339</v>
      </c>
      <c r="K6" s="1548"/>
      <c r="L6" s="1548"/>
      <c r="M6" s="1548"/>
      <c r="N6" s="1548"/>
      <c r="O6" s="1548"/>
      <c r="P6" s="1562"/>
      <c r="Q6" s="1556" t="s">
        <v>340</v>
      </c>
      <c r="R6" s="1557"/>
      <c r="S6" s="1557"/>
      <c r="T6" s="1557"/>
      <c r="U6" s="1557"/>
      <c r="V6" s="1557"/>
      <c r="W6" s="1558"/>
    </row>
    <row r="7" spans="1:23" ht="12.75" customHeight="1" thickBot="1" thickTop="1">
      <c r="A7" s="1544"/>
      <c r="B7" s="1545"/>
      <c r="C7" s="1550"/>
      <c r="D7" s="1551"/>
      <c r="E7" s="1551"/>
      <c r="F7" s="1551"/>
      <c r="G7" s="1551"/>
      <c r="H7" s="1551"/>
      <c r="I7" s="1563"/>
      <c r="J7" s="1550"/>
      <c r="K7" s="1551"/>
      <c r="L7" s="1551"/>
      <c r="M7" s="1551"/>
      <c r="N7" s="1551"/>
      <c r="O7" s="1551"/>
      <c r="P7" s="1563"/>
      <c r="Q7" s="1559"/>
      <c r="R7" s="1560"/>
      <c r="S7" s="1560"/>
      <c r="T7" s="1560"/>
      <c r="U7" s="1560"/>
      <c r="V7" s="1560"/>
      <c r="W7" s="1561"/>
    </row>
    <row r="8" spans="1:23" ht="20.25" customHeight="1" thickBot="1" thickTop="1">
      <c r="A8" s="1544"/>
      <c r="B8" s="1545"/>
      <c r="C8" s="1553"/>
      <c r="D8" s="1554"/>
      <c r="E8" s="1554"/>
      <c r="F8" s="1554"/>
      <c r="G8" s="1554"/>
      <c r="H8" s="1554"/>
      <c r="I8" s="1564"/>
      <c r="J8" s="1553"/>
      <c r="K8" s="1554"/>
      <c r="L8" s="1554"/>
      <c r="M8" s="1554"/>
      <c r="N8" s="1554"/>
      <c r="O8" s="1554"/>
      <c r="P8" s="1564"/>
      <c r="Q8" s="1559"/>
      <c r="R8" s="1560"/>
      <c r="S8" s="1560"/>
      <c r="T8" s="1560"/>
      <c r="U8" s="1560"/>
      <c r="V8" s="1560"/>
      <c r="W8" s="1561"/>
    </row>
    <row r="9" spans="1:23" ht="57.75" hidden="1" thickBot="1" thickTop="1">
      <c r="A9" s="463"/>
      <c r="B9" s="464"/>
      <c r="C9" s="465" t="s">
        <v>9</v>
      </c>
      <c r="D9" s="465" t="s">
        <v>321</v>
      </c>
      <c r="E9" s="465" t="s">
        <v>319</v>
      </c>
      <c r="F9" s="466" t="s">
        <v>303</v>
      </c>
      <c r="G9" s="466" t="s">
        <v>310</v>
      </c>
      <c r="H9" s="465"/>
      <c r="I9" s="465"/>
      <c r="J9" s="465" t="s">
        <v>9</v>
      </c>
      <c r="K9" s="465" t="s">
        <v>321</v>
      </c>
      <c r="L9" s="465" t="s">
        <v>319</v>
      </c>
      <c r="M9" s="466" t="s">
        <v>303</v>
      </c>
      <c r="N9" s="466" t="s">
        <v>310</v>
      </c>
      <c r="O9" s="465"/>
      <c r="P9" s="465"/>
      <c r="Q9" s="1100" t="s">
        <v>9</v>
      </c>
      <c r="R9" s="1100" t="s">
        <v>321</v>
      </c>
      <c r="S9" s="1100" t="s">
        <v>319</v>
      </c>
      <c r="T9" s="1100" t="s">
        <v>303</v>
      </c>
      <c r="U9" s="1101" t="s">
        <v>310</v>
      </c>
      <c r="V9" s="1102"/>
      <c r="W9" s="1104"/>
    </row>
    <row r="10" spans="1:23" ht="27" customHeight="1" thickTop="1">
      <c r="A10" s="463"/>
      <c r="B10" s="464"/>
      <c r="C10" s="819" t="s">
        <v>9</v>
      </c>
      <c r="D10" s="819"/>
      <c r="E10" s="819"/>
      <c r="F10" s="821"/>
      <c r="G10" s="821"/>
      <c r="H10" s="819" t="s">
        <v>507</v>
      </c>
      <c r="I10" s="819" t="s">
        <v>576</v>
      </c>
      <c r="J10" s="819" t="s">
        <v>9</v>
      </c>
      <c r="K10" s="819"/>
      <c r="L10" s="819"/>
      <c r="M10" s="819"/>
      <c r="N10" s="819"/>
      <c r="O10" s="819" t="s">
        <v>507</v>
      </c>
      <c r="P10" s="819" t="s">
        <v>576</v>
      </c>
      <c r="Q10" s="466" t="s">
        <v>9</v>
      </c>
      <c r="R10" s="466"/>
      <c r="S10" s="466"/>
      <c r="T10" s="466"/>
      <c r="U10" s="1103"/>
      <c r="V10" s="466" t="s">
        <v>507</v>
      </c>
      <c r="W10" s="1103" t="s">
        <v>576</v>
      </c>
    </row>
    <row r="11" spans="1:23" ht="27" customHeight="1">
      <c r="A11" s="467" t="s">
        <v>341</v>
      </c>
      <c r="B11" s="468" t="s">
        <v>342</v>
      </c>
      <c r="C11" s="469">
        <v>457000</v>
      </c>
      <c r="D11" s="469"/>
      <c r="E11" s="469"/>
      <c r="F11" s="470"/>
      <c r="G11" s="471"/>
      <c r="H11" s="469">
        <v>457000</v>
      </c>
      <c r="I11" s="469">
        <v>457000</v>
      </c>
      <c r="J11" s="469"/>
      <c r="K11" s="469"/>
      <c r="L11" s="469"/>
      <c r="M11" s="469"/>
      <c r="N11" s="472"/>
      <c r="O11" s="472"/>
      <c r="P11" s="817"/>
      <c r="Q11" s="469">
        <v>457000</v>
      </c>
      <c r="R11" s="469"/>
      <c r="S11" s="469"/>
      <c r="T11" s="469"/>
      <c r="U11" s="473"/>
      <c r="V11" s="469">
        <v>457000</v>
      </c>
      <c r="W11" s="1105">
        <v>457000</v>
      </c>
    </row>
    <row r="12" spans="1:23" ht="15.75" customHeight="1" hidden="1">
      <c r="A12" s="467" t="s">
        <v>343</v>
      </c>
      <c r="B12" s="468" t="s">
        <v>342</v>
      </c>
      <c r="C12" s="469"/>
      <c r="D12" s="469"/>
      <c r="E12" s="469"/>
      <c r="F12" s="469"/>
      <c r="G12" s="472"/>
      <c r="H12" s="469"/>
      <c r="I12" s="469"/>
      <c r="J12" s="469"/>
      <c r="K12" s="469"/>
      <c r="L12" s="469"/>
      <c r="M12" s="469"/>
      <c r="N12" s="472"/>
      <c r="O12" s="472"/>
      <c r="P12" s="471"/>
      <c r="Q12" s="469"/>
      <c r="R12" s="469"/>
      <c r="S12" s="469"/>
      <c r="T12" s="469"/>
      <c r="U12" s="473"/>
      <c r="V12" s="469"/>
      <c r="W12" s="1105"/>
    </row>
    <row r="13" spans="1:23" ht="27" customHeight="1" hidden="1">
      <c r="A13" s="467" t="s">
        <v>344</v>
      </c>
      <c r="B13" s="468" t="s">
        <v>342</v>
      </c>
      <c r="C13" s="469"/>
      <c r="D13" s="469"/>
      <c r="E13" s="469"/>
      <c r="F13" s="469"/>
      <c r="G13" s="472"/>
      <c r="H13" s="469"/>
      <c r="I13" s="469"/>
      <c r="J13" s="469"/>
      <c r="K13" s="469"/>
      <c r="L13" s="469"/>
      <c r="M13" s="469"/>
      <c r="N13" s="472"/>
      <c r="O13" s="472"/>
      <c r="P13" s="472"/>
      <c r="Q13" s="469"/>
      <c r="R13" s="469"/>
      <c r="S13" s="469"/>
      <c r="T13" s="469"/>
      <c r="U13" s="473"/>
      <c r="V13" s="469"/>
      <c r="W13" s="1105"/>
    </row>
    <row r="14" spans="1:23" ht="28.5" customHeight="1">
      <c r="A14" s="467" t="s">
        <v>345</v>
      </c>
      <c r="B14" s="468" t="s">
        <v>342</v>
      </c>
      <c r="C14" s="469">
        <v>1311000</v>
      </c>
      <c r="D14" s="469"/>
      <c r="E14" s="469"/>
      <c r="F14" s="469"/>
      <c r="G14" s="472"/>
      <c r="H14" s="469">
        <v>1311000</v>
      </c>
      <c r="I14" s="469">
        <v>1311000</v>
      </c>
      <c r="J14" s="469"/>
      <c r="K14" s="469"/>
      <c r="L14" s="469"/>
      <c r="M14" s="469"/>
      <c r="N14" s="472"/>
      <c r="O14" s="472"/>
      <c r="P14" s="472"/>
      <c r="Q14" s="469">
        <v>1311000</v>
      </c>
      <c r="R14" s="469"/>
      <c r="S14" s="469"/>
      <c r="T14" s="469"/>
      <c r="U14" s="473"/>
      <c r="V14" s="469">
        <v>1311000</v>
      </c>
      <c r="W14" s="1105">
        <v>1311000</v>
      </c>
    </row>
    <row r="15" spans="1:23" ht="32.25" customHeight="1" hidden="1">
      <c r="A15" s="467" t="s">
        <v>346</v>
      </c>
      <c r="B15" s="468" t="s">
        <v>342</v>
      </c>
      <c r="C15" s="469"/>
      <c r="D15" s="469"/>
      <c r="E15" s="469"/>
      <c r="F15" s="469"/>
      <c r="G15" s="472"/>
      <c r="H15" s="469"/>
      <c r="I15" s="469"/>
      <c r="J15" s="469"/>
      <c r="K15" s="469"/>
      <c r="L15" s="469"/>
      <c r="M15" s="469"/>
      <c r="N15" s="472"/>
      <c r="O15" s="472"/>
      <c r="P15" s="472"/>
      <c r="Q15" s="469"/>
      <c r="R15" s="469"/>
      <c r="S15" s="469"/>
      <c r="T15" s="469"/>
      <c r="U15" s="473"/>
      <c r="V15" s="469"/>
      <c r="W15" s="1105"/>
    </row>
    <row r="16" spans="1:23" ht="32.25" customHeight="1" hidden="1">
      <c r="A16" s="467" t="s">
        <v>347</v>
      </c>
      <c r="B16" s="468"/>
      <c r="C16" s="469"/>
      <c r="D16" s="469"/>
      <c r="E16" s="469"/>
      <c r="F16" s="469"/>
      <c r="G16" s="472"/>
      <c r="H16" s="469"/>
      <c r="I16" s="469"/>
      <c r="J16" s="469"/>
      <c r="K16" s="469"/>
      <c r="L16" s="469"/>
      <c r="M16" s="469"/>
      <c r="N16" s="472"/>
      <c r="O16" s="472"/>
      <c r="P16" s="472"/>
      <c r="Q16" s="469"/>
      <c r="R16" s="469"/>
      <c r="S16" s="469"/>
      <c r="T16" s="469"/>
      <c r="U16" s="473"/>
      <c r="V16" s="469"/>
      <c r="W16" s="1105"/>
    </row>
    <row r="17" spans="1:23" ht="33" customHeight="1" thickBot="1">
      <c r="A17" s="467" t="s">
        <v>495</v>
      </c>
      <c r="B17" s="468" t="s">
        <v>342</v>
      </c>
      <c r="C17" s="474">
        <v>220000</v>
      </c>
      <c r="D17" s="474"/>
      <c r="E17" s="474"/>
      <c r="F17" s="474"/>
      <c r="G17" s="472"/>
      <c r="H17" s="474">
        <v>220000</v>
      </c>
      <c r="I17" s="474">
        <v>220000</v>
      </c>
      <c r="J17" s="474"/>
      <c r="K17" s="474"/>
      <c r="L17" s="474"/>
      <c r="M17" s="474"/>
      <c r="N17" s="472"/>
      <c r="O17" s="472"/>
      <c r="P17" s="472"/>
      <c r="Q17" s="474">
        <v>220000</v>
      </c>
      <c r="R17" s="474"/>
      <c r="S17" s="474"/>
      <c r="T17" s="474"/>
      <c r="U17" s="473"/>
      <c r="V17" s="474">
        <v>220000</v>
      </c>
      <c r="W17" s="1106">
        <v>220000</v>
      </c>
    </row>
    <row r="18" spans="1:23" ht="39" customHeight="1" thickBot="1" thickTop="1">
      <c r="A18" s="475" t="s">
        <v>348</v>
      </c>
      <c r="B18" s="476"/>
      <c r="C18" s="815">
        <f>SUM(C11:C17)</f>
        <v>1988000</v>
      </c>
      <c r="D18" s="815"/>
      <c r="E18" s="815"/>
      <c r="F18" s="815"/>
      <c r="G18" s="816"/>
      <c r="H18" s="815">
        <f>SUM(H11:H17)</f>
        <v>1988000</v>
      </c>
      <c r="I18" s="815">
        <f>SUM(I11:I17)</f>
        <v>1988000</v>
      </c>
      <c r="J18" s="815"/>
      <c r="K18" s="815"/>
      <c r="L18" s="815"/>
      <c r="M18" s="815"/>
      <c r="N18" s="816"/>
      <c r="O18" s="816"/>
      <c r="P18" s="816"/>
      <c r="Q18" s="815">
        <f>SUM(Q11:Q17)</f>
        <v>1988000</v>
      </c>
      <c r="R18" s="477">
        <f>SUM(R11:R17)</f>
        <v>0</v>
      </c>
      <c r="S18" s="477">
        <f>SUM(S11:S17)</f>
        <v>0</v>
      </c>
      <c r="T18" s="477"/>
      <c r="U18" s="479"/>
      <c r="V18" s="815">
        <f>SUM(V11:V17)</f>
        <v>1988000</v>
      </c>
      <c r="W18" s="1107">
        <f>SUM(W11:W17)</f>
        <v>1988000</v>
      </c>
    </row>
    <row r="19" spans="1:22" ht="19.5" customHeight="1">
      <c r="A19" s="480"/>
      <c r="B19" s="480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V19" s="482"/>
    </row>
    <row r="20" spans="1:17" ht="28.5" customHeight="1" hidden="1" thickBot="1">
      <c r="A20" s="1546" t="s">
        <v>156</v>
      </c>
      <c r="B20" s="1546"/>
      <c r="C20" s="1546"/>
      <c r="D20" s="1546"/>
      <c r="E20" s="1546"/>
      <c r="F20" s="1546"/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</row>
    <row r="21" spans="1:22" ht="19.5" customHeight="1" hidden="1" thickBot="1">
      <c r="A21" s="1544" t="s">
        <v>337</v>
      </c>
      <c r="B21" s="1545" t="s">
        <v>338</v>
      </c>
      <c r="C21" s="1547" t="s">
        <v>5</v>
      </c>
      <c r="D21" s="1548"/>
      <c r="E21" s="1548"/>
      <c r="F21" s="1548"/>
      <c r="G21" s="1548"/>
      <c r="H21" s="1549"/>
      <c r="I21" s="1075"/>
      <c r="J21" s="1547" t="s">
        <v>339</v>
      </c>
      <c r="K21" s="1548"/>
      <c r="L21" s="1548"/>
      <c r="M21" s="1548"/>
      <c r="N21" s="1548"/>
      <c r="O21" s="1549"/>
      <c r="P21" s="1075"/>
      <c r="Q21" s="1547" t="s">
        <v>340</v>
      </c>
      <c r="R21" s="1548"/>
      <c r="S21" s="1548"/>
      <c r="T21" s="1548"/>
      <c r="U21" s="1548"/>
      <c r="V21" s="1565"/>
    </row>
    <row r="22" spans="1:22" s="483" customFormat="1" ht="19.5" customHeight="1" hidden="1" thickBot="1" thickTop="1">
      <c r="A22" s="1544"/>
      <c r="B22" s="1545"/>
      <c r="C22" s="1550"/>
      <c r="D22" s="1551"/>
      <c r="E22" s="1551"/>
      <c r="F22" s="1551"/>
      <c r="G22" s="1551"/>
      <c r="H22" s="1552"/>
      <c r="I22" s="1098"/>
      <c r="J22" s="1550"/>
      <c r="K22" s="1551"/>
      <c r="L22" s="1551"/>
      <c r="M22" s="1551"/>
      <c r="N22" s="1551"/>
      <c r="O22" s="1552"/>
      <c r="P22" s="1098"/>
      <c r="Q22" s="1550"/>
      <c r="R22" s="1551"/>
      <c r="S22" s="1551"/>
      <c r="T22" s="1551"/>
      <c r="U22" s="1551"/>
      <c r="V22" s="1566"/>
    </row>
    <row r="23" spans="1:22" s="483" customFormat="1" ht="19.5" customHeight="1" hidden="1" thickBot="1" thickTop="1">
      <c r="A23" s="1544"/>
      <c r="B23" s="1545"/>
      <c r="C23" s="1553"/>
      <c r="D23" s="1554"/>
      <c r="E23" s="1554"/>
      <c r="F23" s="1554"/>
      <c r="G23" s="1554"/>
      <c r="H23" s="1555"/>
      <c r="I23" s="1099"/>
      <c r="J23" s="1553"/>
      <c r="K23" s="1554"/>
      <c r="L23" s="1554"/>
      <c r="M23" s="1554"/>
      <c r="N23" s="1554"/>
      <c r="O23" s="1555"/>
      <c r="P23" s="1099"/>
      <c r="Q23" s="1553"/>
      <c r="R23" s="1554"/>
      <c r="S23" s="1554"/>
      <c r="T23" s="1554"/>
      <c r="U23" s="1554"/>
      <c r="V23" s="1567"/>
    </row>
    <row r="24" spans="1:22" s="483" customFormat="1" ht="57.75" customHeight="1" hidden="1">
      <c r="A24" s="484"/>
      <c r="B24" s="485"/>
      <c r="C24" s="466" t="s">
        <v>9</v>
      </c>
      <c r="D24" s="466" t="s">
        <v>321</v>
      </c>
      <c r="E24" s="466" t="s">
        <v>319</v>
      </c>
      <c r="F24" s="466" t="s">
        <v>303</v>
      </c>
      <c r="G24" s="466" t="s">
        <v>310</v>
      </c>
      <c r="H24" s="466"/>
      <c r="I24" s="466"/>
      <c r="J24" s="466" t="s">
        <v>9</v>
      </c>
      <c r="K24" s="466" t="s">
        <v>321</v>
      </c>
      <c r="L24" s="466" t="s">
        <v>319</v>
      </c>
      <c r="M24" s="466" t="s">
        <v>303</v>
      </c>
      <c r="N24" s="466" t="s">
        <v>310</v>
      </c>
      <c r="O24" s="466"/>
      <c r="P24" s="821"/>
      <c r="Q24" s="821" t="s">
        <v>9</v>
      </c>
      <c r="R24" s="821" t="s">
        <v>321</v>
      </c>
      <c r="S24" s="821" t="s">
        <v>319</v>
      </c>
      <c r="T24" s="821" t="s">
        <v>303</v>
      </c>
      <c r="U24" s="824" t="s">
        <v>310</v>
      </c>
      <c r="V24" s="825"/>
    </row>
    <row r="25" spans="1:22" s="483" customFormat="1" ht="31.5" customHeight="1" hidden="1" thickTop="1">
      <c r="A25" s="822"/>
      <c r="B25" s="823"/>
      <c r="C25" s="821" t="s">
        <v>9</v>
      </c>
      <c r="D25" s="821"/>
      <c r="E25" s="821"/>
      <c r="F25" s="821"/>
      <c r="G25" s="821"/>
      <c r="H25" s="821" t="s">
        <v>507</v>
      </c>
      <c r="I25" s="821"/>
      <c r="J25" s="821" t="s">
        <v>9</v>
      </c>
      <c r="K25" s="821"/>
      <c r="L25" s="821"/>
      <c r="M25" s="821"/>
      <c r="N25" s="821"/>
      <c r="O25" s="821" t="s">
        <v>507</v>
      </c>
      <c r="P25" s="821"/>
      <c r="Q25" s="821" t="s">
        <v>9</v>
      </c>
      <c r="R25" s="821"/>
      <c r="S25" s="821"/>
      <c r="T25" s="821"/>
      <c r="U25" s="824"/>
      <c r="V25" s="829" t="s">
        <v>507</v>
      </c>
    </row>
    <row r="26" spans="1:22" s="483" customFormat="1" ht="34.5" customHeight="1" hidden="1">
      <c r="A26" s="486" t="s">
        <v>349</v>
      </c>
      <c r="B26" s="487" t="s">
        <v>350</v>
      </c>
      <c r="C26" s="488"/>
      <c r="D26" s="488"/>
      <c r="E26" s="488"/>
      <c r="F26" s="488"/>
      <c r="G26" s="471"/>
      <c r="H26" s="471"/>
      <c r="I26" s="471"/>
      <c r="J26" s="488"/>
      <c r="K26" s="488"/>
      <c r="L26" s="488"/>
      <c r="M26" s="488"/>
      <c r="N26" s="471"/>
      <c r="O26" s="471"/>
      <c r="P26" s="471"/>
      <c r="Q26" s="488"/>
      <c r="R26" s="488"/>
      <c r="S26" s="488"/>
      <c r="T26" s="489">
        <f aca="true" t="shared" si="0" ref="T26:T32">F26-M26</f>
        <v>0</v>
      </c>
      <c r="U26" s="473" t="e">
        <f>T26/S26</f>
        <v>#DIV/0!</v>
      </c>
      <c r="V26" s="826"/>
    </row>
    <row r="27" spans="1:22" s="483" customFormat="1" ht="30.75" customHeight="1" hidden="1">
      <c r="A27" s="490" t="s">
        <v>351</v>
      </c>
      <c r="B27" s="491" t="s">
        <v>350</v>
      </c>
      <c r="C27" s="489"/>
      <c r="D27" s="489"/>
      <c r="E27" s="489"/>
      <c r="F27" s="489"/>
      <c r="G27" s="472"/>
      <c r="H27" s="472"/>
      <c r="I27" s="472"/>
      <c r="J27" s="489"/>
      <c r="K27" s="489"/>
      <c r="L27" s="489"/>
      <c r="M27" s="489"/>
      <c r="N27" s="472"/>
      <c r="O27" s="471"/>
      <c r="P27" s="471"/>
      <c r="Q27" s="488"/>
      <c r="R27" s="489"/>
      <c r="S27" s="489"/>
      <c r="T27" s="489">
        <f t="shared" si="0"/>
        <v>0</v>
      </c>
      <c r="U27" s="473" t="e">
        <f>T27/S27</f>
        <v>#DIV/0!</v>
      </c>
      <c r="V27" s="826"/>
    </row>
    <row r="28" spans="1:22" s="483" customFormat="1" ht="31.5" customHeight="1" hidden="1" thickBot="1">
      <c r="A28" s="490" t="s">
        <v>352</v>
      </c>
      <c r="B28" s="491" t="s">
        <v>350</v>
      </c>
      <c r="C28" s="489"/>
      <c r="D28" s="489"/>
      <c r="E28" s="489"/>
      <c r="F28" s="489"/>
      <c r="G28" s="472"/>
      <c r="H28" s="472"/>
      <c r="I28" s="472"/>
      <c r="J28" s="489"/>
      <c r="K28" s="489"/>
      <c r="L28" s="489"/>
      <c r="M28" s="489"/>
      <c r="N28" s="472"/>
      <c r="O28" s="471"/>
      <c r="P28" s="471"/>
      <c r="Q28" s="488"/>
      <c r="R28" s="489"/>
      <c r="S28" s="489"/>
      <c r="T28" s="489">
        <f t="shared" si="0"/>
        <v>0</v>
      </c>
      <c r="U28" s="473" t="e">
        <f>T28/S28</f>
        <v>#DIV/0!</v>
      </c>
      <c r="V28" s="826"/>
    </row>
    <row r="29" spans="1:22" s="483" customFormat="1" ht="31.5" customHeight="1" hidden="1">
      <c r="A29" s="490" t="s">
        <v>353</v>
      </c>
      <c r="B29" s="491" t="s">
        <v>350</v>
      </c>
      <c r="C29" s="474"/>
      <c r="D29" s="474"/>
      <c r="E29" s="474"/>
      <c r="F29" s="474"/>
      <c r="G29" s="472"/>
      <c r="H29" s="472"/>
      <c r="I29" s="472"/>
      <c r="J29" s="474"/>
      <c r="K29" s="474"/>
      <c r="L29" s="474"/>
      <c r="M29" s="474"/>
      <c r="N29" s="472"/>
      <c r="O29" s="472"/>
      <c r="P29" s="472"/>
      <c r="Q29" s="474"/>
      <c r="R29" s="474"/>
      <c r="S29" s="474"/>
      <c r="T29" s="474">
        <f t="shared" si="0"/>
        <v>0</v>
      </c>
      <c r="U29" s="473" t="e">
        <f>T29/S29</f>
        <v>#DIV/0!</v>
      </c>
      <c r="V29" s="826"/>
    </row>
    <row r="30" spans="1:22" s="483" customFormat="1" ht="27.75" customHeight="1" hidden="1">
      <c r="A30" s="490" t="s">
        <v>354</v>
      </c>
      <c r="B30" s="491" t="s">
        <v>350</v>
      </c>
      <c r="C30" s="474"/>
      <c r="D30" s="474"/>
      <c r="E30" s="474"/>
      <c r="F30" s="474"/>
      <c r="G30" s="472"/>
      <c r="H30" s="472"/>
      <c r="I30" s="472"/>
      <c r="J30" s="474"/>
      <c r="K30" s="474"/>
      <c r="L30" s="474"/>
      <c r="M30" s="474"/>
      <c r="N30" s="472"/>
      <c r="O30" s="472"/>
      <c r="P30" s="472"/>
      <c r="Q30" s="474"/>
      <c r="R30" s="474"/>
      <c r="S30" s="474"/>
      <c r="T30" s="474">
        <f t="shared" si="0"/>
        <v>0</v>
      </c>
      <c r="U30" s="473">
        <v>0</v>
      </c>
      <c r="V30" s="826"/>
    </row>
    <row r="31" spans="1:22" ht="33" customHeight="1" hidden="1">
      <c r="A31" s="492" t="s">
        <v>355</v>
      </c>
      <c r="B31" s="493" t="s">
        <v>350</v>
      </c>
      <c r="C31" s="494"/>
      <c r="D31" s="494"/>
      <c r="E31" s="494"/>
      <c r="F31" s="494"/>
      <c r="G31" s="472"/>
      <c r="H31" s="817"/>
      <c r="I31" s="817"/>
      <c r="J31" s="494"/>
      <c r="K31" s="494"/>
      <c r="L31" s="494"/>
      <c r="M31" s="494"/>
      <c r="N31" s="472"/>
      <c r="O31" s="817"/>
      <c r="P31" s="817"/>
      <c r="Q31" s="494"/>
      <c r="R31" s="494"/>
      <c r="S31" s="494"/>
      <c r="T31" s="494">
        <f t="shared" si="0"/>
        <v>0</v>
      </c>
      <c r="U31" s="473">
        <v>0</v>
      </c>
      <c r="V31" s="820"/>
    </row>
    <row r="32" spans="1:22" ht="33" customHeight="1" hidden="1">
      <c r="A32" s="495"/>
      <c r="B32" s="496"/>
      <c r="C32" s="497"/>
      <c r="D32" s="497"/>
      <c r="E32" s="497"/>
      <c r="F32" s="497"/>
      <c r="G32" s="472"/>
      <c r="H32" s="818"/>
      <c r="I32" s="818"/>
      <c r="J32" s="497"/>
      <c r="K32" s="497"/>
      <c r="L32" s="497"/>
      <c r="M32" s="497"/>
      <c r="N32" s="472"/>
      <c r="O32" s="818"/>
      <c r="P32" s="818"/>
      <c r="Q32" s="497"/>
      <c r="R32" s="497"/>
      <c r="S32" s="497"/>
      <c r="T32" s="497">
        <f t="shared" si="0"/>
        <v>0</v>
      </c>
      <c r="U32" s="473">
        <v>0</v>
      </c>
      <c r="V32" s="827"/>
    </row>
    <row r="33" spans="1:22" ht="33" customHeight="1" hidden="1" thickBot="1" thickTop="1">
      <c r="A33" s="475" t="s">
        <v>348</v>
      </c>
      <c r="B33" s="476"/>
      <c r="C33" s="477">
        <f>SUM(C26:C32)</f>
        <v>0</v>
      </c>
      <c r="D33" s="477"/>
      <c r="E33" s="477"/>
      <c r="F33" s="477"/>
      <c r="G33" s="478"/>
      <c r="H33" s="478"/>
      <c r="I33" s="478"/>
      <c r="J33" s="477"/>
      <c r="K33" s="477"/>
      <c r="L33" s="477"/>
      <c r="M33" s="477"/>
      <c r="N33" s="478"/>
      <c r="O33" s="478"/>
      <c r="P33" s="478"/>
      <c r="Q33" s="477">
        <f>SUM(Q26:Q32)</f>
        <v>0</v>
      </c>
      <c r="R33" s="477">
        <f>SUM(R26:R31)</f>
        <v>0</v>
      </c>
      <c r="S33" s="477">
        <f>SUM(S26:S31)</f>
        <v>0</v>
      </c>
      <c r="T33" s="477">
        <f>SUM(T26:T31)</f>
        <v>0</v>
      </c>
      <c r="U33" s="479" t="e">
        <f>T33/S33</f>
        <v>#DIV/0!</v>
      </c>
      <c r="V33" s="828"/>
    </row>
    <row r="34" ht="12.75">
      <c r="T34" s="222">
        <v>292</v>
      </c>
    </row>
    <row r="35" ht="31.5" customHeight="1" thickBot="1">
      <c r="B35" s="498" t="s">
        <v>356</v>
      </c>
    </row>
    <row r="36" spans="1:23" ht="12.75" customHeight="1" thickBot="1">
      <c r="A36" s="1544" t="s">
        <v>356</v>
      </c>
      <c r="B36" s="1545" t="s">
        <v>338</v>
      </c>
      <c r="C36" s="1547" t="s">
        <v>5</v>
      </c>
      <c r="D36" s="1548"/>
      <c r="E36" s="1548"/>
      <c r="F36" s="1548"/>
      <c r="G36" s="1548"/>
      <c r="H36" s="1548"/>
      <c r="I36" s="1562"/>
      <c r="J36" s="1547" t="s">
        <v>339</v>
      </c>
      <c r="K36" s="1548"/>
      <c r="L36" s="1548"/>
      <c r="M36" s="1548"/>
      <c r="N36" s="1548"/>
      <c r="O36" s="1548"/>
      <c r="P36" s="1562"/>
      <c r="Q36" s="1556" t="s">
        <v>340</v>
      </c>
      <c r="R36" s="1557"/>
      <c r="S36" s="1557"/>
      <c r="T36" s="1557"/>
      <c r="U36" s="1557"/>
      <c r="V36" s="1557"/>
      <c r="W36" s="1558"/>
    </row>
    <row r="37" spans="1:23" ht="14.25" customHeight="1" thickBot="1" thickTop="1">
      <c r="A37" s="1544"/>
      <c r="B37" s="1545"/>
      <c r="C37" s="1550"/>
      <c r="D37" s="1551"/>
      <c r="E37" s="1551"/>
      <c r="F37" s="1551"/>
      <c r="G37" s="1551"/>
      <c r="H37" s="1551"/>
      <c r="I37" s="1563"/>
      <c r="J37" s="1550"/>
      <c r="K37" s="1551"/>
      <c r="L37" s="1551"/>
      <c r="M37" s="1551"/>
      <c r="N37" s="1551"/>
      <c r="O37" s="1551"/>
      <c r="P37" s="1563"/>
      <c r="Q37" s="1559"/>
      <c r="R37" s="1560"/>
      <c r="S37" s="1560"/>
      <c r="T37" s="1560"/>
      <c r="U37" s="1560"/>
      <c r="V37" s="1560"/>
      <c r="W37" s="1561"/>
    </row>
    <row r="38" spans="1:23" ht="14.25" customHeight="1" thickBot="1" thickTop="1">
      <c r="A38" s="1544"/>
      <c r="B38" s="1545"/>
      <c r="C38" s="1553"/>
      <c r="D38" s="1554"/>
      <c r="E38" s="1554"/>
      <c r="F38" s="1554"/>
      <c r="G38" s="1554"/>
      <c r="H38" s="1554"/>
      <c r="I38" s="1564"/>
      <c r="J38" s="1553"/>
      <c r="K38" s="1554"/>
      <c r="L38" s="1554"/>
      <c r="M38" s="1554"/>
      <c r="N38" s="1554"/>
      <c r="O38" s="1554"/>
      <c r="P38" s="1564"/>
      <c r="Q38" s="1559"/>
      <c r="R38" s="1560"/>
      <c r="S38" s="1560"/>
      <c r="T38" s="1560"/>
      <c r="U38" s="1560"/>
      <c r="V38" s="1560"/>
      <c r="W38" s="1561"/>
    </row>
    <row r="39" spans="1:23" ht="33" customHeight="1" thickTop="1">
      <c r="A39" s="463"/>
      <c r="B39" s="464"/>
      <c r="C39" s="819" t="s">
        <v>9</v>
      </c>
      <c r="D39" s="819" t="s">
        <v>321</v>
      </c>
      <c r="E39" s="819" t="s">
        <v>319</v>
      </c>
      <c r="F39" s="821" t="s">
        <v>303</v>
      </c>
      <c r="G39" s="821" t="s">
        <v>310</v>
      </c>
      <c r="H39" s="819" t="s">
        <v>507</v>
      </c>
      <c r="I39" s="819" t="s">
        <v>576</v>
      </c>
      <c r="J39" s="819" t="s">
        <v>9</v>
      </c>
      <c r="K39" s="819" t="s">
        <v>321</v>
      </c>
      <c r="L39" s="819" t="s">
        <v>319</v>
      </c>
      <c r="M39" s="819" t="s">
        <v>303</v>
      </c>
      <c r="N39" s="819" t="s">
        <v>310</v>
      </c>
      <c r="O39" s="819" t="s">
        <v>507</v>
      </c>
      <c r="P39" s="819" t="s">
        <v>576</v>
      </c>
      <c r="Q39" s="466" t="s">
        <v>9</v>
      </c>
      <c r="R39" s="466" t="s">
        <v>321</v>
      </c>
      <c r="S39" s="466" t="s">
        <v>319</v>
      </c>
      <c r="T39" s="466" t="s">
        <v>303</v>
      </c>
      <c r="U39" s="1103" t="s">
        <v>310</v>
      </c>
      <c r="V39" s="466" t="s">
        <v>507</v>
      </c>
      <c r="W39" s="1103" t="s">
        <v>576</v>
      </c>
    </row>
    <row r="40" spans="1:23" ht="30" hidden="1">
      <c r="A40" s="467" t="s">
        <v>357</v>
      </c>
      <c r="B40" s="468" t="s">
        <v>350</v>
      </c>
      <c r="C40" s="469"/>
      <c r="D40" s="469"/>
      <c r="E40" s="469"/>
      <c r="F40" s="470"/>
      <c r="G40" s="471"/>
      <c r="H40" s="469"/>
      <c r="I40" s="469"/>
      <c r="J40" s="469"/>
      <c r="K40" s="469"/>
      <c r="L40" s="469"/>
      <c r="M40" s="469"/>
      <c r="N40" s="472"/>
      <c r="O40" s="472"/>
      <c r="P40" s="817"/>
      <c r="Q40" s="469"/>
      <c r="R40" s="469"/>
      <c r="S40" s="469"/>
      <c r="T40" s="469">
        <f>F40-M40</f>
        <v>0</v>
      </c>
      <c r="U40" s="473" t="e">
        <f>T40/S40</f>
        <v>#DIV/0!</v>
      </c>
      <c r="V40" s="469"/>
      <c r="W40" s="1105"/>
    </row>
    <row r="41" spans="1:23" ht="24" customHeight="1" thickBot="1">
      <c r="A41" s="467" t="s">
        <v>358</v>
      </c>
      <c r="B41" s="468" t="s">
        <v>350</v>
      </c>
      <c r="C41" s="469">
        <v>223000</v>
      </c>
      <c r="D41" s="469"/>
      <c r="E41" s="469"/>
      <c r="F41" s="469"/>
      <c r="G41" s="472"/>
      <c r="H41" s="469">
        <v>223000</v>
      </c>
      <c r="I41" s="469">
        <v>223000</v>
      </c>
      <c r="J41" s="469">
        <v>223000</v>
      </c>
      <c r="K41" s="469"/>
      <c r="L41" s="469"/>
      <c r="M41" s="469"/>
      <c r="N41" s="472"/>
      <c r="O41" s="469">
        <v>223000</v>
      </c>
      <c r="P41" s="469">
        <v>223000</v>
      </c>
      <c r="Q41" s="469"/>
      <c r="R41" s="469"/>
      <c r="S41" s="469"/>
      <c r="T41" s="469">
        <f>F41-M41</f>
        <v>0</v>
      </c>
      <c r="U41" s="473" t="e">
        <f>T41/S41</f>
        <v>#DIV/0!</v>
      </c>
      <c r="V41" s="469"/>
      <c r="W41" s="1105"/>
    </row>
    <row r="42" spans="1:23" ht="27" customHeight="1" hidden="1" thickBot="1">
      <c r="A42" s="467" t="s">
        <v>359</v>
      </c>
      <c r="B42" s="468" t="s">
        <v>350</v>
      </c>
      <c r="C42" s="469"/>
      <c r="D42" s="469"/>
      <c r="E42" s="469"/>
      <c r="F42" s="469"/>
      <c r="G42" s="472"/>
      <c r="H42" s="469"/>
      <c r="I42" s="469"/>
      <c r="J42" s="469"/>
      <c r="K42" s="469"/>
      <c r="L42" s="469"/>
      <c r="M42" s="469"/>
      <c r="N42" s="472"/>
      <c r="O42" s="472"/>
      <c r="P42" s="472"/>
      <c r="Q42" s="469"/>
      <c r="R42" s="469"/>
      <c r="S42" s="469"/>
      <c r="T42" s="469">
        <f>F42-M42</f>
        <v>0</v>
      </c>
      <c r="U42" s="473" t="e">
        <f>T42/S42</f>
        <v>#DIV/0!</v>
      </c>
      <c r="V42" s="469"/>
      <c r="W42" s="1105"/>
    </row>
    <row r="43" spans="1:23" ht="30" customHeight="1" thickBot="1" thickTop="1">
      <c r="A43" s="475" t="s">
        <v>348</v>
      </c>
      <c r="B43" s="476"/>
      <c r="C43" s="815">
        <f>SUM(C40:C42)</f>
        <v>223000</v>
      </c>
      <c r="D43" s="815"/>
      <c r="E43" s="815"/>
      <c r="F43" s="815"/>
      <c r="G43" s="816"/>
      <c r="H43" s="815">
        <v>223000</v>
      </c>
      <c r="I43" s="815">
        <v>223000</v>
      </c>
      <c r="J43" s="815">
        <f>SUM(J40:J42)</f>
        <v>223000</v>
      </c>
      <c r="K43" s="815"/>
      <c r="L43" s="815"/>
      <c r="M43" s="815"/>
      <c r="N43" s="816"/>
      <c r="O43" s="815">
        <v>223000</v>
      </c>
      <c r="P43" s="815">
        <v>223000</v>
      </c>
      <c r="Q43" s="477"/>
      <c r="R43" s="477">
        <f>SUM(R40:R42)</f>
        <v>0</v>
      </c>
      <c r="S43" s="477">
        <f>SUM(S40:S42)</f>
        <v>0</v>
      </c>
      <c r="T43" s="477">
        <f>SUM(T40:T42)</f>
        <v>0</v>
      </c>
      <c r="U43" s="478" t="e">
        <f>T43/S43</f>
        <v>#DIV/0!</v>
      </c>
      <c r="V43" s="1108"/>
      <c r="W43" s="1109"/>
    </row>
  </sheetData>
  <sheetProtection selectLockedCells="1" selectUnlockedCells="1"/>
  <mergeCells count="20">
    <mergeCell ref="Q21:V23"/>
    <mergeCell ref="J1:Q1"/>
    <mergeCell ref="A2:Q2"/>
    <mergeCell ref="A3:Q3"/>
    <mergeCell ref="A4:Q4"/>
    <mergeCell ref="A6:A8"/>
    <mergeCell ref="B6:B8"/>
    <mergeCell ref="Q6:W8"/>
    <mergeCell ref="J6:P8"/>
    <mergeCell ref="C6:I8"/>
    <mergeCell ref="A36:A38"/>
    <mergeCell ref="B36:B38"/>
    <mergeCell ref="A20:Q20"/>
    <mergeCell ref="A21:A23"/>
    <mergeCell ref="B21:B23"/>
    <mergeCell ref="C21:H23"/>
    <mergeCell ref="J21:O23"/>
    <mergeCell ref="Q36:W38"/>
    <mergeCell ref="J36:P38"/>
    <mergeCell ref="C36:I3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2016-07-07T09:34:28Z</cp:lastPrinted>
  <dcterms:created xsi:type="dcterms:W3CDTF">2016-02-12T06:38:50Z</dcterms:created>
  <dcterms:modified xsi:type="dcterms:W3CDTF">2016-10-17T18:57:07Z</dcterms:modified>
  <cp:category/>
  <cp:version/>
  <cp:contentType/>
  <cp:contentStatus/>
</cp:coreProperties>
</file>