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525" firstSheet="8" activeTab="11"/>
  </bookViews>
  <sheets>
    <sheet name="1 bevétel-kiadás" sheetId="1" r:id="rId1"/>
    <sheet name="2 helyi adó bev." sheetId="2" r:id="rId2"/>
    <sheet name="3 tám.ért. bev." sheetId="3" r:id="rId3"/>
    <sheet name="4 ktgvetési tám. bev." sheetId="4" r:id="rId4"/>
    <sheet name="5 EU-s pr. bev-kiad." sheetId="5" r:id="rId5"/>
    <sheet name="6 Ber-Felúj. kiad." sheetId="6" r:id="rId6"/>
    <sheet name="7 átadott pénzeszk." sheetId="7" r:id="rId7"/>
    <sheet name="8 szoc.jell. kiad." sheetId="8" r:id="rId8"/>
    <sheet name="9 létszám" sheetId="9" r:id="rId9"/>
    <sheet name="10 közvetett tám-ok kiad." sheetId="10" r:id="rId10"/>
    <sheet name="11 ktgvetési mérleg" sheetId="11" r:id="rId11"/>
    <sheet name="12 EI felh.terv" sheetId="12" r:id="rId12"/>
  </sheets>
  <externalReferences>
    <externalReference r:id="rId15"/>
  </externalReferences>
  <definedNames>
    <definedName name="_xlnm.Print_Area" localSheetId="0">'1 bevétel-kiadás'!$A$1:$P$79</definedName>
  </definedNames>
  <calcPr fullCalcOnLoad="1"/>
</workbook>
</file>

<file path=xl/sharedStrings.xml><?xml version="1.0" encoding="utf-8"?>
<sst xmlns="http://schemas.openxmlformats.org/spreadsheetml/2006/main" count="667" uniqueCount="323">
  <si>
    <t>adatok eFt-ban</t>
  </si>
  <si>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</si>
  <si>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</si>
  <si>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</si>
  <si>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</si>
  <si>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</si>
  <si>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</si>
  <si>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</si>
  <si>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</si>
  <si>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</si>
  <si>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</si>
  <si>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</si>
  <si>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</si>
  <si>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</si>
  <si>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</si>
  <si>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</si>
  <si>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</si>
  <si>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</si>
  <si>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</si>
  <si>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r>
      <t>Intézményi működési bevételek</t>
    </r>
    <r>
      <rPr>
        <sz val="11"/>
        <rFont val="Georgia"/>
        <family val="1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</si>
  <si>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Georgia"/>
        <family val="1"/>
      </rPr>
      <t>(adók, illetékek, járulékok, hozzájárulások, bírságok, díjak, és más fizetési kötelezettségek)</t>
    </r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</si>
  <si>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</si>
  <si>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</si>
  <si>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</si>
  <si>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</si>
  <si>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</si>
  <si>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</si>
  <si>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</si>
  <si>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</si>
  <si>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</si>
  <si>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</si>
  <si>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</si>
  <si>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</si>
  <si>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</si>
  <si>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</si>
  <si>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</si>
  <si>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 xml:space="preserve">Támogatási kölcsönök visszatérülése államháztartáson belülről </t>
  </si>
  <si>
    <t xml:space="preserve">Támogatási kölcsönök visszatérülése államháztartáson kívülről  </t>
  </si>
  <si>
    <t>Támogatási kölcsönök igénybevétele államháztartáson belülről</t>
  </si>
  <si>
    <t>KÖLCSÖNÖK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</si>
  <si>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</si>
  <si>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</si>
  <si>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</si>
  <si>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</si>
  <si>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</si>
  <si>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</si>
  <si>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Előző évi előirányzat-maradvány, pénzmaradvány és előző évi vállalkozási maradvány igénybevétele utáni hiány vagy többlet (Költségvetési hiány+Előző évi maradvány igénybevétele)  (Költségvetési többlet+előző évi maradvány igénybevétele)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</si>
  <si>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</si>
  <si>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</si>
  <si>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</si>
  <si>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</si>
  <si>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</si>
  <si>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</si>
  <si>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</si>
  <si>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</si>
  <si>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   társadalom-, szociálpolitikai és egyéb juttatás, támogatás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</si>
  <si>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</si>
  <si>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</si>
  <si>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</si>
  <si>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</si>
  <si>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</si>
  <si>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</si>
  <si>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>Kormányzati beruházások</t>
  </si>
  <si>
    <t>Lakástámogatás</t>
  </si>
  <si>
    <t>Lakásépítés</t>
  </si>
  <si>
    <t xml:space="preserve">   irányító szerv alá tartozó költségvetési szervnek folyósított felhalmozási támogatás</t>
  </si>
  <si>
    <t xml:space="preserve">Egyéb felhalmozási kiadások </t>
  </si>
  <si>
    <t xml:space="preserve">   befektetési célú részesedések vásárlása </t>
  </si>
  <si>
    <t xml:space="preserve">   támogatásértékű felhalmozási kiadások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</si>
  <si>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</si>
  <si>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</si>
  <si>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</si>
  <si>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Támogatási kölcsönök nyújtása államháztartáson belülre</t>
  </si>
  <si>
    <t>Támogatási kölcsönök nyújtása államháztartáson kívülre</t>
  </si>
  <si>
    <t>Támogatási kölcsönök törlesztése államháztartáson belülre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</si>
  <si>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</si>
  <si>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</si>
  <si>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</si>
  <si>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</si>
  <si>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BEVÉTELEK 2013</t>
  </si>
  <si>
    <t>KIADÁSOK 2013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</si>
  <si>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</si>
  <si>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</si>
  <si>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</si>
  <si>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</si>
  <si>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</si>
  <si>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</si>
  <si>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</si>
  <si>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</si>
  <si>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</si>
  <si>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</si>
  <si>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</si>
  <si>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LÉTSZÁM (FŐ)</t>
  </si>
  <si>
    <t>KÖZFOGLALKOZTATOTT</t>
  </si>
  <si>
    <t>N</t>
  </si>
  <si>
    <t>O</t>
  </si>
  <si>
    <t xml:space="preserve">2013. évi költségvetés </t>
  </si>
  <si>
    <t>Önkormányzat módosított előirányzatai</t>
  </si>
  <si>
    <t xml:space="preserve">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</si>
  <si>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</si>
  <si>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</si>
  <si>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</si>
  <si>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Iparűzési adó állandó jelleggel végzett iparűzési tevékenység után </t>
  </si>
  <si>
    <t>Iparűzési adó ideiglenes jelleggel végzett iparűzési tevékenység után</t>
  </si>
  <si>
    <t>Helyi adók összesen:</t>
  </si>
  <si>
    <t xml:space="preserve">E </t>
  </si>
  <si>
    <t>Támogatásértékű működési bevétel központi költségvetési szervtől</t>
  </si>
  <si>
    <t xml:space="preserve">Támogatásértékű működési bevétel fejezeti kezelésű előirányzattól hazai programokra </t>
  </si>
  <si>
    <t xml:space="preserve">Támogatásértékű működési bevétel fejezeti kezelésű előirányzattól EU-s programokra és azok hazai társfinanszírozására </t>
  </si>
  <si>
    <t xml:space="preserve">Támogatásértékű működési bevétel társadalombiztosítási alaptól </t>
  </si>
  <si>
    <t xml:space="preserve">Támogatásértékű működési bevétel elkülönített állami pénzalaptól </t>
  </si>
  <si>
    <t xml:space="preserve">Támogatásértékű működési bevétel helyi önkormányzatoktól és költségvetési szerveiktől </t>
  </si>
  <si>
    <t xml:space="preserve">Támogatásértékű működési bevétel többcélú kistérségi társulástól </t>
  </si>
  <si>
    <t xml:space="preserve">Támogatásértékű működési bevétel országos nemzetiségi önkormányzatoktól </t>
  </si>
  <si>
    <t xml:space="preserve">Működési célú garancia- és kezességvállalásból származó megtérülések államháztartáson belülről </t>
  </si>
  <si>
    <t>Működési költségvetés támogatása (finanszírozás)</t>
  </si>
  <si>
    <t xml:space="preserve">Támogatásértékű működési bevételek </t>
  </si>
  <si>
    <t xml:space="preserve">Támogatásértékű felhalmozási bevétel központi költségvetési szervtől </t>
  </si>
  <si>
    <t>Támogatásértékű felhalmozási bevétel fejezeti kezelésű előirányzattól hazai programokra</t>
  </si>
  <si>
    <t xml:space="preserve">Támogatásértékű felhalmozási bevétel fejezeti kezelésű előirányzattól EU-s programokra és azok hazai társfinanszírozására </t>
  </si>
  <si>
    <t xml:space="preserve">A 179. és 180. sorba nem tartozó támogatásértékű felhalmozási bevétel fejezeti kezelésű előirányzattól </t>
  </si>
  <si>
    <t xml:space="preserve">Támogatásértékű felhalmozási bevétel társadalombiztosítási alaptól </t>
  </si>
  <si>
    <t xml:space="preserve">Támogatásértékű felhalmozási bevétel elkülönített állami pénzalaptól </t>
  </si>
  <si>
    <t xml:space="preserve">Támogatásértékű felhalmozási bevétel helyi önkormányzatoktól és költségvetési szerveiktől </t>
  </si>
  <si>
    <t>Támogatásértékű felhalmozási bevétel többcélú kistérségi társulástól</t>
  </si>
  <si>
    <t>Támogatásértékű felhalmozási bevétel országos nemzetiségi önkormányzatoktól</t>
  </si>
  <si>
    <t xml:space="preserve">Felhalmozási célú garancia- és kezességvállalásból származó megtérülések államháztartáson belülről </t>
  </si>
  <si>
    <t>Intézményi felhalmozási kiadások támogatása (finanszírozás)</t>
  </si>
  <si>
    <t xml:space="preserve">Támogatásértékű felhalmozási bevételek </t>
  </si>
  <si>
    <t>Támogatásértékű bevételek mindösszesen</t>
  </si>
  <si>
    <t>MŰKÖDÉSHEZ ÉS ÁGAZATI FELADATOKHOZ KAPCSOLÓDÓ TÁMOGATÁSÉRTÉKŰ BEVÉTELEK</t>
  </si>
  <si>
    <t>HELYI ADÓ BEVÉTELEK</t>
  </si>
  <si>
    <t>KÖZPONTI KÖLTSÉGVETÉSBŐL SZÁRMAZÓ TÁMOGATÁSOK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</si>
  <si>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</si>
  <si>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</si>
  <si>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</si>
  <si>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</si>
  <si>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Beszámítás összege</t>
  </si>
  <si>
    <t>Általános feladatok támogatása összesen</t>
  </si>
  <si>
    <t>Óvodapedagógusok, óvodapedagógusok munkáját közvetlenül segítők bértámogatása</t>
  </si>
  <si>
    <t>Ebből</t>
  </si>
  <si>
    <t xml:space="preserve">   óvodapedagógusok bértámogatása</t>
  </si>
  <si>
    <t xml:space="preserve">   segítők bértámogatása</t>
  </si>
  <si>
    <t>Óvodaműködtetési támogatás</t>
  </si>
  <si>
    <t>Óvodai étkeztetés támogatása</t>
  </si>
  <si>
    <t>Települési önkormányzatok köznevelési és gyermekétkeztetési feladatainak támogatása összesen</t>
  </si>
  <si>
    <t>Hozzájárulás pénzbeli szociális ellátásokhoz</t>
  </si>
  <si>
    <t xml:space="preserve">Egyes szociális és gyermekjóléti feladatok támogatása </t>
  </si>
  <si>
    <t xml:space="preserve">   Ebből szociális étkeztetés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</si>
  <si>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</si>
  <si>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</si>
  <si>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</si>
  <si>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</si>
  <si>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Költségvetési kapcsolatokból számított bevételek összesen</t>
  </si>
  <si>
    <t>Európai Uniós Projektek</t>
  </si>
  <si>
    <t>Összesen</t>
  </si>
  <si>
    <t>LEADER Kultúrparkok és központok kialakítása (MERSE PARK) LEADER pályázat, benyújtás ideje: 2010.08.02.</t>
  </si>
  <si>
    <t>Összesen:</t>
  </si>
  <si>
    <t>Támogatási bevétel</t>
  </si>
  <si>
    <t>Megvalósítás költsége</t>
  </si>
  <si>
    <t>Önkormányzat önrésze</t>
  </si>
  <si>
    <t>Megjegyzés</t>
  </si>
  <si>
    <t>KEOP -4.2.0/A/11-2011 "Alsóörsi Sportcsarnok energia termelésének megvalósítása fotovoltaikus rendszerrel", benyújtás ideje: 2011.06.15.</t>
  </si>
  <si>
    <t>BERUHÁZÁS-FELÚJÍTÁS</t>
  </si>
  <si>
    <t>Beruházás</t>
  </si>
  <si>
    <t>Szakf.</t>
  </si>
  <si>
    <t>fők.szám</t>
  </si>
  <si>
    <t>1233 épületek vás., létes.</t>
  </si>
  <si>
    <t>1234 Egyéb építm.</t>
  </si>
  <si>
    <t>1134 Szell.term.</t>
  </si>
  <si>
    <t>Felújítás</t>
  </si>
  <si>
    <t>1243 ép.felújítása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</si>
  <si>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</si>
  <si>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</si>
  <si>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</si>
  <si>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</si>
  <si>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</si>
  <si>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</si>
  <si>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>A fenti előirányzatokból 2013. költségvetési év azon fejlesztési céljai, amelyek megvalósításához a Stabilitási tv. 3. § (1) bekezdése szerinti adósságot keletkeztető ügylet megkötése válik vagy válhat szükségessé (forrás feltüntetése ezer forintban)</t>
  </si>
  <si>
    <r>
      <t xml:space="preserve">Kertmozi épület külső felújítása </t>
    </r>
    <r>
      <rPr>
        <b/>
        <sz val="14"/>
        <rFont val="Georgia"/>
        <family val="1"/>
      </rPr>
      <t>RÉSZ 1</t>
    </r>
  </si>
  <si>
    <r>
      <t xml:space="preserve">Strand I. kapu szálláshely kialakítás </t>
    </r>
    <r>
      <rPr>
        <b/>
        <sz val="14"/>
        <rFont val="Georgia"/>
        <family val="1"/>
      </rPr>
      <t>RÉSZ 2</t>
    </r>
  </si>
  <si>
    <r>
      <t xml:space="preserve">Kemping belső út burkolása </t>
    </r>
    <r>
      <rPr>
        <b/>
        <sz val="14"/>
        <rFont val="Georgia"/>
        <family val="1"/>
      </rPr>
      <t>RÉSZ 3</t>
    </r>
  </si>
  <si>
    <r>
      <t xml:space="preserve">Új önkormányzati hivatal épület építés </t>
    </r>
    <r>
      <rPr>
        <b/>
        <sz val="14"/>
        <rFont val="Georgia"/>
        <family val="1"/>
      </rPr>
      <t>RÉSZ 4</t>
    </r>
  </si>
  <si>
    <r>
      <t xml:space="preserve">Sportcsarnok napelem </t>
    </r>
    <r>
      <rPr>
        <b/>
        <sz val="14"/>
        <rFont val="Georgia"/>
        <family val="1"/>
      </rPr>
      <t>RÉSZ 5</t>
    </r>
  </si>
  <si>
    <r>
      <t xml:space="preserve">Leader Kultúrpark kialakítása (Merse I.) </t>
    </r>
    <r>
      <rPr>
        <b/>
        <sz val="14"/>
        <rFont val="Georgia"/>
        <family val="1"/>
      </rPr>
      <t>RÉSZ 6</t>
    </r>
  </si>
  <si>
    <r>
      <t xml:space="preserve">Útépítés </t>
    </r>
    <r>
      <rPr>
        <b/>
        <sz val="14"/>
        <rFont val="Georgia"/>
        <family val="1"/>
      </rPr>
      <t xml:space="preserve"> RÉSZ 7</t>
    </r>
  </si>
  <si>
    <r>
      <t xml:space="preserve">Digitális térkép szoftver </t>
    </r>
    <r>
      <rPr>
        <b/>
        <sz val="14"/>
        <rFont val="Georgia"/>
        <family val="1"/>
      </rPr>
      <t>RÉSZ 8</t>
    </r>
  </si>
  <si>
    <t xml:space="preserve">Működési célú pénzeszközátadás non-profit szervezeteknek </t>
  </si>
  <si>
    <t xml:space="preserve">Működési célú pénzeszközátadás egyházaknak </t>
  </si>
  <si>
    <t xml:space="preserve">Működési célú pénzeszközátadás háztartásoknak </t>
  </si>
  <si>
    <t xml:space="preserve">Működési célú pénzeszközátadás vállalkozásoknak </t>
  </si>
  <si>
    <t xml:space="preserve">Működési célú pénzeszközátadás az Európai Unió költségvetésének </t>
  </si>
  <si>
    <t>Működési célú pénzeszközátadás kormányoknak és nemzetközi szervezeteknek</t>
  </si>
  <si>
    <t xml:space="preserve">Működési célú pénzeszközátadás egyéb külföldinek </t>
  </si>
  <si>
    <t xml:space="preserve">Működési célú pénzeszközátadások államháztartáson kívülre </t>
  </si>
  <si>
    <t xml:space="preserve">Felhalmozási célú pénzeszközátadás non-profit szervezeteknek </t>
  </si>
  <si>
    <t xml:space="preserve">Felhalmozási célú pénzeszközátadás egyházaknak </t>
  </si>
  <si>
    <t xml:space="preserve">Felhalmozási célú pénzeszközátadás háztartásoknak </t>
  </si>
  <si>
    <t xml:space="preserve">Felhalmozási célú pénzeszközátadás vállalkozásoknak </t>
  </si>
  <si>
    <t xml:space="preserve">Felhalmozási célú pénzeszközátadás az Európai Unió költségvetésének </t>
  </si>
  <si>
    <t>Felhalmozási célú pénzeszközátadás kormányoknak és nemzetközi szervezeteknek</t>
  </si>
  <si>
    <t xml:space="preserve">Felhalmozási célú pénzeszközátadás egyéb külföldinek </t>
  </si>
  <si>
    <t xml:space="preserve">Lakásért fizetett pénzbeli térítés </t>
  </si>
  <si>
    <t xml:space="preserve">Lakáshoz jutás pénzbeli támogatása végleges jelleggel </t>
  </si>
  <si>
    <t xml:space="preserve">Felhalmozási célú garancia- és kezességvállalásból származó kifizetés államháztartáson kívülre </t>
  </si>
  <si>
    <t>Felhalmozási célú pénzeszközátadások államháztartáson kívülre</t>
  </si>
  <si>
    <t>ÁTADOTT PÉNZESZKÖZÖK ÁLLAMHÁZTARTÁSON KÍVÜLRE</t>
  </si>
  <si>
    <t>SZOCIÁLIS, RÁSZORULTSÁG JELLEGŰ ELLÁTÁSOK KIADÁSAI</t>
  </si>
  <si>
    <t>Nem foglalkoztatott személyek rendsz.szoc.segélye</t>
  </si>
  <si>
    <t>Foglalkoztatást helyettesítő támogatás</t>
  </si>
  <si>
    <t>Normatív lakásfenntartási támog.</t>
  </si>
  <si>
    <t>Adósságkezelési szolg-ban rész.lakásfennt.tám-sa</t>
  </si>
  <si>
    <t>Egyéb lakásfenntartási támogatás (helyi megállapítású)</t>
  </si>
  <si>
    <t>Ápolási díj (helyi megállapítású)</t>
  </si>
  <si>
    <t>Pénzbeni átmeneti segélyek</t>
  </si>
  <si>
    <t>Pénzbeni temetési segélyek</t>
  </si>
  <si>
    <t>Rendszeres gyermekvéd.tám. (norm. 5800/fő)</t>
  </si>
  <si>
    <t>Kiegészítő gyermekv.tám.</t>
  </si>
  <si>
    <t>Óvodáztatási tám.</t>
  </si>
  <si>
    <t>Rendkívüli gyermekvéd.tám. (önk.rend.)</t>
  </si>
  <si>
    <t>Rászorultságtól függő pénzb.szoc., gyv. Ellát.</t>
  </si>
  <si>
    <t>Természetben nyújtott lakásfennt.tám.</t>
  </si>
  <si>
    <t>Természetben nyújtott különféle segélyek (bontani kell, átmeneti,temetési, köztemetés,gyv.tám.,óvod.tám)</t>
  </si>
  <si>
    <t>Rászorultságtól függő normatív kedv-ek (Étkeztetési tám.  óvodai, iskolai)</t>
  </si>
  <si>
    <t>Étkeztetési tám. (Szt.62.§, szoc.étkezők)</t>
  </si>
  <si>
    <t>Első lakáshoz jutási támogatás (önk-i rendelet alapján)</t>
  </si>
  <si>
    <t>Eseti gyermekvédelmi támogatás (önk-i rendelet alapján)</t>
  </si>
  <si>
    <t>Önk.által saját hk-ben adott pü-i ellátások</t>
  </si>
  <si>
    <t>Szociálpolitikai ellátások és egyéb juttatások, TB pénzbeli ellátások összesen</t>
  </si>
  <si>
    <t>Természetben nyújt.szoc. Ellátások</t>
  </si>
  <si>
    <t>LÉTSZÁM</t>
  </si>
  <si>
    <t>Szakmai teljes munkaidős</t>
  </si>
  <si>
    <t>Intézmény üzemeltetéshez kapcsolódó teljes munkaidős</t>
  </si>
  <si>
    <t>Közfoglalkoztatott teljes munkaidős</t>
  </si>
  <si>
    <t>Szakmai részmunkaidős</t>
  </si>
  <si>
    <t>Intézmény üzemeltetéshez kapcsolódó részmunkaidős</t>
  </si>
  <si>
    <t>Közfoglalkoztatott részmunkaidős</t>
  </si>
  <si>
    <t xml:space="preserve">Létszám összesen </t>
  </si>
  <si>
    <t>Teljes munkaidős összesen</t>
  </si>
  <si>
    <t>Részmunkaidős összesen</t>
  </si>
  <si>
    <t>KÖZVETETT TÁMOGATÁSOK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</si>
  <si>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</si>
  <si>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</si>
  <si>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</si>
  <si>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</si>
  <si>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</si>
  <si>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Gépjárműadó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</si>
  <si>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</si>
  <si>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</si>
  <si>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</si>
  <si>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</si>
  <si>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</si>
  <si>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</si>
  <si>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</si>
  <si>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</si>
  <si>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</si>
  <si>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</si>
  <si>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</si>
  <si>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</si>
  <si>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>17.sz.melléklet a …/2013. (II. 12.) sz. önk.rendelethez</t>
  </si>
  <si>
    <t>MÉRLEG ÖNKORMÁNYZATI ÖSSZESEN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</si>
  <si>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</si>
  <si>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</si>
  <si>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</si>
  <si>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</si>
  <si>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</si>
  <si>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 xml:space="preserve">   Irányító szerv alá tartozó költségvetési szervnek folyósított felhalmozási támogatás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</si>
  <si>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</si>
  <si>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</si>
  <si>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</si>
  <si>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</si>
  <si>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</si>
  <si>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 xml:space="preserve">Átfutó bevételek </t>
  </si>
  <si>
    <t>Átfutó kiadások forgalma</t>
  </si>
  <si>
    <t>* aműködési és felhalmozási kiadás összesen összegből levonásra került az intézményeknek átadott finanszírozás, annak érdekében, hogy a végösszesen ne tartalmazzon halmozódást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</si>
  <si>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</si>
  <si>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</si>
  <si>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</si>
  <si>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</si>
  <si>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</si>
  <si>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</si>
  <si>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</si>
  <si>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</si>
  <si>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</si>
  <si>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</si>
  <si>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</si>
  <si>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</si>
  <si>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ELŐIRÁNYZAT FELHASZNÁLÁSI TERV</t>
  </si>
  <si>
    <t>Alsóörs Község Önkormányzata</t>
  </si>
  <si>
    <t>Alsóörsi Közös Önkormányzati Hivatal</t>
  </si>
  <si>
    <t>Alsóörsi Településműködtetési és Községgazdálkodási Szervezet</t>
  </si>
  <si>
    <t>Napraforgó Óvoda Alsóörs</t>
  </si>
  <si>
    <t>Mindösszesen</t>
  </si>
  <si>
    <t>ÖSSZESEN:</t>
  </si>
  <si>
    <t>Talajterhelési díj</t>
  </si>
  <si>
    <t>Egyes jövedelempótló kiegészítő támogatások</t>
  </si>
  <si>
    <t>Központi támogatás: Bérkompenzáció</t>
  </si>
  <si>
    <t>Külterülettel kapcsolatos feladatok támogatása</t>
  </si>
  <si>
    <t>Szerkezetátalakítási tartalék</t>
  </si>
  <si>
    <t>Egyéb működési célú központi támogatás</t>
  </si>
  <si>
    <t>Megvalósult (támogatási összeg lekérése folyamatban)</t>
  </si>
  <si>
    <r>
      <t xml:space="preserve">Vis maior Templom u. </t>
    </r>
    <r>
      <rPr>
        <b/>
        <sz val="14"/>
        <rFont val="Georgia"/>
        <family val="1"/>
      </rPr>
      <t>RÉSZ 10</t>
    </r>
  </si>
  <si>
    <r>
      <t xml:space="preserve">Strand II. kapu szálláshelyre klíma beszerelés </t>
    </r>
    <r>
      <rPr>
        <b/>
        <sz val="14"/>
        <rFont val="Georgia"/>
        <family val="1"/>
      </rPr>
      <t>RÉSZ 11</t>
    </r>
  </si>
  <si>
    <r>
      <t xml:space="preserve">Művelődési Ház klíma beszerelés </t>
    </r>
    <r>
      <rPr>
        <b/>
        <sz val="14"/>
        <rFont val="Georgia"/>
        <family val="1"/>
      </rPr>
      <t>RÉSZ 12</t>
    </r>
  </si>
  <si>
    <t>13132 Egyéb gép, berend.</t>
  </si>
  <si>
    <t>Normatív ápolási díj (dec.havi tény)</t>
  </si>
  <si>
    <t>Önk.által saját hk-ben adott természetbeni ellátások</t>
  </si>
  <si>
    <t>Beiskolázási támogatás (önk-i rendelet alapján) ingyen tankönyv</t>
  </si>
  <si>
    <t>Egyéb önk-i rendeletben megállapított juttatások, ellátások (pénzbeni) Beiskolázási tám. Pénzbeli része</t>
  </si>
  <si>
    <r>
      <t xml:space="preserve">Fűkasza tartozékokkal </t>
    </r>
    <r>
      <rPr>
        <b/>
        <sz val="14"/>
        <rFont val="Georgia"/>
        <family val="1"/>
      </rPr>
      <t>RÉSZ 1</t>
    </r>
  </si>
  <si>
    <r>
      <t xml:space="preserve">Strandi nyilvános WC felújítása </t>
    </r>
    <r>
      <rPr>
        <b/>
        <sz val="14"/>
        <rFont val="Georgia"/>
        <family val="1"/>
      </rPr>
      <t>RÉSZ 9</t>
    </r>
  </si>
  <si>
    <t>1.sz. melléklet a 4./2013. (III.01.) számú Önkormányzati rendelethez,módosította a 13/2013.(VIII.09.)számú Önk.rend.5.§-a</t>
  </si>
  <si>
    <t>2.sz. melléklet a 4./2013. (III.01.) számú Önkormányzati rendelethez,módosította a 13/2013.(VIII.09.)számú Önk.rend.6.§-a</t>
  </si>
  <si>
    <t>3.sz. melléklet a  4./2013. (III.01.) számú Önkormányzati rendelethez,módosította a 13/2013.(VIII.09.)számú Önk.rend.7.§-a</t>
  </si>
  <si>
    <t>4.sz. melléklet a  4./2013. (III.01.) számú Önkormányzati rendelethez,módosította a 13/2013.(VIII.09.)számú Önk.rend.8.§-a</t>
  </si>
  <si>
    <t>5.sz. melléklet a  .4./2013. (III.01.) számú Önkormányzati rendelethez,módosította a 13/2013.(VIII.09.)számú Önk.rend.9.§-a</t>
  </si>
  <si>
    <t>6.sz. melléklet a  4./2013. (III.01.) számú Önkormányzati rendelethez,módosította a 13/2013.(VIII.09.)számú Önk.rend.10.§-a</t>
  </si>
  <si>
    <t>7.sz. melléklet a  4./2013. (III.01.) számú Önkormányzati rendelethez,módosította a 13/2013.(VIII.09.)számú Önk.rend.11.§-a</t>
  </si>
  <si>
    <t>8.sz. melléklet a  4./2013. (III.01.) számú Önkormányzati rendelethez,módosította a 13/2013.(VIII.09.)számú Önk.rend.12.§-a</t>
  </si>
  <si>
    <t>9.sz. melléklet a 4./2013. (III.01.) számú Önkormányzati rendelethez,módosította a 13/2013.(VIII.09.)számú Önk.rend.13.§-a</t>
  </si>
  <si>
    <t>10.sz. melléklet a 4./2013. (III.01.) számú Önkormányzati rendelethez,módosította a 13/2013.(VIII.09.)számú Önk.rend.14.§-a</t>
  </si>
  <si>
    <t>11.sz. melléklet a 4./2013. (III.01.) számú Önkormányzati rendelethez,módosította a 13/2013.(VIII.09.)számú Önk.rend.15.§-a</t>
  </si>
  <si>
    <t>12.sz. melléklet a  4./2013. (III.01.) számú Önkormányzati rendelethez,módosította a 13/2013.(VIII.09.)számú Önk.rend.16.§-a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</si>
</sst>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0.0__"/>
    <numFmt numFmtId="166" formatCode="0.00__"/>
    <numFmt numFmtId="167" formatCode="_-* #,##0.0\ _F_t_-;\-* #,##0.0\ _F_t_-;_-* &quot;-&quot;??\ _F_t_-;_-@_-"/>
    <numFmt numFmtId="168" formatCode="_-* #,##0\ _F_t_-;\-* #,##0\ _F_t_-;_-* &quot;-&quot;??\ _F_t_-;_-@_-"/>
    <numFmt numFmtId="169" formatCode="[$-40E]yyyy\.\ mmmm\ d\.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0"/>
      <name val="Times New Roman CE"/>
      <family val="0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i/>
      <sz val="11"/>
      <name val="Georgia"/>
      <family val="1"/>
    </font>
    <font>
      <b/>
      <i/>
      <sz val="11"/>
      <color indexed="8"/>
      <name val="Georgia"/>
      <family val="1"/>
    </font>
    <font>
      <sz val="12"/>
      <name val="Georgia"/>
      <family val="1"/>
    </font>
    <font>
      <b/>
      <sz val="10"/>
      <name val="Georgia"/>
      <family val="1"/>
    </font>
    <font>
      <sz val="10"/>
      <color indexed="8"/>
      <name val="Georgia"/>
      <family val="1"/>
    </font>
    <font>
      <sz val="13"/>
      <color indexed="8"/>
      <name val="Arial"/>
      <family val="2"/>
    </font>
    <font>
      <b/>
      <i/>
      <sz val="12"/>
      <color indexed="8"/>
      <name val="Georgia"/>
      <family val="1"/>
    </font>
    <font>
      <sz val="10"/>
      <name val="Georgia"/>
      <family val="1"/>
    </font>
    <font>
      <b/>
      <i/>
      <sz val="16"/>
      <name val="Georgia"/>
      <family val="1"/>
    </font>
    <font>
      <sz val="13"/>
      <color indexed="8"/>
      <name val="Georgia"/>
      <family val="1"/>
    </font>
    <font>
      <i/>
      <sz val="22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b/>
      <sz val="13"/>
      <color indexed="8"/>
      <name val="Georgia"/>
      <family val="1"/>
    </font>
    <font>
      <b/>
      <sz val="14"/>
      <color indexed="8"/>
      <name val="Georgia"/>
      <family val="1"/>
    </font>
    <font>
      <b/>
      <sz val="14"/>
      <name val="Georgia"/>
      <family val="1"/>
    </font>
    <font>
      <i/>
      <sz val="13"/>
      <color indexed="8"/>
      <name val="Georgia"/>
      <family val="1"/>
    </font>
    <font>
      <sz val="9"/>
      <name val="Georgia"/>
      <family val="1"/>
    </font>
    <font>
      <sz val="8"/>
      <name val="Georgia"/>
      <family val="1"/>
    </font>
    <font>
      <sz val="8"/>
      <color indexed="8"/>
      <name val="Georgia"/>
      <family val="1"/>
    </font>
    <font>
      <b/>
      <i/>
      <sz val="14"/>
      <name val="Georgia"/>
      <family val="1"/>
    </font>
    <font>
      <sz val="14"/>
      <name val="Georgia"/>
      <family val="1"/>
    </font>
    <font>
      <sz val="14"/>
      <color indexed="10"/>
      <name val="Georgia"/>
      <family val="1"/>
    </font>
    <font>
      <b/>
      <i/>
      <sz val="12"/>
      <name val="Georgia"/>
      <family val="1"/>
    </font>
    <font>
      <b/>
      <i/>
      <sz val="10"/>
      <color indexed="8"/>
      <name val="Georgia"/>
      <family val="1"/>
    </font>
    <font>
      <b/>
      <i/>
      <sz val="9"/>
      <name val="Georgia"/>
      <family val="1"/>
    </font>
    <font>
      <b/>
      <i/>
      <u val="single"/>
      <sz val="12"/>
      <name val="Georgia"/>
      <family val="1"/>
    </font>
    <font>
      <b/>
      <i/>
      <u val="single"/>
      <sz val="11"/>
      <name val="Georgia"/>
      <family val="1"/>
    </font>
    <font>
      <u val="single"/>
      <sz val="12"/>
      <name val="Georgia"/>
      <family val="1"/>
    </font>
    <font>
      <b/>
      <i/>
      <u val="single"/>
      <sz val="14"/>
      <name val="Georgia"/>
      <family val="1"/>
    </font>
    <font>
      <b/>
      <sz val="12"/>
      <name val="Georgia"/>
      <family val="1"/>
    </font>
    <font>
      <i/>
      <sz val="12"/>
      <name val="Georgia"/>
      <family val="1"/>
    </font>
    <font>
      <b/>
      <sz val="9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color indexed="10"/>
      <name val="Georgia"/>
      <family val="1"/>
    </font>
    <font>
      <b/>
      <i/>
      <sz val="16"/>
      <color indexed="10"/>
      <name val="Georgia"/>
      <family val="1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" fillId="17" borderId="7" applyNumberFormat="0" applyFont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50" fillId="4" borderId="0" applyNumberFormat="0" applyBorder="0" applyAlignment="0" applyProtection="0"/>
    <xf numFmtId="0" fontId="51" fillId="22" borderId="8" applyNumberFormat="0" applyAlignment="0" applyProtection="0"/>
    <xf numFmtId="0" fontId="5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" borderId="0" applyNumberFormat="0" applyBorder="0" applyAlignment="0" applyProtection="0"/>
    <xf numFmtId="0" fontId="55" fillId="23" borderId="0" applyNumberFormat="0" applyBorder="0" applyAlignment="0" applyProtection="0"/>
    <xf numFmtId="0" fontId="56" fillId="22" borderId="1" applyNumberFormat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6" fillId="0" borderId="10" xfId="55" applyNumberFormat="1" applyFont="1" applyFill="1" applyBorder="1" applyAlignment="1">
      <alignment horizontal="left" vertical="center" wrapText="1"/>
      <protection/>
    </xf>
    <xf numFmtId="164" fontId="6" fillId="0" borderId="10" xfId="55" applyNumberFormat="1" applyFont="1" applyFill="1" applyBorder="1" applyAlignment="1">
      <alignment horizontal="center" vertical="center" wrapText="1"/>
      <protection/>
    </xf>
    <xf numFmtId="0" fontId="4" fillId="7" borderId="10" xfId="0" applyFont="1" applyFill="1" applyBorder="1" applyAlignment="1">
      <alignment wrapText="1"/>
    </xf>
    <xf numFmtId="164" fontId="7" fillId="7" borderId="10" xfId="55" applyNumberFormat="1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wrapText="1"/>
    </xf>
    <xf numFmtId="164" fontId="2" fillId="24" borderId="10" xfId="0" applyNumberFormat="1" applyFont="1" applyFill="1" applyBorder="1" applyAlignment="1">
      <alignment horizontal="center" vertical="center"/>
    </xf>
    <xf numFmtId="164" fontId="7" fillId="0" borderId="10" xfId="55" applyNumberFormat="1" applyFont="1" applyFill="1" applyBorder="1" applyAlignment="1">
      <alignment horizontal="center" vertical="center" wrapText="1"/>
      <protection/>
    </xf>
    <xf numFmtId="0" fontId="4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164" fontId="8" fillId="24" borderId="10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wrapText="1"/>
    </xf>
    <xf numFmtId="164" fontId="2" fillId="25" borderId="10" xfId="0" applyNumberFormat="1" applyFont="1" applyFill="1" applyBorder="1" applyAlignment="1">
      <alignment horizontal="center" vertical="center"/>
    </xf>
    <xf numFmtId="164" fontId="2" fillId="10" borderId="10" xfId="0" applyNumberFormat="1" applyFont="1" applyFill="1" applyBorder="1" applyAlignment="1">
      <alignment horizontal="center" vertical="center"/>
    </xf>
    <xf numFmtId="164" fontId="7" fillId="0" borderId="10" xfId="55" applyNumberFormat="1" applyFont="1" applyFill="1" applyBorder="1" applyAlignment="1">
      <alignment horizontal="left" vertical="center" wrapText="1"/>
      <protection/>
    </xf>
    <xf numFmtId="164" fontId="9" fillId="3" borderId="10" xfId="55" applyNumberFormat="1" applyFont="1" applyFill="1" applyBorder="1" applyAlignment="1">
      <alignment horizontal="left" vertical="center" wrapText="1"/>
      <protection/>
    </xf>
    <xf numFmtId="0" fontId="2" fillId="25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wrapText="1"/>
    </xf>
    <xf numFmtId="0" fontId="4" fillId="7" borderId="10" xfId="0" applyFont="1" applyFill="1" applyBorder="1" applyAlignment="1">
      <alignment horizontal="justify" wrapText="1"/>
    </xf>
    <xf numFmtId="164" fontId="4" fillId="7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2" fillId="24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6" fillId="0" borderId="10" xfId="55" applyNumberFormat="1" applyFont="1" applyFill="1" applyBorder="1" applyAlignment="1">
      <alignment vertical="center" wrapText="1"/>
      <protection/>
    </xf>
    <xf numFmtId="3" fontId="12" fillId="0" borderId="10" xfId="55" applyNumberFormat="1" applyFont="1" applyFill="1" applyBorder="1" applyAlignment="1">
      <alignment horizontal="right" vertical="center" wrapText="1"/>
      <protection/>
    </xf>
    <xf numFmtId="164" fontId="13" fillId="0" borderId="0" xfId="55" applyNumberFormat="1" applyFont="1" applyFill="1" applyBorder="1" applyAlignment="1">
      <alignment horizontal="left" vertical="center" wrapText="1"/>
      <protection/>
    </xf>
    <xf numFmtId="164" fontId="14" fillId="0" borderId="10" xfId="55" applyNumberFormat="1" applyFont="1" applyFill="1" applyBorder="1" applyAlignment="1">
      <alignment horizontal="left" vertical="center" wrapText="1"/>
      <protection/>
    </xf>
    <xf numFmtId="3" fontId="11" fillId="0" borderId="1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7" fillId="0" borderId="0" xfId="55" applyNumberFormat="1" applyFont="1" applyFill="1" applyBorder="1" applyAlignment="1">
      <alignment horizontal="left" vertical="center" wrapText="1"/>
      <protection/>
    </xf>
    <xf numFmtId="0" fontId="18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17" fillId="0" borderId="10" xfId="55" applyNumberFormat="1" applyFont="1" applyFill="1" applyBorder="1" applyAlignment="1">
      <alignment horizontal="right" vertical="center"/>
      <protection/>
    </xf>
    <xf numFmtId="3" fontId="21" fillId="0" borderId="10" xfId="55" applyNumberFormat="1" applyFont="1" applyFill="1" applyBorder="1" applyAlignment="1">
      <alignment horizontal="right" vertical="center" wrapText="1"/>
      <protection/>
    </xf>
    <xf numFmtId="3" fontId="17" fillId="0" borderId="10" xfId="55" applyNumberFormat="1" applyFont="1" applyFill="1" applyBorder="1" applyAlignment="1">
      <alignment horizontal="right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3" fontId="17" fillId="0" borderId="10" xfId="54" applyNumberFormat="1" applyFont="1" applyFill="1" applyBorder="1" applyAlignment="1">
      <alignment horizontal="right" vertical="center"/>
      <protection/>
    </xf>
    <xf numFmtId="164" fontId="22" fillId="0" borderId="0" xfId="55" applyNumberFormat="1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164" fontId="17" fillId="0" borderId="0" xfId="55" applyNumberFormat="1" applyFont="1" applyFill="1" applyBorder="1" applyAlignment="1">
      <alignment horizontal="left" vertical="center"/>
      <protection/>
    </xf>
    <xf numFmtId="164" fontId="21" fillId="0" borderId="0" xfId="55" applyNumberFormat="1" applyFont="1" applyFill="1" applyBorder="1" applyAlignment="1">
      <alignment horizontal="left" vertical="center" wrapText="1"/>
      <protection/>
    </xf>
    <xf numFmtId="164" fontId="24" fillId="0" borderId="0" xfId="55" applyNumberFormat="1" applyFont="1" applyFill="1" applyBorder="1" applyAlignment="1">
      <alignment horizontal="right" vertical="center" wrapText="1"/>
      <protection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54" applyFont="1" applyFill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7" fillId="0" borderId="10" xfId="55" applyNumberFormat="1" applyFont="1" applyFill="1" applyBorder="1" applyAlignment="1">
      <alignment horizontal="left" vertical="center" wrapText="1"/>
      <protection/>
    </xf>
    <xf numFmtId="3" fontId="27" fillId="0" borderId="10" xfId="55" applyNumberFormat="1" applyFont="1" applyFill="1" applyBorder="1" applyAlignment="1">
      <alignment horizontal="right" vertical="center"/>
      <protection/>
    </xf>
    <xf numFmtId="164" fontId="27" fillId="0" borderId="0" xfId="55" applyNumberFormat="1" applyFont="1" applyFill="1" applyBorder="1" applyAlignment="1">
      <alignment horizontal="left" vertical="center"/>
      <protection/>
    </xf>
    <xf numFmtId="3" fontId="27" fillId="0" borderId="10" xfId="55" applyNumberFormat="1" applyFont="1" applyFill="1" applyBorder="1" applyAlignment="1">
      <alignment horizontal="right" vertical="center" wrapText="1"/>
      <protection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3" fontId="29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2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9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5" fillId="0" borderId="0" xfId="0" applyFont="1" applyAlignment="1">
      <alignment vertical="center"/>
    </xf>
    <xf numFmtId="3" fontId="30" fillId="0" borderId="10" xfId="0" applyNumberFormat="1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15" fillId="0" borderId="10" xfId="0" applyFont="1" applyBorder="1" applyAlignment="1">
      <alignment vertical="center"/>
    </xf>
    <xf numFmtId="164" fontId="14" fillId="0" borderId="0" xfId="55" applyNumberFormat="1" applyFont="1" applyFill="1" applyBorder="1" applyAlignment="1">
      <alignment horizontal="left" vertical="center" wrapText="1"/>
      <protection/>
    </xf>
    <xf numFmtId="3" fontId="21" fillId="0" borderId="0" xfId="55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/>
    </xf>
    <xf numFmtId="164" fontId="21" fillId="0" borderId="0" xfId="55" applyNumberFormat="1" applyFont="1" applyFill="1" applyBorder="1" applyAlignment="1">
      <alignment vertical="center" wrapText="1"/>
      <protection/>
    </xf>
    <xf numFmtId="0" fontId="24" fillId="0" borderId="0" xfId="54" applyFont="1" applyFill="1" applyBorder="1" applyAlignment="1">
      <alignment horizontal="right" vertical="center"/>
      <protection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center" vertical="center"/>
    </xf>
    <xf numFmtId="2" fontId="6" fillId="0" borderId="10" xfId="55" applyNumberFormat="1" applyFont="1" applyFill="1" applyBorder="1" applyAlignment="1">
      <alignment horizontal="center" vertical="center" wrapText="1"/>
      <protection/>
    </xf>
    <xf numFmtId="2" fontId="7" fillId="0" borderId="10" xfId="55" applyNumberFormat="1" applyFont="1" applyFill="1" applyBorder="1" applyAlignment="1">
      <alignment horizontal="center" vertical="center" wrapText="1"/>
      <protection/>
    </xf>
    <xf numFmtId="2" fontId="9" fillId="0" borderId="10" xfId="55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/>
    </xf>
    <xf numFmtId="2" fontId="57" fillId="0" borderId="10" xfId="55" applyNumberFormat="1" applyFont="1" applyFill="1" applyBorder="1" applyAlignment="1">
      <alignment horizontal="center" vertical="center" wrapText="1"/>
      <protection/>
    </xf>
    <xf numFmtId="2" fontId="58" fillId="0" borderId="10" xfId="55" applyNumberFormat="1" applyFont="1" applyFill="1" applyBorder="1" applyAlignment="1">
      <alignment horizontal="center" vertical="center" wrapText="1"/>
      <protection/>
    </xf>
    <xf numFmtId="0" fontId="32" fillId="23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4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32" fillId="23" borderId="15" xfId="0" applyFont="1" applyFill="1" applyBorder="1" applyAlignment="1">
      <alignment wrapText="1"/>
    </xf>
    <xf numFmtId="0" fontId="34" fillId="0" borderId="13" xfId="0" applyFont="1" applyFill="1" applyBorder="1" applyAlignment="1">
      <alignment/>
    </xf>
    <xf numFmtId="0" fontId="37" fillId="0" borderId="16" xfId="0" applyFont="1" applyFill="1" applyBorder="1" applyAlignment="1">
      <alignment wrapText="1"/>
    </xf>
    <xf numFmtId="0" fontId="38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3" fontId="12" fillId="0" borderId="10" xfId="55" applyNumberFormat="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24" borderId="10" xfId="0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11" borderId="10" xfId="0" applyFont="1" applyFill="1" applyBorder="1" applyAlignment="1">
      <alignment horizontal="justify" wrapText="1"/>
    </xf>
    <xf numFmtId="0" fontId="3" fillId="11" borderId="10" xfId="0" applyFont="1" applyFill="1" applyBorder="1" applyAlignment="1">
      <alignment horizontal="right" vertical="center"/>
    </xf>
    <xf numFmtId="0" fontId="4" fillId="11" borderId="10" xfId="0" applyFont="1" applyFill="1" applyBorder="1" applyAlignment="1">
      <alignment wrapText="1"/>
    </xf>
    <xf numFmtId="164" fontId="7" fillId="0" borderId="16" xfId="55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/>
    </xf>
    <xf numFmtId="1" fontId="15" fillId="0" borderId="0" xfId="0" applyNumberFormat="1" applyFont="1" applyAlignment="1">
      <alignment horizontal="right" vertical="center"/>
    </xf>
    <xf numFmtId="0" fontId="31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wrapText="1"/>
    </xf>
    <xf numFmtId="168" fontId="15" fillId="0" borderId="10" xfId="40" applyNumberFormat="1" applyFont="1" applyBorder="1" applyAlignment="1">
      <alignment vertical="center" shrinkToFit="1"/>
    </xf>
    <xf numFmtId="168" fontId="11" fillId="0" borderId="10" xfId="40" applyNumberFormat="1" applyFont="1" applyBorder="1" applyAlignment="1">
      <alignment vertical="center" shrinkToFi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9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vertical="center"/>
    </xf>
    <xf numFmtId="0" fontId="19" fillId="0" borderId="0" xfId="0" applyFont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70ûrlap" xfId="54"/>
    <cellStyle name="Normál_97ûrlap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ugy-pc\users\Users\pugy\Documents\K&#246;lts&#233;gvet&#233;s%20&#233;s%20EI%20m&#243;d.%202012\2013%20Feb.12-i%20&#252;l&#233;s%20Ktgvet&#233;s%203.sz.%20m&#243;dos&#237;t&#225;sa\2013.02.12-i%20&#252;l&#233;s%202012.%20&#233;vi%20k&#246;lts&#233;gvet&#233;si%20rendelet%203.sz.%20EI%20m&#243;d%202012.10.01-12.31-ig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bevétel-kiadás"/>
      <sheetName val="2 finanszírozás"/>
      <sheetName val="3 támért kiadás"/>
      <sheetName val="4 átadott pénzeszköz"/>
      <sheetName val="5 beruházás felújítás"/>
      <sheetName val="6 támért bevétel"/>
      <sheetName val="7 átvett pénzeszköz"/>
      <sheetName val="8 felhalmozási és műk-i bev"/>
      <sheetName val="9 helyi adók"/>
      <sheetName val="10 állami támogatás"/>
      <sheetName val="11 tartalékok"/>
      <sheetName val="12 EU projektek"/>
      <sheetName val="13 létszám"/>
      <sheetName val="14 stabilitási tv"/>
      <sheetName val="15 több éves"/>
      <sheetName val="16 közvetett"/>
      <sheetName val="17 mérleg összesen"/>
      <sheetName val="18a, Önk. ei. f. ütemterv"/>
      <sheetName val="18b, PH ei. f. ütemterv"/>
      <sheetName val="18c, ÁMK ei. f. ütemterv"/>
      <sheetName val="18d, Temüsz ei. f. ütemterv"/>
      <sheetName val="18e, Óvoda ei.f. ütemter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zoomScale="60" zoomScaleNormal="60" zoomScalePageLayoutView="0" workbookViewId="0" topLeftCell="A1">
      <pane ySplit="6" topLeftCell="BM45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7.28125" style="44" customWidth="1"/>
    <col min="2" max="2" width="55.00390625" style="51" customWidth="1"/>
    <col min="3" max="4" width="19.421875" style="48" customWidth="1"/>
    <col min="5" max="6" width="19.28125" style="48" customWidth="1"/>
    <col min="7" max="10" width="18.57421875" style="48" customWidth="1"/>
    <col min="11" max="11" width="17.28125" style="48" customWidth="1"/>
    <col min="12" max="12" width="17.421875" style="48" customWidth="1"/>
    <col min="13" max="13" width="18.28125" style="48" customWidth="1"/>
    <col min="14" max="14" width="18.57421875" style="48" customWidth="1"/>
    <col min="15" max="15" width="18.28125" style="48" customWidth="1"/>
    <col min="16" max="16" width="18.57421875" style="48" customWidth="1"/>
    <col min="17" max="16384" width="9.140625" style="44" customWidth="1"/>
  </cols>
  <sheetData>
    <row r="1" spans="2:4" ht="27">
      <c r="B1" s="47" t="s">
        <v>96</v>
      </c>
      <c r="D1" s="48" t="s">
        <v>311</v>
      </c>
    </row>
    <row r="2" ht="27">
      <c r="B2" s="47"/>
    </row>
    <row r="3" ht="20.25">
      <c r="B3" s="49" t="s">
        <v>79</v>
      </c>
    </row>
    <row r="4" spans="2:15" ht="20.25">
      <c r="B4" s="49"/>
      <c r="O4" s="48" t="s">
        <v>0</v>
      </c>
    </row>
    <row r="5" spans="2:16" ht="79.5" customHeight="1">
      <c r="B5" s="1" t="s">
        <v>1</v>
      </c>
      <c r="C5" s="2" t="s">
        <v>2</v>
      </c>
      <c r="D5" s="2" t="s">
        <v>82</v>
      </c>
      <c r="E5" s="2" t="s">
        <v>81</v>
      </c>
      <c r="F5" s="2" t="s">
        <v>83</v>
      </c>
      <c r="G5" s="2" t="s">
        <v>3</v>
      </c>
      <c r="H5" s="2" t="s">
        <v>84</v>
      </c>
      <c r="I5" s="2" t="s">
        <v>88</v>
      </c>
      <c r="J5" s="2" t="s">
        <v>85</v>
      </c>
      <c r="K5" s="3" t="s">
        <v>4</v>
      </c>
      <c r="L5" s="3" t="s">
        <v>5</v>
      </c>
      <c r="M5" s="172" t="s">
        <v>86</v>
      </c>
      <c r="N5" s="3" t="s">
        <v>87</v>
      </c>
      <c r="O5" s="172" t="s">
        <v>89</v>
      </c>
      <c r="P5" s="3" t="s">
        <v>90</v>
      </c>
    </row>
    <row r="6" spans="2:16" ht="14.25">
      <c r="B6" s="1" t="s">
        <v>6</v>
      </c>
      <c r="C6" s="2" t="s">
        <v>7</v>
      </c>
      <c r="D6" s="1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3" t="s">
        <v>15</v>
      </c>
      <c r="L6" s="3" t="s">
        <v>16</v>
      </c>
      <c r="M6" s="172" t="s">
        <v>17</v>
      </c>
      <c r="N6" s="3" t="s">
        <v>18</v>
      </c>
      <c r="O6" s="172" t="s">
        <v>94</v>
      </c>
      <c r="P6" s="3" t="s">
        <v>95</v>
      </c>
    </row>
    <row r="7" spans="1:16" ht="82.5" customHeight="1">
      <c r="A7" s="44">
        <v>1</v>
      </c>
      <c r="B7" s="4" t="s">
        <v>19</v>
      </c>
      <c r="C7" s="5">
        <f>28115+1000+8201</f>
        <v>37316</v>
      </c>
      <c r="D7" s="5">
        <v>37732</v>
      </c>
      <c r="E7" s="5"/>
      <c r="F7" s="5"/>
      <c r="G7" s="5">
        <f>87660+23668</f>
        <v>111328</v>
      </c>
      <c r="H7" s="5">
        <v>111328</v>
      </c>
      <c r="I7" s="5">
        <f>19261+5200</f>
        <v>24461</v>
      </c>
      <c r="J7" s="5">
        <v>24461</v>
      </c>
      <c r="K7" s="5">
        <f>C7+E7+G7+I7</f>
        <v>173105</v>
      </c>
      <c r="L7" s="5">
        <f>D7+F7+H7+J7</f>
        <v>173521</v>
      </c>
      <c r="M7" s="173">
        <f>C7+E7+G7+I7</f>
        <v>173105</v>
      </c>
      <c r="N7" s="5">
        <v>0</v>
      </c>
      <c r="O7" s="173">
        <f>D7+H7+J7+F7</f>
        <v>173521</v>
      </c>
      <c r="P7" s="5">
        <v>0</v>
      </c>
    </row>
    <row r="8" spans="1:16" ht="42.75">
      <c r="A8" s="44">
        <v>2</v>
      </c>
      <c r="B8" s="4" t="s">
        <v>20</v>
      </c>
      <c r="C8" s="6">
        <f>SUM(C9:C12)</f>
        <v>155600</v>
      </c>
      <c r="D8" s="6">
        <f aca="true" t="shared" si="0" ref="D8:I8">SUM(D9:D12)</f>
        <v>155600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>SUM(J9:J12)</f>
        <v>0</v>
      </c>
      <c r="K8" s="5">
        <f aca="true" t="shared" si="1" ref="K8:K36">C8+E8+G8+I8</f>
        <v>155600</v>
      </c>
      <c r="L8" s="5">
        <f aca="true" t="shared" si="2" ref="L8:L36">D8+F8+H8+J8</f>
        <v>155600</v>
      </c>
      <c r="M8" s="173">
        <f aca="true" t="shared" si="3" ref="M8:M36">C8+E8+G8+I8</f>
        <v>155600</v>
      </c>
      <c r="N8" s="5">
        <v>0</v>
      </c>
      <c r="O8" s="173">
        <f aca="true" t="shared" si="4" ref="O8:O36">D8+H8+J8+F8</f>
        <v>155600</v>
      </c>
      <c r="P8" s="5">
        <v>0</v>
      </c>
    </row>
    <row r="9" spans="1:16" ht="14.25">
      <c r="A9" s="44">
        <v>3</v>
      </c>
      <c r="B9" s="7" t="s">
        <v>21</v>
      </c>
      <c r="C9" s="8">
        <f>150000-500</f>
        <v>149500</v>
      </c>
      <c r="D9" s="8">
        <v>149500</v>
      </c>
      <c r="E9" s="8"/>
      <c r="F9" s="8"/>
      <c r="G9" s="8"/>
      <c r="H9" s="8"/>
      <c r="I9" s="8"/>
      <c r="J9" s="8"/>
      <c r="K9" s="5">
        <f t="shared" si="1"/>
        <v>149500</v>
      </c>
      <c r="L9" s="5">
        <f t="shared" si="2"/>
        <v>149500</v>
      </c>
      <c r="M9" s="173">
        <f t="shared" si="3"/>
        <v>149500</v>
      </c>
      <c r="N9" s="5">
        <v>0</v>
      </c>
      <c r="O9" s="173">
        <f t="shared" si="4"/>
        <v>149500</v>
      </c>
      <c r="P9" s="5">
        <v>0</v>
      </c>
    </row>
    <row r="10" spans="1:16" ht="14.25">
      <c r="A10" s="44">
        <v>4</v>
      </c>
      <c r="B10" s="7" t="s">
        <v>22</v>
      </c>
      <c r="C10" s="8"/>
      <c r="D10" s="8"/>
      <c r="E10" s="8"/>
      <c r="F10" s="8"/>
      <c r="G10" s="8"/>
      <c r="H10" s="8"/>
      <c r="I10" s="8"/>
      <c r="J10" s="8"/>
      <c r="K10" s="5">
        <f t="shared" si="1"/>
        <v>0</v>
      </c>
      <c r="L10" s="5">
        <f t="shared" si="2"/>
        <v>0</v>
      </c>
      <c r="M10" s="173">
        <f t="shared" si="3"/>
        <v>0</v>
      </c>
      <c r="N10" s="5">
        <v>0</v>
      </c>
      <c r="O10" s="173">
        <f t="shared" si="4"/>
        <v>0</v>
      </c>
      <c r="P10" s="5">
        <v>0</v>
      </c>
    </row>
    <row r="11" spans="1:16" ht="14.25">
      <c r="A11" s="44">
        <v>5</v>
      </c>
      <c r="B11" s="7" t="s">
        <v>23</v>
      </c>
      <c r="C11" s="8">
        <v>500</v>
      </c>
      <c r="D11" s="8">
        <v>500</v>
      </c>
      <c r="E11" s="8"/>
      <c r="F11" s="8"/>
      <c r="G11" s="8"/>
      <c r="H11" s="8"/>
      <c r="I11" s="8"/>
      <c r="J11" s="8"/>
      <c r="K11" s="5">
        <f t="shared" si="1"/>
        <v>500</v>
      </c>
      <c r="L11" s="5">
        <f t="shared" si="2"/>
        <v>500</v>
      </c>
      <c r="M11" s="173">
        <f t="shared" si="3"/>
        <v>500</v>
      </c>
      <c r="N11" s="5">
        <v>0</v>
      </c>
      <c r="O11" s="173">
        <f t="shared" si="4"/>
        <v>500</v>
      </c>
      <c r="P11" s="5">
        <v>0</v>
      </c>
    </row>
    <row r="12" spans="1:16" ht="14.25">
      <c r="A12" s="44">
        <v>6</v>
      </c>
      <c r="B12" s="7" t="s">
        <v>91</v>
      </c>
      <c r="C12" s="8">
        <f>5600</f>
        <v>5600</v>
      </c>
      <c r="D12" s="8">
        <v>5600</v>
      </c>
      <c r="E12" s="8"/>
      <c r="F12" s="8"/>
      <c r="G12" s="8"/>
      <c r="H12" s="8"/>
      <c r="I12" s="8"/>
      <c r="J12" s="8"/>
      <c r="K12" s="5">
        <f t="shared" si="1"/>
        <v>5600</v>
      </c>
      <c r="L12" s="5">
        <f t="shared" si="2"/>
        <v>5600</v>
      </c>
      <c r="M12" s="173">
        <f t="shared" si="3"/>
        <v>5600</v>
      </c>
      <c r="N12" s="5">
        <v>0</v>
      </c>
      <c r="O12" s="173">
        <f t="shared" si="4"/>
        <v>5600</v>
      </c>
      <c r="P12" s="5">
        <v>0</v>
      </c>
    </row>
    <row r="13" spans="1:16" ht="28.5">
      <c r="A13" s="44">
        <v>7</v>
      </c>
      <c r="B13" s="9" t="s">
        <v>24</v>
      </c>
      <c r="C13" s="10">
        <v>0</v>
      </c>
      <c r="D13" s="10">
        <v>0</v>
      </c>
      <c r="E13" s="10">
        <v>53828</v>
      </c>
      <c r="F13" s="10">
        <v>54298</v>
      </c>
      <c r="G13" s="10">
        <v>79547</v>
      </c>
      <c r="H13" s="10">
        <v>79076</v>
      </c>
      <c r="I13" s="10">
        <v>35501</v>
      </c>
      <c r="J13" s="10">
        <v>36024</v>
      </c>
      <c r="K13" s="5">
        <f t="shared" si="1"/>
        <v>168876</v>
      </c>
      <c r="L13" s="5">
        <f t="shared" si="2"/>
        <v>169398</v>
      </c>
      <c r="M13" s="173">
        <f t="shared" si="3"/>
        <v>168876</v>
      </c>
      <c r="N13" s="5">
        <v>0</v>
      </c>
      <c r="O13" s="173">
        <f t="shared" si="4"/>
        <v>169398</v>
      </c>
      <c r="P13" s="5">
        <v>0</v>
      </c>
    </row>
    <row r="14" spans="1:16" ht="14.25">
      <c r="A14" s="44">
        <v>8</v>
      </c>
      <c r="B14" s="4" t="s">
        <v>25</v>
      </c>
      <c r="C14" s="5">
        <v>122788</v>
      </c>
      <c r="D14" s="5">
        <v>130132</v>
      </c>
      <c r="E14" s="5"/>
      <c r="F14" s="5"/>
      <c r="G14" s="5"/>
      <c r="H14" s="5"/>
      <c r="I14" s="5"/>
      <c r="J14" s="5"/>
      <c r="K14" s="5">
        <f t="shared" si="1"/>
        <v>122788</v>
      </c>
      <c r="L14" s="5">
        <f t="shared" si="2"/>
        <v>130132</v>
      </c>
      <c r="M14" s="173">
        <f t="shared" si="3"/>
        <v>122788</v>
      </c>
      <c r="N14" s="5">
        <v>0</v>
      </c>
      <c r="O14" s="173">
        <f t="shared" si="4"/>
        <v>130132</v>
      </c>
      <c r="P14" s="5">
        <v>0</v>
      </c>
    </row>
    <row r="15" spans="1:16" ht="28.5">
      <c r="A15" s="44">
        <v>9</v>
      </c>
      <c r="B15" s="4" t="s">
        <v>26</v>
      </c>
      <c r="C15" s="5">
        <f>8886+4000+7480</f>
        <v>20366</v>
      </c>
      <c r="D15" s="5">
        <v>22783</v>
      </c>
      <c r="E15" s="5"/>
      <c r="F15" s="5"/>
      <c r="G15" s="5"/>
      <c r="H15" s="5">
        <v>216</v>
      </c>
      <c r="I15" s="5"/>
      <c r="J15" s="5"/>
      <c r="K15" s="5">
        <f t="shared" si="1"/>
        <v>20366</v>
      </c>
      <c r="L15" s="5">
        <f t="shared" si="2"/>
        <v>22999</v>
      </c>
      <c r="M15" s="173">
        <f t="shared" si="3"/>
        <v>20366</v>
      </c>
      <c r="N15" s="5">
        <v>0</v>
      </c>
      <c r="O15" s="173">
        <f t="shared" si="4"/>
        <v>22999</v>
      </c>
      <c r="P15" s="5">
        <v>0</v>
      </c>
    </row>
    <row r="16" spans="1:16" ht="14.25">
      <c r="A16" s="44">
        <v>10</v>
      </c>
      <c r="B16" s="4" t="s">
        <v>27</v>
      </c>
      <c r="C16" s="5">
        <v>8000</v>
      </c>
      <c r="D16" s="5">
        <v>15650</v>
      </c>
      <c r="E16" s="5"/>
      <c r="F16" s="5"/>
      <c r="G16" s="5"/>
      <c r="H16" s="5"/>
      <c r="I16" s="5"/>
      <c r="J16" s="5"/>
      <c r="K16" s="5">
        <f t="shared" si="1"/>
        <v>8000</v>
      </c>
      <c r="L16" s="5">
        <f t="shared" si="2"/>
        <v>15650</v>
      </c>
      <c r="M16" s="173">
        <f t="shared" si="3"/>
        <v>8000</v>
      </c>
      <c r="N16" s="5">
        <v>0</v>
      </c>
      <c r="O16" s="173">
        <f t="shared" si="4"/>
        <v>15650</v>
      </c>
      <c r="P16" s="5">
        <v>0</v>
      </c>
    </row>
    <row r="17" spans="1:16" ht="28.5">
      <c r="A17" s="44">
        <v>11</v>
      </c>
      <c r="B17" s="4" t="s">
        <v>28</v>
      </c>
      <c r="C17" s="5">
        <v>30000</v>
      </c>
      <c r="D17" s="5">
        <v>30000</v>
      </c>
      <c r="E17" s="5"/>
      <c r="F17" s="5"/>
      <c r="G17" s="5"/>
      <c r="H17" s="5"/>
      <c r="I17" s="5"/>
      <c r="J17" s="5"/>
      <c r="K17" s="5">
        <f t="shared" si="1"/>
        <v>30000</v>
      </c>
      <c r="L17" s="5">
        <f t="shared" si="2"/>
        <v>30000</v>
      </c>
      <c r="M17" s="173">
        <f t="shared" si="3"/>
        <v>30000</v>
      </c>
      <c r="N17" s="5">
        <v>0</v>
      </c>
      <c r="O17" s="173">
        <f t="shared" si="4"/>
        <v>30000</v>
      </c>
      <c r="P17" s="5">
        <v>0</v>
      </c>
    </row>
    <row r="18" spans="1:16" ht="14.25">
      <c r="A18" s="44">
        <v>12</v>
      </c>
      <c r="B18" s="11" t="s">
        <v>29</v>
      </c>
      <c r="C18" s="12">
        <f aca="true" t="shared" si="5" ref="C18:J18">C7+C8+C14+C15+C16+C17+C13</f>
        <v>374070</v>
      </c>
      <c r="D18" s="12">
        <f t="shared" si="5"/>
        <v>391897</v>
      </c>
      <c r="E18" s="12">
        <f t="shared" si="5"/>
        <v>53828</v>
      </c>
      <c r="F18" s="12">
        <f t="shared" si="5"/>
        <v>54298</v>
      </c>
      <c r="G18" s="12">
        <f t="shared" si="5"/>
        <v>190875</v>
      </c>
      <c r="H18" s="12">
        <f t="shared" si="5"/>
        <v>190620</v>
      </c>
      <c r="I18" s="12">
        <f t="shared" si="5"/>
        <v>59962</v>
      </c>
      <c r="J18" s="12">
        <f t="shared" si="5"/>
        <v>60485</v>
      </c>
      <c r="K18" s="5">
        <f t="shared" si="1"/>
        <v>678735</v>
      </c>
      <c r="L18" s="5">
        <f t="shared" si="2"/>
        <v>697300</v>
      </c>
      <c r="M18" s="173">
        <f t="shared" si="3"/>
        <v>678735</v>
      </c>
      <c r="N18" s="5">
        <v>0</v>
      </c>
      <c r="O18" s="173">
        <f t="shared" si="4"/>
        <v>697300</v>
      </c>
      <c r="P18" s="5">
        <v>0</v>
      </c>
    </row>
    <row r="19" spans="1:16" ht="28.5">
      <c r="A19" s="44">
        <v>13</v>
      </c>
      <c r="B19" s="4" t="s">
        <v>30</v>
      </c>
      <c r="C19" s="13">
        <f>41177+17867</f>
        <v>59044</v>
      </c>
      <c r="D19" s="13">
        <v>59044</v>
      </c>
      <c r="E19" s="13"/>
      <c r="F19" s="13"/>
      <c r="G19" s="13"/>
      <c r="H19" s="13"/>
      <c r="I19" s="13"/>
      <c r="J19" s="13"/>
      <c r="K19" s="5">
        <f t="shared" si="1"/>
        <v>59044</v>
      </c>
      <c r="L19" s="5">
        <f t="shared" si="2"/>
        <v>59044</v>
      </c>
      <c r="M19" s="173">
        <f t="shared" si="3"/>
        <v>59044</v>
      </c>
      <c r="N19" s="5">
        <v>0</v>
      </c>
      <c r="O19" s="173">
        <f t="shared" si="4"/>
        <v>59044</v>
      </c>
      <c r="P19" s="5">
        <v>0</v>
      </c>
    </row>
    <row r="20" spans="1:16" ht="28.5">
      <c r="A20" s="44">
        <v>14</v>
      </c>
      <c r="B20" s="4" t="s">
        <v>31</v>
      </c>
      <c r="C20" s="13"/>
      <c r="D20" s="13"/>
      <c r="E20" s="13"/>
      <c r="F20" s="13"/>
      <c r="G20" s="13"/>
      <c r="H20" s="13"/>
      <c r="I20" s="13"/>
      <c r="J20" s="13"/>
      <c r="K20" s="5">
        <f t="shared" si="1"/>
        <v>0</v>
      </c>
      <c r="L20" s="5">
        <f t="shared" si="2"/>
        <v>0</v>
      </c>
      <c r="M20" s="173">
        <f t="shared" si="3"/>
        <v>0</v>
      </c>
      <c r="N20" s="5">
        <v>0</v>
      </c>
      <c r="O20" s="173">
        <f t="shared" si="4"/>
        <v>0</v>
      </c>
      <c r="P20" s="5">
        <v>0</v>
      </c>
    </row>
    <row r="21" spans="1:16" ht="42.75">
      <c r="A21" s="44">
        <v>15</v>
      </c>
      <c r="B21" s="4" t="s">
        <v>32</v>
      </c>
      <c r="C21" s="13">
        <f>60000+2000+260+3900</f>
        <v>66160</v>
      </c>
      <c r="D21" s="13">
        <v>66160</v>
      </c>
      <c r="E21" s="13"/>
      <c r="F21" s="13"/>
      <c r="G21" s="13"/>
      <c r="H21" s="13"/>
      <c r="I21" s="13"/>
      <c r="J21" s="13"/>
      <c r="K21" s="5">
        <f t="shared" si="1"/>
        <v>66160</v>
      </c>
      <c r="L21" s="5">
        <f t="shared" si="2"/>
        <v>66160</v>
      </c>
      <c r="M21" s="173">
        <f t="shared" si="3"/>
        <v>66160</v>
      </c>
      <c r="N21" s="5">
        <v>0</v>
      </c>
      <c r="O21" s="173">
        <f t="shared" si="4"/>
        <v>66160</v>
      </c>
      <c r="P21" s="5">
        <v>0</v>
      </c>
    </row>
    <row r="22" spans="1:16" ht="28.5">
      <c r="A22" s="44">
        <v>16</v>
      </c>
      <c r="B22" s="4" t="s">
        <v>33</v>
      </c>
      <c r="C22" s="5"/>
      <c r="D22" s="5"/>
      <c r="E22" s="5"/>
      <c r="F22" s="5"/>
      <c r="G22" s="5"/>
      <c r="H22" s="5"/>
      <c r="I22" s="5"/>
      <c r="J22" s="5"/>
      <c r="K22" s="5">
        <f t="shared" si="1"/>
        <v>0</v>
      </c>
      <c r="L22" s="5">
        <f t="shared" si="2"/>
        <v>0</v>
      </c>
      <c r="M22" s="173">
        <f t="shared" si="3"/>
        <v>0</v>
      </c>
      <c r="N22" s="5">
        <v>0</v>
      </c>
      <c r="O22" s="173">
        <f t="shared" si="4"/>
        <v>0</v>
      </c>
      <c r="P22" s="5">
        <v>0</v>
      </c>
    </row>
    <row r="23" spans="1:16" ht="28.5">
      <c r="A23" s="44">
        <v>17</v>
      </c>
      <c r="B23" s="9" t="s">
        <v>34</v>
      </c>
      <c r="C23" s="14"/>
      <c r="D23" s="14"/>
      <c r="E23" s="14"/>
      <c r="F23" s="14"/>
      <c r="G23" s="14"/>
      <c r="H23" s="14"/>
      <c r="I23" s="14"/>
      <c r="J23" s="14"/>
      <c r="K23" s="5">
        <f t="shared" si="1"/>
        <v>0</v>
      </c>
      <c r="L23" s="5">
        <f t="shared" si="2"/>
        <v>0</v>
      </c>
      <c r="M23" s="173">
        <f t="shared" si="3"/>
        <v>0</v>
      </c>
      <c r="N23" s="5">
        <v>0</v>
      </c>
      <c r="O23" s="173">
        <f t="shared" si="4"/>
        <v>0</v>
      </c>
      <c r="P23" s="5">
        <v>0</v>
      </c>
    </row>
    <row r="24" spans="1:16" ht="14.25">
      <c r="A24" s="44">
        <v>18</v>
      </c>
      <c r="B24" s="11" t="s">
        <v>35</v>
      </c>
      <c r="C24" s="12">
        <f>SUM(C19:C23)</f>
        <v>125204</v>
      </c>
      <c r="D24" s="12">
        <f aca="true" t="shared" si="6" ref="D24:I24">SUM(D19:D23)</f>
        <v>125204</v>
      </c>
      <c r="E24" s="12">
        <f t="shared" si="6"/>
        <v>0</v>
      </c>
      <c r="F24" s="12">
        <f t="shared" si="6"/>
        <v>0</v>
      </c>
      <c r="G24" s="12">
        <f t="shared" si="6"/>
        <v>0</v>
      </c>
      <c r="H24" s="12">
        <f t="shared" si="6"/>
        <v>0</v>
      </c>
      <c r="I24" s="12">
        <f t="shared" si="6"/>
        <v>0</v>
      </c>
      <c r="J24" s="12">
        <f>SUM(J19:J23)</f>
        <v>0</v>
      </c>
      <c r="K24" s="5">
        <f t="shared" si="1"/>
        <v>125204</v>
      </c>
      <c r="L24" s="5">
        <f t="shared" si="2"/>
        <v>125204</v>
      </c>
      <c r="M24" s="173">
        <f t="shared" si="3"/>
        <v>125204</v>
      </c>
      <c r="N24" s="5">
        <v>0</v>
      </c>
      <c r="O24" s="173">
        <f t="shared" si="4"/>
        <v>125204</v>
      </c>
      <c r="P24" s="5">
        <v>0</v>
      </c>
    </row>
    <row r="25" spans="1:16" ht="28.5">
      <c r="A25" s="44">
        <v>19</v>
      </c>
      <c r="B25" s="15" t="s">
        <v>36</v>
      </c>
      <c r="C25" s="16"/>
      <c r="D25" s="16"/>
      <c r="E25" s="16"/>
      <c r="F25" s="16"/>
      <c r="G25" s="16"/>
      <c r="H25" s="16"/>
      <c r="I25" s="16"/>
      <c r="J25" s="16"/>
      <c r="K25" s="5">
        <f t="shared" si="1"/>
        <v>0</v>
      </c>
      <c r="L25" s="5">
        <f t="shared" si="2"/>
        <v>0</v>
      </c>
      <c r="M25" s="173">
        <f t="shared" si="3"/>
        <v>0</v>
      </c>
      <c r="N25" s="5">
        <v>0</v>
      </c>
      <c r="O25" s="173">
        <f t="shared" si="4"/>
        <v>0</v>
      </c>
      <c r="P25" s="5">
        <v>0</v>
      </c>
    </row>
    <row r="26" spans="1:16" ht="28.5">
      <c r="A26" s="44">
        <v>20</v>
      </c>
      <c r="B26" s="15" t="s">
        <v>37</v>
      </c>
      <c r="C26" s="16"/>
      <c r="D26" s="16"/>
      <c r="E26" s="16"/>
      <c r="F26" s="16"/>
      <c r="G26" s="16"/>
      <c r="H26" s="16"/>
      <c r="I26" s="16"/>
      <c r="J26" s="16"/>
      <c r="K26" s="5">
        <f t="shared" si="1"/>
        <v>0</v>
      </c>
      <c r="L26" s="5">
        <f t="shared" si="2"/>
        <v>0</v>
      </c>
      <c r="M26" s="173">
        <f t="shared" si="3"/>
        <v>0</v>
      </c>
      <c r="N26" s="5">
        <v>0</v>
      </c>
      <c r="O26" s="173">
        <f t="shared" si="4"/>
        <v>0</v>
      </c>
      <c r="P26" s="5">
        <v>0</v>
      </c>
    </row>
    <row r="27" spans="1:16" ht="28.5">
      <c r="A27" s="44">
        <v>21</v>
      </c>
      <c r="B27" s="15" t="s">
        <v>38</v>
      </c>
      <c r="C27" s="16"/>
      <c r="D27" s="16"/>
      <c r="E27" s="16"/>
      <c r="F27" s="16"/>
      <c r="G27" s="16"/>
      <c r="H27" s="16"/>
      <c r="I27" s="16"/>
      <c r="J27" s="16"/>
      <c r="K27" s="5">
        <f t="shared" si="1"/>
        <v>0</v>
      </c>
      <c r="L27" s="5">
        <f t="shared" si="2"/>
        <v>0</v>
      </c>
      <c r="M27" s="173">
        <f t="shared" si="3"/>
        <v>0</v>
      </c>
      <c r="N27" s="5">
        <v>0</v>
      </c>
      <c r="O27" s="173">
        <f t="shared" si="4"/>
        <v>0</v>
      </c>
      <c r="P27" s="5">
        <v>0</v>
      </c>
    </row>
    <row r="28" spans="1:16" ht="14.25">
      <c r="A28" s="44">
        <v>22</v>
      </c>
      <c r="B28" s="11" t="s">
        <v>39</v>
      </c>
      <c r="C28" s="17">
        <f>SUM(C25:C27)</f>
        <v>0</v>
      </c>
      <c r="D28" s="17">
        <f aca="true" t="shared" si="7" ref="D28:I28">SUM(D25:D27)</f>
        <v>0</v>
      </c>
      <c r="E28" s="17">
        <f t="shared" si="7"/>
        <v>0</v>
      </c>
      <c r="F28" s="17">
        <f t="shared" si="7"/>
        <v>0</v>
      </c>
      <c r="G28" s="17">
        <f t="shared" si="7"/>
        <v>0</v>
      </c>
      <c r="H28" s="17">
        <f t="shared" si="7"/>
        <v>0</v>
      </c>
      <c r="I28" s="17">
        <f t="shared" si="7"/>
        <v>0</v>
      </c>
      <c r="J28" s="17">
        <f>SUM(J25:J27)</f>
        <v>0</v>
      </c>
      <c r="K28" s="5">
        <f t="shared" si="1"/>
        <v>0</v>
      </c>
      <c r="L28" s="5">
        <f t="shared" si="2"/>
        <v>0</v>
      </c>
      <c r="M28" s="173">
        <f t="shared" si="3"/>
        <v>0</v>
      </c>
      <c r="N28" s="5">
        <v>0</v>
      </c>
      <c r="O28" s="173">
        <f t="shared" si="4"/>
        <v>0</v>
      </c>
      <c r="P28" s="5">
        <v>0</v>
      </c>
    </row>
    <row r="29" spans="1:16" ht="14.25">
      <c r="A29" s="44">
        <v>23</v>
      </c>
      <c r="B29" s="18" t="s">
        <v>40</v>
      </c>
      <c r="C29" s="19">
        <f>C28+C24+C18-E13-G13-I13</f>
        <v>330398</v>
      </c>
      <c r="D29" s="19">
        <f>D28+D24+D18-F13-H13-J13</f>
        <v>347703</v>
      </c>
      <c r="E29" s="20">
        <f aca="true" t="shared" si="8" ref="E29:J29">E28+E24+E18</f>
        <v>53828</v>
      </c>
      <c r="F29" s="20">
        <f t="shared" si="8"/>
        <v>54298</v>
      </c>
      <c r="G29" s="20">
        <f t="shared" si="8"/>
        <v>190875</v>
      </c>
      <c r="H29" s="20">
        <f t="shared" si="8"/>
        <v>190620</v>
      </c>
      <c r="I29" s="20">
        <f t="shared" si="8"/>
        <v>59962</v>
      </c>
      <c r="J29" s="20">
        <f t="shared" si="8"/>
        <v>60485</v>
      </c>
      <c r="K29" s="5">
        <f t="shared" si="1"/>
        <v>635063</v>
      </c>
      <c r="L29" s="5">
        <f t="shared" si="2"/>
        <v>653106</v>
      </c>
      <c r="M29" s="173">
        <f t="shared" si="3"/>
        <v>635063</v>
      </c>
      <c r="N29" s="5">
        <v>0</v>
      </c>
      <c r="O29" s="173">
        <f t="shared" si="4"/>
        <v>653106</v>
      </c>
      <c r="P29" s="5">
        <v>0</v>
      </c>
    </row>
    <row r="30" spans="1:16" ht="42.75">
      <c r="A30" s="44">
        <v>24</v>
      </c>
      <c r="B30" s="21" t="s">
        <v>41</v>
      </c>
      <c r="C30" s="16"/>
      <c r="D30" s="16"/>
      <c r="E30" s="5"/>
      <c r="F30" s="5"/>
      <c r="G30" s="16"/>
      <c r="H30" s="16"/>
      <c r="I30" s="16"/>
      <c r="J30" s="16"/>
      <c r="K30" s="5">
        <f t="shared" si="1"/>
        <v>0</v>
      </c>
      <c r="L30" s="5">
        <f t="shared" si="2"/>
        <v>0</v>
      </c>
      <c r="M30" s="173">
        <f t="shared" si="3"/>
        <v>0</v>
      </c>
      <c r="N30" s="5">
        <v>0</v>
      </c>
      <c r="O30" s="173">
        <f t="shared" si="4"/>
        <v>0</v>
      </c>
      <c r="P30" s="5">
        <v>0</v>
      </c>
    </row>
    <row r="31" spans="1:16" ht="14.25">
      <c r="A31" s="44">
        <v>25</v>
      </c>
      <c r="B31" s="21" t="s">
        <v>42</v>
      </c>
      <c r="C31" s="16"/>
      <c r="D31" s="16">
        <v>35193</v>
      </c>
      <c r="E31" s="5"/>
      <c r="F31" s="5"/>
      <c r="G31" s="16"/>
      <c r="H31" s="16"/>
      <c r="I31" s="16"/>
      <c r="J31" s="16"/>
      <c r="K31" s="5">
        <f t="shared" si="1"/>
        <v>0</v>
      </c>
      <c r="L31" s="5">
        <f t="shared" si="2"/>
        <v>35193</v>
      </c>
      <c r="M31" s="173">
        <f t="shared" si="3"/>
        <v>0</v>
      </c>
      <c r="N31" s="5">
        <v>0</v>
      </c>
      <c r="O31" s="173">
        <f t="shared" si="4"/>
        <v>35193</v>
      </c>
      <c r="P31" s="5">
        <v>0</v>
      </c>
    </row>
    <row r="32" spans="1:16" ht="14.25">
      <c r="A32" s="44">
        <v>26</v>
      </c>
      <c r="B32" s="22" t="s">
        <v>43</v>
      </c>
      <c r="C32" s="23">
        <f aca="true" t="shared" si="9" ref="C32:I32">SUM(C29:C31)</f>
        <v>330398</v>
      </c>
      <c r="D32" s="23">
        <f t="shared" si="9"/>
        <v>382896</v>
      </c>
      <c r="E32" s="24">
        <f t="shared" si="9"/>
        <v>53828</v>
      </c>
      <c r="F32" s="24">
        <f t="shared" si="9"/>
        <v>54298</v>
      </c>
      <c r="G32" s="24">
        <f t="shared" si="9"/>
        <v>190875</v>
      </c>
      <c r="H32" s="24">
        <f t="shared" si="9"/>
        <v>190620</v>
      </c>
      <c r="I32" s="24">
        <f t="shared" si="9"/>
        <v>59962</v>
      </c>
      <c r="J32" s="24">
        <f>SUM(J29:J31)</f>
        <v>60485</v>
      </c>
      <c r="K32" s="5">
        <f t="shared" si="1"/>
        <v>635063</v>
      </c>
      <c r="L32" s="5">
        <f t="shared" si="2"/>
        <v>688299</v>
      </c>
      <c r="M32" s="173">
        <f t="shared" si="3"/>
        <v>635063</v>
      </c>
      <c r="N32" s="5">
        <v>0</v>
      </c>
      <c r="O32" s="173">
        <f t="shared" si="4"/>
        <v>688299</v>
      </c>
      <c r="P32" s="5">
        <v>0</v>
      </c>
    </row>
    <row r="33" spans="1:16" ht="14.25">
      <c r="A33" s="44">
        <v>27</v>
      </c>
      <c r="B33" s="21"/>
      <c r="C33" s="16"/>
      <c r="D33" s="16"/>
      <c r="E33" s="16"/>
      <c r="F33" s="16"/>
      <c r="G33" s="16"/>
      <c r="H33" s="16"/>
      <c r="I33" s="16"/>
      <c r="J33" s="16"/>
      <c r="K33" s="5">
        <f t="shared" si="1"/>
        <v>0</v>
      </c>
      <c r="L33" s="5">
        <f t="shared" si="2"/>
        <v>0</v>
      </c>
      <c r="M33" s="173">
        <f t="shared" si="3"/>
        <v>0</v>
      </c>
      <c r="N33" s="5">
        <v>0</v>
      </c>
      <c r="O33" s="173">
        <f t="shared" si="4"/>
        <v>0</v>
      </c>
      <c r="P33" s="5">
        <v>0</v>
      </c>
    </row>
    <row r="34" spans="1:16" s="50" customFormat="1" ht="28.5">
      <c r="A34" s="44">
        <v>28</v>
      </c>
      <c r="B34" s="7" t="s">
        <v>44</v>
      </c>
      <c r="C34" s="8">
        <f aca="true" t="shared" si="10" ref="C34:H34">C32-C73</f>
        <v>0</v>
      </c>
      <c r="D34" s="8">
        <f t="shared" si="10"/>
        <v>0</v>
      </c>
      <c r="E34" s="8">
        <f t="shared" si="10"/>
        <v>0</v>
      </c>
      <c r="F34" s="8">
        <f t="shared" si="10"/>
        <v>0</v>
      </c>
      <c r="G34" s="8">
        <f t="shared" si="10"/>
        <v>0</v>
      </c>
      <c r="H34" s="8">
        <f t="shared" si="10"/>
        <v>0</v>
      </c>
      <c r="I34" s="8">
        <f>I32-I73</f>
        <v>0</v>
      </c>
      <c r="J34" s="8">
        <f>J32-J73</f>
        <v>0</v>
      </c>
      <c r="K34" s="5">
        <f t="shared" si="1"/>
        <v>0</v>
      </c>
      <c r="L34" s="5">
        <f t="shared" si="2"/>
        <v>0</v>
      </c>
      <c r="M34" s="173">
        <f t="shared" si="3"/>
        <v>0</v>
      </c>
      <c r="N34" s="5">
        <v>0</v>
      </c>
      <c r="O34" s="173">
        <f t="shared" si="4"/>
        <v>0</v>
      </c>
      <c r="P34" s="5">
        <v>0</v>
      </c>
    </row>
    <row r="35" spans="1:16" s="50" customFormat="1" ht="28.5">
      <c r="A35" s="44">
        <v>29</v>
      </c>
      <c r="B35" s="7" t="s">
        <v>45</v>
      </c>
      <c r="C35" s="8">
        <f aca="true" t="shared" si="11" ref="C35:H35">C32-C73</f>
        <v>0</v>
      </c>
      <c r="D35" s="8">
        <f t="shared" si="11"/>
        <v>0</v>
      </c>
      <c r="E35" s="8">
        <f t="shared" si="11"/>
        <v>0</v>
      </c>
      <c r="F35" s="8">
        <f t="shared" si="11"/>
        <v>0</v>
      </c>
      <c r="G35" s="8">
        <f t="shared" si="11"/>
        <v>0</v>
      </c>
      <c r="H35" s="8">
        <f t="shared" si="11"/>
        <v>0</v>
      </c>
      <c r="I35" s="8">
        <f>I32-I73</f>
        <v>0</v>
      </c>
      <c r="J35" s="8">
        <f>J32-J73</f>
        <v>0</v>
      </c>
      <c r="K35" s="5">
        <f t="shared" si="1"/>
        <v>0</v>
      </c>
      <c r="L35" s="5">
        <f t="shared" si="2"/>
        <v>0</v>
      </c>
      <c r="M35" s="173">
        <f t="shared" si="3"/>
        <v>0</v>
      </c>
      <c r="N35" s="5">
        <v>0</v>
      </c>
      <c r="O35" s="173">
        <f t="shared" si="4"/>
        <v>0</v>
      </c>
      <c r="P35" s="5">
        <v>0</v>
      </c>
    </row>
    <row r="36" spans="1:16" s="50" customFormat="1" ht="71.25">
      <c r="A36" s="44">
        <v>30</v>
      </c>
      <c r="B36" s="7" t="s">
        <v>46</v>
      </c>
      <c r="C36" s="8">
        <f aca="true" t="shared" si="12" ref="C36:H36">C34+C22</f>
        <v>0</v>
      </c>
      <c r="D36" s="8">
        <f t="shared" si="12"/>
        <v>0</v>
      </c>
      <c r="E36" s="8">
        <f t="shared" si="12"/>
        <v>0</v>
      </c>
      <c r="F36" s="8">
        <f t="shared" si="12"/>
        <v>0</v>
      </c>
      <c r="G36" s="8">
        <f t="shared" si="12"/>
        <v>0</v>
      </c>
      <c r="H36" s="8">
        <f t="shared" si="12"/>
        <v>0</v>
      </c>
      <c r="I36" s="8">
        <f>I34+I22</f>
        <v>0</v>
      </c>
      <c r="J36" s="8">
        <f>J34+J22</f>
        <v>0</v>
      </c>
      <c r="K36" s="5">
        <f t="shared" si="1"/>
        <v>0</v>
      </c>
      <c r="L36" s="5">
        <f t="shared" si="2"/>
        <v>0</v>
      </c>
      <c r="M36" s="173">
        <f t="shared" si="3"/>
        <v>0</v>
      </c>
      <c r="N36" s="5">
        <v>0</v>
      </c>
      <c r="O36" s="173">
        <f t="shared" si="4"/>
        <v>0</v>
      </c>
      <c r="P36" s="5">
        <v>0</v>
      </c>
    </row>
    <row r="37" spans="1:16" s="50" customFormat="1" ht="20.25">
      <c r="A37" s="44"/>
      <c r="B37" s="49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 s="50" customFormat="1" ht="20.25">
      <c r="A38" s="44"/>
      <c r="B38" s="49" t="s">
        <v>80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 s="50" customFormat="1" ht="20.25">
      <c r="A39" s="44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50" customFormat="1" ht="71.25">
      <c r="A40" s="44"/>
      <c r="B40" s="1" t="s">
        <v>1</v>
      </c>
      <c r="C40" s="2" t="s">
        <v>2</v>
      </c>
      <c r="D40" s="2" t="s">
        <v>82</v>
      </c>
      <c r="E40" s="2" t="s">
        <v>81</v>
      </c>
      <c r="F40" s="2" t="s">
        <v>83</v>
      </c>
      <c r="G40" s="2" t="s">
        <v>3</v>
      </c>
      <c r="H40" s="2" t="s">
        <v>84</v>
      </c>
      <c r="I40" s="2" t="s">
        <v>88</v>
      </c>
      <c r="J40" s="2" t="s">
        <v>85</v>
      </c>
      <c r="K40" s="3" t="s">
        <v>4</v>
      </c>
      <c r="L40" s="3" t="s">
        <v>5</v>
      </c>
      <c r="M40" s="172" t="s">
        <v>86</v>
      </c>
      <c r="N40" s="3" t="s">
        <v>87</v>
      </c>
      <c r="O40" s="172" t="s">
        <v>89</v>
      </c>
      <c r="P40" s="3" t="s">
        <v>90</v>
      </c>
    </row>
    <row r="41" spans="1:16" s="50" customFormat="1" ht="14.25">
      <c r="A41" s="44"/>
      <c r="B41" s="1" t="s">
        <v>6</v>
      </c>
      <c r="C41" s="2" t="s">
        <v>7</v>
      </c>
      <c r="D41" s="1" t="s">
        <v>8</v>
      </c>
      <c r="E41" s="2" t="s">
        <v>9</v>
      </c>
      <c r="F41" s="2" t="s">
        <v>10</v>
      </c>
      <c r="G41" s="2" t="s">
        <v>11</v>
      </c>
      <c r="H41" s="2" t="s">
        <v>12</v>
      </c>
      <c r="I41" s="2" t="s">
        <v>13</v>
      </c>
      <c r="J41" s="2" t="s">
        <v>14</v>
      </c>
      <c r="K41" s="3" t="s">
        <v>15</v>
      </c>
      <c r="L41" s="3" t="s">
        <v>16</v>
      </c>
      <c r="M41" s="172" t="s">
        <v>17</v>
      </c>
      <c r="N41" s="3" t="s">
        <v>18</v>
      </c>
      <c r="O41" s="172" t="s">
        <v>94</v>
      </c>
      <c r="P41" s="3" t="s">
        <v>95</v>
      </c>
    </row>
    <row r="42" spans="1:16" s="50" customFormat="1" ht="14.25">
      <c r="A42" s="44">
        <v>1</v>
      </c>
      <c r="B42" s="25" t="s">
        <v>47</v>
      </c>
      <c r="C42" s="5">
        <v>23202</v>
      </c>
      <c r="D42" s="5">
        <v>29143</v>
      </c>
      <c r="E42" s="5">
        <v>38413</v>
      </c>
      <c r="F42" s="5">
        <v>38883</v>
      </c>
      <c r="G42" s="5">
        <v>42354</v>
      </c>
      <c r="H42" s="5">
        <v>41304</v>
      </c>
      <c r="I42" s="5">
        <v>22914</v>
      </c>
      <c r="J42" s="5">
        <v>23437</v>
      </c>
      <c r="K42" s="5">
        <f>C42+E42+G42+I42</f>
        <v>126883</v>
      </c>
      <c r="L42" s="5">
        <f>D42+F42+H42+J42</f>
        <v>132767</v>
      </c>
      <c r="M42" s="173">
        <f>C42+E42+G42+I42</f>
        <v>126883</v>
      </c>
      <c r="N42" s="5">
        <v>0</v>
      </c>
      <c r="O42" s="173">
        <f>D42+F42+H42+J42</f>
        <v>132767</v>
      </c>
      <c r="P42" s="5">
        <v>0</v>
      </c>
    </row>
    <row r="43" spans="1:16" s="50" customFormat="1" ht="28.5">
      <c r="A43" s="44">
        <v>2</v>
      </c>
      <c r="B43" s="25" t="s">
        <v>48</v>
      </c>
      <c r="C43" s="5">
        <v>7712</v>
      </c>
      <c r="D43" s="5">
        <v>8826</v>
      </c>
      <c r="E43" s="5">
        <v>11003</v>
      </c>
      <c r="F43" s="5">
        <v>11003</v>
      </c>
      <c r="G43" s="5">
        <v>12569</v>
      </c>
      <c r="H43" s="5">
        <v>12127</v>
      </c>
      <c r="I43" s="5">
        <v>6211</v>
      </c>
      <c r="J43" s="5">
        <v>6211</v>
      </c>
      <c r="K43" s="5">
        <f aca="true" t="shared" si="13" ref="K43:K72">C43+E43+G43+I43</f>
        <v>37495</v>
      </c>
      <c r="L43" s="5">
        <f aca="true" t="shared" si="14" ref="L43:L72">D43+F43+H43+J43</f>
        <v>38167</v>
      </c>
      <c r="M43" s="173">
        <f aca="true" t="shared" si="15" ref="M43:M72">C43+E43+G43+I43</f>
        <v>37495</v>
      </c>
      <c r="N43" s="5">
        <v>0</v>
      </c>
      <c r="O43" s="173">
        <f aca="true" t="shared" si="16" ref="O43:O48">D43+F43+H43+J43</f>
        <v>38167</v>
      </c>
      <c r="P43" s="5">
        <v>0</v>
      </c>
    </row>
    <row r="44" spans="1:16" s="50" customFormat="1" ht="14.25">
      <c r="A44" s="44">
        <v>3</v>
      </c>
      <c r="B44" s="25" t="s">
        <v>49</v>
      </c>
      <c r="C44" s="5">
        <v>52285</v>
      </c>
      <c r="D44" s="5">
        <v>60452</v>
      </c>
      <c r="E44" s="5">
        <v>4412</v>
      </c>
      <c r="F44" s="5">
        <v>4412</v>
      </c>
      <c r="G44" s="5">
        <v>135952</v>
      </c>
      <c r="H44" s="5">
        <v>136771</v>
      </c>
      <c r="I44" s="5">
        <v>30837</v>
      </c>
      <c r="J44" s="5">
        <v>30837</v>
      </c>
      <c r="K44" s="5">
        <f t="shared" si="13"/>
        <v>223486</v>
      </c>
      <c r="L44" s="5">
        <f t="shared" si="14"/>
        <v>232472</v>
      </c>
      <c r="M44" s="173">
        <f t="shared" si="15"/>
        <v>223486</v>
      </c>
      <c r="N44" s="5">
        <v>0</v>
      </c>
      <c r="O44" s="173">
        <f t="shared" si="16"/>
        <v>232472</v>
      </c>
      <c r="P44" s="5">
        <v>0</v>
      </c>
    </row>
    <row r="45" spans="1:16" s="50" customFormat="1" ht="28.5">
      <c r="A45" s="44">
        <v>4</v>
      </c>
      <c r="B45" s="26" t="s">
        <v>50</v>
      </c>
      <c r="C45" s="27">
        <f>E13+G13+I13</f>
        <v>168876</v>
      </c>
      <c r="D45" s="27">
        <f>F13+H13+J13</f>
        <v>169398</v>
      </c>
      <c r="E45" s="27">
        <v>0</v>
      </c>
      <c r="F45" s="27">
        <v>0</v>
      </c>
      <c r="G45" s="14">
        <v>0</v>
      </c>
      <c r="H45" s="14">
        <v>0</v>
      </c>
      <c r="I45" s="14">
        <v>0</v>
      </c>
      <c r="J45" s="14">
        <v>0</v>
      </c>
      <c r="K45" s="5">
        <f t="shared" si="13"/>
        <v>168876</v>
      </c>
      <c r="L45" s="5">
        <f t="shared" si="14"/>
        <v>169398</v>
      </c>
      <c r="M45" s="173">
        <f t="shared" si="15"/>
        <v>168876</v>
      </c>
      <c r="N45" s="5">
        <v>0</v>
      </c>
      <c r="O45" s="173">
        <f t="shared" si="16"/>
        <v>169398</v>
      </c>
      <c r="P45" s="5">
        <v>0</v>
      </c>
    </row>
    <row r="46" spans="1:16" s="50" customFormat="1" ht="14.25">
      <c r="A46" s="44">
        <v>5</v>
      </c>
      <c r="B46" s="25" t="s">
        <v>51</v>
      </c>
      <c r="C46" s="5">
        <f>SUM(C47:C50)</f>
        <v>85710</v>
      </c>
      <c r="D46" s="5">
        <f aca="true" t="shared" si="17" ref="D46:P46">SUM(D47:D50)</f>
        <v>86450</v>
      </c>
      <c r="E46" s="5">
        <f t="shared" si="17"/>
        <v>0</v>
      </c>
      <c r="F46" s="5">
        <f t="shared" si="17"/>
        <v>0</v>
      </c>
      <c r="G46" s="5">
        <f t="shared" si="17"/>
        <v>0</v>
      </c>
      <c r="H46" s="5">
        <f t="shared" si="17"/>
        <v>0</v>
      </c>
      <c r="I46" s="5">
        <f t="shared" si="17"/>
        <v>0</v>
      </c>
      <c r="J46" s="5">
        <f t="shared" si="17"/>
        <v>0</v>
      </c>
      <c r="K46" s="5">
        <f t="shared" si="17"/>
        <v>85710</v>
      </c>
      <c r="L46" s="5">
        <f t="shared" si="17"/>
        <v>86450</v>
      </c>
      <c r="M46" s="173">
        <f t="shared" si="17"/>
        <v>5350</v>
      </c>
      <c r="N46" s="5">
        <f t="shared" si="17"/>
        <v>80360</v>
      </c>
      <c r="O46" s="173">
        <f t="shared" si="17"/>
        <v>6149</v>
      </c>
      <c r="P46" s="5">
        <f t="shared" si="17"/>
        <v>80301</v>
      </c>
    </row>
    <row r="47" spans="1:16" s="50" customFormat="1" ht="14.25">
      <c r="A47" s="44">
        <v>6</v>
      </c>
      <c r="B47" s="28" t="s">
        <v>52</v>
      </c>
      <c r="C47" s="16">
        <v>2750</v>
      </c>
      <c r="D47" s="16">
        <v>2850</v>
      </c>
      <c r="E47" s="16"/>
      <c r="F47" s="16"/>
      <c r="G47" s="16"/>
      <c r="H47" s="16"/>
      <c r="I47" s="16"/>
      <c r="J47" s="16"/>
      <c r="K47" s="5">
        <f t="shared" si="13"/>
        <v>2750</v>
      </c>
      <c r="L47" s="5">
        <f t="shared" si="14"/>
        <v>2850</v>
      </c>
      <c r="M47" s="173">
        <f t="shared" si="15"/>
        <v>2750</v>
      </c>
      <c r="N47" s="5">
        <v>0</v>
      </c>
      <c r="O47" s="173">
        <f t="shared" si="16"/>
        <v>2850</v>
      </c>
      <c r="P47" s="5">
        <v>0</v>
      </c>
    </row>
    <row r="48" spans="1:16" s="50" customFormat="1" ht="28.5">
      <c r="A48" s="44">
        <v>7</v>
      </c>
      <c r="B48" s="29" t="s">
        <v>53</v>
      </c>
      <c r="C48" s="16"/>
      <c r="D48" s="16"/>
      <c r="E48" s="16"/>
      <c r="F48" s="16"/>
      <c r="G48" s="16"/>
      <c r="H48" s="16"/>
      <c r="I48" s="16"/>
      <c r="J48" s="16"/>
      <c r="K48" s="5">
        <f t="shared" si="13"/>
        <v>0</v>
      </c>
      <c r="L48" s="5">
        <f t="shared" si="14"/>
        <v>0</v>
      </c>
      <c r="M48" s="173">
        <f t="shared" si="15"/>
        <v>0</v>
      </c>
      <c r="N48" s="5">
        <v>0</v>
      </c>
      <c r="O48" s="173">
        <f t="shared" si="16"/>
        <v>0</v>
      </c>
      <c r="P48" s="5">
        <v>0</v>
      </c>
    </row>
    <row r="49" spans="1:16" s="50" customFormat="1" ht="28.5">
      <c r="A49" s="44">
        <v>8</v>
      </c>
      <c r="B49" s="28" t="s">
        <v>54</v>
      </c>
      <c r="C49" s="16">
        <v>75860</v>
      </c>
      <c r="D49" s="16">
        <v>75860</v>
      </c>
      <c r="E49" s="16"/>
      <c r="F49" s="16"/>
      <c r="G49" s="16"/>
      <c r="H49" s="16"/>
      <c r="I49" s="16"/>
      <c r="J49" s="16"/>
      <c r="K49" s="5">
        <f t="shared" si="13"/>
        <v>75860</v>
      </c>
      <c r="L49" s="5">
        <f t="shared" si="14"/>
        <v>75860</v>
      </c>
      <c r="M49" s="173">
        <v>0</v>
      </c>
      <c r="N49" s="5">
        <f>C49</f>
        <v>75860</v>
      </c>
      <c r="O49" s="173">
        <v>0</v>
      </c>
      <c r="P49" s="5">
        <f>D49</f>
        <v>75860</v>
      </c>
    </row>
    <row r="50" spans="1:16" s="51" customFormat="1" ht="28.5">
      <c r="A50" s="44">
        <v>9</v>
      </c>
      <c r="B50" s="28" t="s">
        <v>55</v>
      </c>
      <c r="C50" s="2">
        <v>7100</v>
      </c>
      <c r="D50" s="2">
        <v>7740</v>
      </c>
      <c r="E50" s="2"/>
      <c r="F50" s="2"/>
      <c r="G50" s="2"/>
      <c r="H50" s="2"/>
      <c r="I50" s="2"/>
      <c r="J50" s="2"/>
      <c r="K50" s="5">
        <f t="shared" si="13"/>
        <v>7100</v>
      </c>
      <c r="L50" s="5">
        <f>D50+F50+H50+J50</f>
        <v>7740</v>
      </c>
      <c r="M50" s="173">
        <f>C50+E50+G50+I50-N50</f>
        <v>2600</v>
      </c>
      <c r="N50" s="5">
        <v>4500</v>
      </c>
      <c r="O50" s="173">
        <v>3299</v>
      </c>
      <c r="P50" s="5">
        <v>4441</v>
      </c>
    </row>
    <row r="51" spans="1:16" ht="28.5">
      <c r="A51" s="44">
        <v>10</v>
      </c>
      <c r="B51" s="25" t="s">
        <v>56</v>
      </c>
      <c r="C51" s="5">
        <f>SUM(C52:C53)</f>
        <v>7000</v>
      </c>
      <c r="D51" s="5">
        <f aca="true" t="shared" si="18" ref="D51:P51">SUM(D52:D53)</f>
        <v>42714</v>
      </c>
      <c r="E51" s="5">
        <f t="shared" si="18"/>
        <v>0</v>
      </c>
      <c r="F51" s="5">
        <f t="shared" si="18"/>
        <v>0</v>
      </c>
      <c r="G51" s="5">
        <f t="shared" si="18"/>
        <v>0</v>
      </c>
      <c r="H51" s="5">
        <f t="shared" si="18"/>
        <v>0</v>
      </c>
      <c r="I51" s="5">
        <f t="shared" si="18"/>
        <v>0</v>
      </c>
      <c r="J51" s="5">
        <f t="shared" si="18"/>
        <v>0</v>
      </c>
      <c r="K51" s="5">
        <f t="shared" si="18"/>
        <v>7000</v>
      </c>
      <c r="L51" s="5">
        <f t="shared" si="18"/>
        <v>42714</v>
      </c>
      <c r="M51" s="173">
        <f t="shared" si="18"/>
        <v>7000</v>
      </c>
      <c r="N51" s="176">
        <f t="shared" si="18"/>
        <v>0</v>
      </c>
      <c r="O51" s="173">
        <f t="shared" si="18"/>
        <v>42714</v>
      </c>
      <c r="P51" s="176">
        <f t="shared" si="18"/>
        <v>0</v>
      </c>
    </row>
    <row r="52" spans="1:16" ht="14.25">
      <c r="A52" s="44">
        <v>11</v>
      </c>
      <c r="B52" s="29" t="s">
        <v>57</v>
      </c>
      <c r="C52" s="16">
        <v>6200</v>
      </c>
      <c r="D52" s="16">
        <v>41914</v>
      </c>
      <c r="E52" s="16"/>
      <c r="F52" s="16"/>
      <c r="G52" s="16"/>
      <c r="H52" s="16"/>
      <c r="I52" s="16"/>
      <c r="J52" s="16"/>
      <c r="K52" s="5">
        <f t="shared" si="13"/>
        <v>6200</v>
      </c>
      <c r="L52" s="5">
        <f t="shared" si="14"/>
        <v>41914</v>
      </c>
      <c r="M52" s="173">
        <f t="shared" si="15"/>
        <v>6200</v>
      </c>
      <c r="N52" s="5">
        <v>0</v>
      </c>
      <c r="O52" s="173">
        <f>D52</f>
        <v>41914</v>
      </c>
      <c r="P52" s="5">
        <v>0</v>
      </c>
    </row>
    <row r="53" spans="1:16" ht="14.25">
      <c r="A53" s="44">
        <v>12</v>
      </c>
      <c r="B53" s="29" t="s">
        <v>58</v>
      </c>
      <c r="C53" s="16">
        <v>800</v>
      </c>
      <c r="D53" s="16">
        <v>800</v>
      </c>
      <c r="E53" s="16"/>
      <c r="F53" s="16"/>
      <c r="G53" s="16"/>
      <c r="H53" s="16"/>
      <c r="I53" s="16"/>
      <c r="J53" s="16"/>
      <c r="K53" s="5">
        <f t="shared" si="13"/>
        <v>800</v>
      </c>
      <c r="L53" s="5">
        <f t="shared" si="14"/>
        <v>800</v>
      </c>
      <c r="M53" s="173">
        <f t="shared" si="15"/>
        <v>800</v>
      </c>
      <c r="N53" s="5">
        <v>0</v>
      </c>
      <c r="O53" s="173">
        <f>D53</f>
        <v>800</v>
      </c>
      <c r="P53" s="5">
        <v>0</v>
      </c>
    </row>
    <row r="54" spans="1:16" s="52" customFormat="1" ht="14.25">
      <c r="A54" s="44">
        <v>13</v>
      </c>
      <c r="B54" s="30" t="s">
        <v>59</v>
      </c>
      <c r="C54" s="12">
        <f>C51+C46+C45+C44+C43+C42</f>
        <v>344785</v>
      </c>
      <c r="D54" s="12">
        <f aca="true" t="shared" si="19" ref="D54:I54">D51+D46+D45+D44+D43+D42</f>
        <v>396983</v>
      </c>
      <c r="E54" s="12">
        <f t="shared" si="19"/>
        <v>53828</v>
      </c>
      <c r="F54" s="12">
        <f t="shared" si="19"/>
        <v>54298</v>
      </c>
      <c r="G54" s="12">
        <f t="shared" si="19"/>
        <v>190875</v>
      </c>
      <c r="H54" s="12">
        <f t="shared" si="19"/>
        <v>190202</v>
      </c>
      <c r="I54" s="12">
        <f t="shared" si="19"/>
        <v>59962</v>
      </c>
      <c r="J54" s="12">
        <f>J51+J46+J45+J44+J43+J42</f>
        <v>60485</v>
      </c>
      <c r="K54" s="12">
        <f aca="true" t="shared" si="20" ref="K54:P54">K51+K46+K45+K44+K43+K42</f>
        <v>649450</v>
      </c>
      <c r="L54" s="12">
        <f t="shared" si="20"/>
        <v>701968</v>
      </c>
      <c r="M54" s="12">
        <f t="shared" si="20"/>
        <v>569090</v>
      </c>
      <c r="N54" s="12">
        <f t="shared" si="20"/>
        <v>80360</v>
      </c>
      <c r="O54" s="12">
        <f t="shared" si="20"/>
        <v>621667</v>
      </c>
      <c r="P54" s="12">
        <f t="shared" si="20"/>
        <v>80301</v>
      </c>
    </row>
    <row r="55" spans="1:16" ht="14.25">
      <c r="A55" s="44">
        <v>14</v>
      </c>
      <c r="B55" s="31" t="s">
        <v>60</v>
      </c>
      <c r="C55" s="5">
        <f>154489-C56</f>
        <v>124770</v>
      </c>
      <c r="D55" s="5">
        <v>126751</v>
      </c>
      <c r="E55" s="5"/>
      <c r="F55" s="5"/>
      <c r="G55" s="5"/>
      <c r="H55" s="5">
        <v>418</v>
      </c>
      <c r="I55" s="5"/>
      <c r="J55" s="5"/>
      <c r="K55" s="5">
        <f t="shared" si="13"/>
        <v>124770</v>
      </c>
      <c r="L55" s="5">
        <f t="shared" si="14"/>
        <v>127169</v>
      </c>
      <c r="M55" s="173">
        <f>C55</f>
        <v>124770</v>
      </c>
      <c r="N55" s="5">
        <v>0</v>
      </c>
      <c r="O55" s="173">
        <f>D55+H55</f>
        <v>127169</v>
      </c>
      <c r="P55" s="5">
        <f>D55+F55+H55+J55-O55</f>
        <v>0</v>
      </c>
    </row>
    <row r="56" spans="1:16" ht="14.25">
      <c r="A56" s="44">
        <v>15</v>
      </c>
      <c r="B56" s="31" t="s">
        <v>61</v>
      </c>
      <c r="C56" s="5">
        <f>23401+5778+540</f>
        <v>29719</v>
      </c>
      <c r="D56" s="5">
        <v>28560</v>
      </c>
      <c r="E56" s="5"/>
      <c r="F56" s="5"/>
      <c r="G56" s="5"/>
      <c r="H56" s="5"/>
      <c r="I56" s="5"/>
      <c r="J56" s="5"/>
      <c r="K56" s="5">
        <f t="shared" si="13"/>
        <v>29719</v>
      </c>
      <c r="L56" s="5">
        <f t="shared" si="14"/>
        <v>28560</v>
      </c>
      <c r="M56" s="173">
        <f>C56</f>
        <v>29719</v>
      </c>
      <c r="N56" s="5">
        <v>0</v>
      </c>
      <c r="O56" s="173">
        <f>D56</f>
        <v>28560</v>
      </c>
      <c r="P56" s="5">
        <v>0</v>
      </c>
    </row>
    <row r="57" spans="1:16" ht="14.25">
      <c r="A57" s="44">
        <v>16</v>
      </c>
      <c r="B57" s="25" t="s">
        <v>62</v>
      </c>
      <c r="C57" s="5"/>
      <c r="D57" s="5"/>
      <c r="E57" s="5"/>
      <c r="F57" s="5"/>
      <c r="G57" s="5"/>
      <c r="H57" s="5"/>
      <c r="I57" s="5"/>
      <c r="J57" s="5"/>
      <c r="K57" s="5">
        <f t="shared" si="13"/>
        <v>0</v>
      </c>
      <c r="L57" s="5">
        <f t="shared" si="14"/>
        <v>0</v>
      </c>
      <c r="M57" s="173">
        <f t="shared" si="15"/>
        <v>0</v>
      </c>
      <c r="N57" s="5">
        <v>0</v>
      </c>
      <c r="O57" s="173">
        <v>0</v>
      </c>
      <c r="P57" s="5">
        <v>0</v>
      </c>
    </row>
    <row r="58" spans="1:16" ht="14.25">
      <c r="A58" s="44">
        <v>17</v>
      </c>
      <c r="B58" s="25" t="s">
        <v>63</v>
      </c>
      <c r="C58" s="5"/>
      <c r="D58" s="5"/>
      <c r="E58" s="5"/>
      <c r="F58" s="5"/>
      <c r="G58" s="5"/>
      <c r="H58" s="5"/>
      <c r="I58" s="5"/>
      <c r="J58" s="5"/>
      <c r="K58" s="5">
        <f t="shared" si="13"/>
        <v>0</v>
      </c>
      <c r="L58" s="5">
        <f t="shared" si="14"/>
        <v>0</v>
      </c>
      <c r="M58" s="173">
        <f t="shared" si="15"/>
        <v>0</v>
      </c>
      <c r="N58" s="5">
        <v>0</v>
      </c>
      <c r="O58" s="173">
        <v>0</v>
      </c>
      <c r="P58" s="5">
        <v>0</v>
      </c>
    </row>
    <row r="59" spans="1:16" ht="14.25">
      <c r="A59" s="44">
        <v>18</v>
      </c>
      <c r="B59" s="25" t="s">
        <v>64</v>
      </c>
      <c r="C59" s="5"/>
      <c r="D59" s="5"/>
      <c r="E59" s="5"/>
      <c r="F59" s="5"/>
      <c r="G59" s="5"/>
      <c r="H59" s="5"/>
      <c r="I59" s="5"/>
      <c r="J59" s="5"/>
      <c r="K59" s="5">
        <f t="shared" si="13"/>
        <v>0</v>
      </c>
      <c r="L59" s="5">
        <f t="shared" si="14"/>
        <v>0</v>
      </c>
      <c r="M59" s="173">
        <f t="shared" si="15"/>
        <v>0</v>
      </c>
      <c r="N59" s="5">
        <v>0</v>
      </c>
      <c r="O59" s="173">
        <v>0</v>
      </c>
      <c r="P59" s="5">
        <v>0</v>
      </c>
    </row>
    <row r="60" spans="1:16" ht="28.5">
      <c r="A60" s="44">
        <v>19</v>
      </c>
      <c r="B60" s="9" t="s">
        <v>65</v>
      </c>
      <c r="C60" s="14">
        <f>E23+G23</f>
        <v>0</v>
      </c>
      <c r="D60" s="14"/>
      <c r="E60" s="14"/>
      <c r="F60" s="14"/>
      <c r="G60" s="14"/>
      <c r="H60" s="14"/>
      <c r="I60" s="14"/>
      <c r="J60" s="14"/>
      <c r="K60" s="5">
        <f t="shared" si="13"/>
        <v>0</v>
      </c>
      <c r="L60" s="5">
        <f t="shared" si="14"/>
        <v>0</v>
      </c>
      <c r="M60" s="173">
        <f t="shared" si="15"/>
        <v>0</v>
      </c>
      <c r="N60" s="5">
        <v>0</v>
      </c>
      <c r="O60" s="173">
        <v>0</v>
      </c>
      <c r="P60" s="5">
        <v>0</v>
      </c>
    </row>
    <row r="61" spans="1:16" ht="14.25">
      <c r="A61" s="44">
        <v>20</v>
      </c>
      <c r="B61" s="25" t="s">
        <v>66</v>
      </c>
      <c r="C61" s="5">
        <f>SUM(C62:C65)</f>
        <v>0</v>
      </c>
      <c r="D61" s="5">
        <f aca="true" t="shared" si="21" ref="D61:I61">SUM(D62:D65)</f>
        <v>0</v>
      </c>
      <c r="E61" s="5">
        <f t="shared" si="21"/>
        <v>0</v>
      </c>
      <c r="F61" s="5">
        <f t="shared" si="21"/>
        <v>0</v>
      </c>
      <c r="G61" s="5">
        <f t="shared" si="21"/>
        <v>0</v>
      </c>
      <c r="H61" s="5">
        <f t="shared" si="21"/>
        <v>0</v>
      </c>
      <c r="I61" s="5">
        <f t="shared" si="21"/>
        <v>0</v>
      </c>
      <c r="J61" s="5">
        <f>SUM(J62:J65)</f>
        <v>0</v>
      </c>
      <c r="K61" s="5">
        <f>SUM(K62:K65)</f>
        <v>0</v>
      </c>
      <c r="L61" s="5">
        <f>SUM(L62:L65)</f>
        <v>0</v>
      </c>
      <c r="M61" s="173">
        <f>SUM(M62:M65)</f>
        <v>0</v>
      </c>
      <c r="N61" s="5">
        <f>SUM(N62:N65)</f>
        <v>0</v>
      </c>
      <c r="O61" s="173">
        <v>0</v>
      </c>
      <c r="P61" s="5">
        <v>0</v>
      </c>
    </row>
    <row r="62" spans="1:16" ht="14.25">
      <c r="A62" s="44">
        <v>21</v>
      </c>
      <c r="B62" s="32" t="s">
        <v>67</v>
      </c>
      <c r="C62" s="16"/>
      <c r="D62" s="16"/>
      <c r="E62" s="16"/>
      <c r="F62" s="16"/>
      <c r="G62" s="16"/>
      <c r="H62" s="16"/>
      <c r="I62" s="16"/>
      <c r="J62" s="16"/>
      <c r="K62" s="5">
        <f t="shared" si="13"/>
        <v>0</v>
      </c>
      <c r="L62" s="5">
        <f t="shared" si="14"/>
        <v>0</v>
      </c>
      <c r="M62" s="173">
        <f t="shared" si="15"/>
        <v>0</v>
      </c>
      <c r="N62" s="5">
        <v>0</v>
      </c>
      <c r="O62" s="173">
        <v>0</v>
      </c>
      <c r="P62" s="5">
        <v>0</v>
      </c>
    </row>
    <row r="63" spans="1:16" ht="14.25">
      <c r="A63" s="44">
        <v>22</v>
      </c>
      <c r="B63" s="32" t="s">
        <v>68</v>
      </c>
      <c r="C63" s="16"/>
      <c r="D63" s="16"/>
      <c r="E63" s="16"/>
      <c r="F63" s="16"/>
      <c r="G63" s="16"/>
      <c r="H63" s="16"/>
      <c r="I63" s="16"/>
      <c r="J63" s="16"/>
      <c r="K63" s="5">
        <f t="shared" si="13"/>
        <v>0</v>
      </c>
      <c r="L63" s="5">
        <f t="shared" si="14"/>
        <v>0</v>
      </c>
      <c r="M63" s="173">
        <f t="shared" si="15"/>
        <v>0</v>
      </c>
      <c r="N63" s="5">
        <v>0</v>
      </c>
      <c r="O63" s="173">
        <v>0</v>
      </c>
      <c r="P63" s="5">
        <v>0</v>
      </c>
    </row>
    <row r="64" spans="1:16" ht="28.5">
      <c r="A64" s="44">
        <v>23</v>
      </c>
      <c r="B64" s="15" t="s">
        <v>69</v>
      </c>
      <c r="C64" s="16"/>
      <c r="D64" s="16"/>
      <c r="E64" s="16"/>
      <c r="F64" s="16"/>
      <c r="G64" s="16"/>
      <c r="H64" s="16"/>
      <c r="I64" s="16"/>
      <c r="J64" s="16"/>
      <c r="K64" s="5">
        <f t="shared" si="13"/>
        <v>0</v>
      </c>
      <c r="L64" s="5">
        <f t="shared" si="14"/>
        <v>0</v>
      </c>
      <c r="M64" s="173">
        <f t="shared" si="15"/>
        <v>0</v>
      </c>
      <c r="N64" s="5">
        <v>0</v>
      </c>
      <c r="O64" s="173">
        <v>0</v>
      </c>
      <c r="P64" s="5">
        <v>0</v>
      </c>
    </row>
    <row r="65" spans="1:16" ht="28.5">
      <c r="A65" s="44">
        <v>24</v>
      </c>
      <c r="B65" s="32" t="s">
        <v>70</v>
      </c>
      <c r="C65" s="16"/>
      <c r="D65" s="16"/>
      <c r="E65" s="16"/>
      <c r="F65" s="16"/>
      <c r="G65" s="16"/>
      <c r="H65" s="16"/>
      <c r="I65" s="16"/>
      <c r="J65" s="16"/>
      <c r="K65" s="5">
        <f t="shared" si="13"/>
        <v>0</v>
      </c>
      <c r="L65" s="5">
        <f t="shared" si="14"/>
        <v>0</v>
      </c>
      <c r="M65" s="173">
        <f t="shared" si="15"/>
        <v>0</v>
      </c>
      <c r="N65" s="5">
        <v>0</v>
      </c>
      <c r="O65" s="173">
        <v>0</v>
      </c>
      <c r="P65" s="5">
        <v>0</v>
      </c>
    </row>
    <row r="66" spans="1:16" s="52" customFormat="1" ht="14.25">
      <c r="A66" s="44">
        <v>25</v>
      </c>
      <c r="B66" s="30" t="s">
        <v>71</v>
      </c>
      <c r="C66" s="33">
        <f aca="true" t="shared" si="22" ref="C66:N66">C55+C56+C57+C58+C59+C60+C61</f>
        <v>154489</v>
      </c>
      <c r="D66" s="33">
        <f t="shared" si="22"/>
        <v>155311</v>
      </c>
      <c r="E66" s="33">
        <f t="shared" si="22"/>
        <v>0</v>
      </c>
      <c r="F66" s="33">
        <f t="shared" si="22"/>
        <v>0</v>
      </c>
      <c r="G66" s="33">
        <f t="shared" si="22"/>
        <v>0</v>
      </c>
      <c r="H66" s="33">
        <f t="shared" si="22"/>
        <v>418</v>
      </c>
      <c r="I66" s="33">
        <f t="shared" si="22"/>
        <v>0</v>
      </c>
      <c r="J66" s="33">
        <f t="shared" si="22"/>
        <v>0</v>
      </c>
      <c r="K66" s="33">
        <f t="shared" si="22"/>
        <v>154489</v>
      </c>
      <c r="L66" s="33">
        <f t="shared" si="22"/>
        <v>155729</v>
      </c>
      <c r="M66" s="174">
        <f t="shared" si="22"/>
        <v>154489</v>
      </c>
      <c r="N66" s="33">
        <f t="shared" si="22"/>
        <v>0</v>
      </c>
      <c r="O66" s="174">
        <f>O55+O56+O57+O58+O59+O60+O61</f>
        <v>155729</v>
      </c>
      <c r="P66" s="33">
        <f>P55+P56+P57+P58+P59+P60+P61</f>
        <v>0</v>
      </c>
    </row>
    <row r="67" spans="1:16" ht="28.5">
      <c r="A67" s="44">
        <v>26</v>
      </c>
      <c r="B67" s="4" t="s">
        <v>72</v>
      </c>
      <c r="C67" s="5">
        <v>0</v>
      </c>
      <c r="D67" s="5"/>
      <c r="E67" s="5">
        <v>0</v>
      </c>
      <c r="F67" s="5"/>
      <c r="G67" s="5">
        <v>0</v>
      </c>
      <c r="H67" s="5"/>
      <c r="I67" s="5"/>
      <c r="J67" s="5"/>
      <c r="K67" s="5">
        <f t="shared" si="13"/>
        <v>0</v>
      </c>
      <c r="L67" s="5">
        <f t="shared" si="14"/>
        <v>0</v>
      </c>
      <c r="M67" s="173">
        <f t="shared" si="15"/>
        <v>0</v>
      </c>
      <c r="N67" s="5">
        <v>0</v>
      </c>
      <c r="O67" s="173">
        <v>0</v>
      </c>
      <c r="P67" s="5">
        <v>0</v>
      </c>
    </row>
    <row r="68" spans="1:16" ht="28.5">
      <c r="A68" s="44">
        <v>27</v>
      </c>
      <c r="B68" s="4" t="s">
        <v>73</v>
      </c>
      <c r="C68" s="5">
        <v>0</v>
      </c>
      <c r="D68" s="5"/>
      <c r="E68" s="5">
        <v>0</v>
      </c>
      <c r="F68" s="5"/>
      <c r="G68" s="5">
        <v>0</v>
      </c>
      <c r="H68" s="5"/>
      <c r="I68" s="5"/>
      <c r="J68" s="5"/>
      <c r="K68" s="5">
        <f t="shared" si="13"/>
        <v>0</v>
      </c>
      <c r="L68" s="5">
        <f t="shared" si="14"/>
        <v>0</v>
      </c>
      <c r="M68" s="173">
        <f t="shared" si="15"/>
        <v>0</v>
      </c>
      <c r="N68" s="5">
        <v>0</v>
      </c>
      <c r="O68" s="173">
        <v>0</v>
      </c>
      <c r="P68" s="5">
        <v>0</v>
      </c>
    </row>
    <row r="69" spans="1:16" ht="28.5">
      <c r="A69" s="44">
        <v>28</v>
      </c>
      <c r="B69" s="4" t="s">
        <v>74</v>
      </c>
      <c r="C69" s="5">
        <v>0</v>
      </c>
      <c r="D69" s="5"/>
      <c r="E69" s="5">
        <v>0</v>
      </c>
      <c r="F69" s="5"/>
      <c r="G69" s="5">
        <v>0</v>
      </c>
      <c r="H69" s="5"/>
      <c r="I69" s="5"/>
      <c r="J69" s="5"/>
      <c r="K69" s="5">
        <f t="shared" si="13"/>
        <v>0</v>
      </c>
      <c r="L69" s="5">
        <f t="shared" si="14"/>
        <v>0</v>
      </c>
      <c r="M69" s="173">
        <f t="shared" si="15"/>
        <v>0</v>
      </c>
      <c r="N69" s="5">
        <v>0</v>
      </c>
      <c r="O69" s="173">
        <v>0</v>
      </c>
      <c r="P69" s="5">
        <v>0</v>
      </c>
    </row>
    <row r="70" spans="1:16" ht="14.25">
      <c r="A70" s="44">
        <v>29</v>
      </c>
      <c r="B70" s="11" t="s">
        <v>39</v>
      </c>
      <c r="C70" s="33">
        <f>SUM(C67:C69)</f>
        <v>0</v>
      </c>
      <c r="D70" s="33">
        <f aca="true" t="shared" si="23" ref="D70:I70">SUM(D67:D69)</f>
        <v>0</v>
      </c>
      <c r="E70" s="33">
        <f t="shared" si="23"/>
        <v>0</v>
      </c>
      <c r="F70" s="33">
        <f t="shared" si="23"/>
        <v>0</v>
      </c>
      <c r="G70" s="33">
        <f t="shared" si="23"/>
        <v>0</v>
      </c>
      <c r="H70" s="33">
        <f t="shared" si="23"/>
        <v>0</v>
      </c>
      <c r="I70" s="33">
        <f t="shared" si="23"/>
        <v>0</v>
      </c>
      <c r="J70" s="33">
        <f>SUM(J67:J69)</f>
        <v>0</v>
      </c>
      <c r="K70" s="33">
        <f aca="true" t="shared" si="24" ref="K70:P70">SUM(K67:K69)</f>
        <v>0</v>
      </c>
      <c r="L70" s="33">
        <f t="shared" si="24"/>
        <v>0</v>
      </c>
      <c r="M70" s="174">
        <f t="shared" si="24"/>
        <v>0</v>
      </c>
      <c r="N70" s="33">
        <f t="shared" si="24"/>
        <v>0</v>
      </c>
      <c r="O70" s="174">
        <f t="shared" si="24"/>
        <v>0</v>
      </c>
      <c r="P70" s="33">
        <f t="shared" si="24"/>
        <v>0</v>
      </c>
    </row>
    <row r="71" spans="1:16" s="53" customFormat="1" ht="14.25">
      <c r="A71" s="44">
        <v>30</v>
      </c>
      <c r="B71" s="18" t="s">
        <v>75</v>
      </c>
      <c r="C71" s="19">
        <f>C70+C66+C54-C60-C45</f>
        <v>330398</v>
      </c>
      <c r="D71" s="19">
        <f>D70+D66+D54-D60-D45</f>
        <v>382896</v>
      </c>
      <c r="E71" s="20">
        <f aca="true" t="shared" si="25" ref="E71:J71">E70+E66+E54</f>
        <v>53828</v>
      </c>
      <c r="F71" s="20">
        <f t="shared" si="25"/>
        <v>54298</v>
      </c>
      <c r="G71" s="20">
        <f t="shared" si="25"/>
        <v>190875</v>
      </c>
      <c r="H71" s="20">
        <f t="shared" si="25"/>
        <v>190620</v>
      </c>
      <c r="I71" s="20">
        <f t="shared" si="25"/>
        <v>59962</v>
      </c>
      <c r="J71" s="20">
        <f t="shared" si="25"/>
        <v>60485</v>
      </c>
      <c r="K71" s="6">
        <f>K66+K54+K70-C45</f>
        <v>635063</v>
      </c>
      <c r="L71" s="6">
        <f>L66+L54+L70-D45</f>
        <v>688299</v>
      </c>
      <c r="M71" s="177">
        <f>M66+M54+M70-C45</f>
        <v>554703</v>
      </c>
      <c r="N71" s="6">
        <f>N66+N54+N70</f>
        <v>80360</v>
      </c>
      <c r="O71" s="177">
        <f>O66+O54+O70-D45</f>
        <v>607998</v>
      </c>
      <c r="P71" s="6">
        <f>P66+P54+P70</f>
        <v>80301</v>
      </c>
    </row>
    <row r="72" spans="1:16" ht="14.25">
      <c r="A72" s="44">
        <v>31</v>
      </c>
      <c r="B72" s="21" t="s">
        <v>76</v>
      </c>
      <c r="C72" s="5"/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/>
      <c r="J72" s="5"/>
      <c r="K72" s="5">
        <f t="shared" si="13"/>
        <v>0</v>
      </c>
      <c r="L72" s="5">
        <f t="shared" si="14"/>
        <v>0</v>
      </c>
      <c r="M72" s="173">
        <f t="shared" si="15"/>
        <v>0</v>
      </c>
      <c r="N72" s="5">
        <v>0</v>
      </c>
      <c r="O72" s="173">
        <v>0</v>
      </c>
      <c r="P72" s="5">
        <v>0</v>
      </c>
    </row>
    <row r="73" spans="1:16" s="53" customFormat="1" ht="14.25">
      <c r="A73" s="44">
        <v>32</v>
      </c>
      <c r="B73" s="34" t="s">
        <v>77</v>
      </c>
      <c r="C73" s="19">
        <f aca="true" t="shared" si="26" ref="C73:I73">SUM(C71:C72)</f>
        <v>330398</v>
      </c>
      <c r="D73" s="19">
        <f t="shared" si="26"/>
        <v>382896</v>
      </c>
      <c r="E73" s="24">
        <f t="shared" si="26"/>
        <v>53828</v>
      </c>
      <c r="F73" s="24">
        <f t="shared" si="26"/>
        <v>54298</v>
      </c>
      <c r="G73" s="24">
        <f t="shared" si="26"/>
        <v>190875</v>
      </c>
      <c r="H73" s="24">
        <f t="shared" si="26"/>
        <v>190620</v>
      </c>
      <c r="I73" s="24">
        <f t="shared" si="26"/>
        <v>59962</v>
      </c>
      <c r="J73" s="24">
        <f>SUM(J71:J72)</f>
        <v>60485</v>
      </c>
      <c r="K73" s="6">
        <f aca="true" t="shared" si="27" ref="K73:P73">K71+K72</f>
        <v>635063</v>
      </c>
      <c r="L73" s="6">
        <f t="shared" si="27"/>
        <v>688299</v>
      </c>
      <c r="M73" s="175">
        <f t="shared" si="27"/>
        <v>554703</v>
      </c>
      <c r="N73" s="6">
        <f t="shared" si="27"/>
        <v>80360</v>
      </c>
      <c r="O73" s="175">
        <f t="shared" si="27"/>
        <v>607998</v>
      </c>
      <c r="P73" s="6">
        <f t="shared" si="27"/>
        <v>80301</v>
      </c>
    </row>
    <row r="74" spans="2:10" ht="15">
      <c r="B74" s="35"/>
      <c r="I74" s="54"/>
      <c r="J74" s="54"/>
    </row>
    <row r="75" spans="2:10" ht="15">
      <c r="B75" s="35" t="s">
        <v>92</v>
      </c>
      <c r="C75" s="48">
        <v>6.25</v>
      </c>
      <c r="E75" s="48">
        <v>12.65</v>
      </c>
      <c r="G75" s="48">
        <v>22.71</v>
      </c>
      <c r="I75" s="54">
        <v>10.25</v>
      </c>
      <c r="J75" s="54"/>
    </row>
    <row r="76" spans="2:10" ht="15">
      <c r="B76" s="35" t="s">
        <v>93</v>
      </c>
      <c r="C76" s="48">
        <v>2.25</v>
      </c>
      <c r="I76" s="54"/>
      <c r="J76" s="54"/>
    </row>
    <row r="77" spans="2:10" ht="18">
      <c r="B77" s="166" t="s">
        <v>293</v>
      </c>
      <c r="C77" s="167">
        <f>C75+C76+E75+G75+I75</f>
        <v>54.11</v>
      </c>
      <c r="I77" s="54"/>
      <c r="J77" s="54"/>
    </row>
    <row r="78" spans="2:10" ht="15">
      <c r="B78" s="35"/>
      <c r="I78" s="54"/>
      <c r="J78" s="54"/>
    </row>
    <row r="79" ht="60">
      <c r="B79" s="35" t="s">
        <v>78</v>
      </c>
    </row>
    <row r="80" ht="15">
      <c r="B80" s="35"/>
    </row>
    <row r="81" ht="15">
      <c r="B81" s="35"/>
    </row>
    <row r="82" ht="15">
      <c r="B82" s="35"/>
    </row>
    <row r="83" ht="15">
      <c r="B83" s="35"/>
    </row>
    <row r="84" ht="15">
      <c r="B84" s="35"/>
    </row>
    <row r="85" ht="15">
      <c r="B85" s="35"/>
    </row>
    <row r="86" ht="15">
      <c r="B86" s="35"/>
    </row>
    <row r="87" ht="15">
      <c r="B87" s="35"/>
    </row>
    <row r="88" ht="15">
      <c r="B88" s="35"/>
    </row>
    <row r="89" ht="15">
      <c r="B89" s="35"/>
    </row>
    <row r="90" ht="15">
      <c r="B90" s="35"/>
    </row>
    <row r="91" ht="15">
      <c r="B91" s="35"/>
    </row>
    <row r="92" ht="15">
      <c r="B92" s="35"/>
    </row>
    <row r="93" ht="15">
      <c r="B93" s="35"/>
    </row>
    <row r="94" ht="15">
      <c r="B94" s="35"/>
    </row>
    <row r="95" ht="15">
      <c r="B95" s="35"/>
    </row>
    <row r="96" ht="15">
      <c r="B96" s="35"/>
    </row>
    <row r="97" ht="15">
      <c r="B97" s="35"/>
    </row>
    <row r="98" ht="15">
      <c r="B98" s="35"/>
    </row>
    <row r="99" ht="15">
      <c r="B99" s="35"/>
    </row>
    <row r="100" ht="15">
      <c r="B100" s="35"/>
    </row>
    <row r="101" ht="15">
      <c r="B101" s="35"/>
    </row>
    <row r="102" ht="15">
      <c r="B102" s="35"/>
    </row>
    <row r="103" ht="15">
      <c r="B103" s="35"/>
    </row>
    <row r="104" ht="15">
      <c r="B104" s="35"/>
    </row>
    <row r="105" ht="15">
      <c r="B105" s="35"/>
    </row>
    <row r="106" ht="15">
      <c r="B106" s="35"/>
    </row>
    <row r="107" ht="15">
      <c r="B107" s="35"/>
    </row>
    <row r="108" ht="15">
      <c r="B108" s="35"/>
    </row>
    <row r="109" ht="15">
      <c r="B109" s="35"/>
    </row>
    <row r="110" ht="15">
      <c r="B110" s="35"/>
    </row>
    <row r="111" ht="15">
      <c r="B111" s="35"/>
    </row>
    <row r="112" ht="15">
      <c r="B112" s="35"/>
    </row>
    <row r="113" ht="15">
      <c r="B113" s="35"/>
    </row>
    <row r="114" ht="15">
      <c r="B114" s="35"/>
    </row>
    <row r="115" ht="15">
      <c r="B115" s="35"/>
    </row>
    <row r="116" ht="15">
      <c r="B116" s="35"/>
    </row>
    <row r="117" ht="15">
      <c r="B117" s="35"/>
    </row>
    <row r="118" ht="15">
      <c r="B118" s="35"/>
    </row>
    <row r="119" ht="15">
      <c r="B119" s="35"/>
    </row>
    <row r="120" ht="15">
      <c r="B120" s="35"/>
    </row>
    <row r="121" ht="15">
      <c r="B121" s="35"/>
    </row>
    <row r="122" ht="15">
      <c r="B122" s="35"/>
    </row>
    <row r="123" ht="15">
      <c r="B123" s="35"/>
    </row>
    <row r="124" ht="15">
      <c r="B124" s="35"/>
    </row>
    <row r="125" ht="15">
      <c r="B125" s="35"/>
    </row>
    <row r="126" ht="15">
      <c r="B126" s="35"/>
    </row>
    <row r="127" ht="15">
      <c r="B127" s="35"/>
    </row>
    <row r="128" ht="15">
      <c r="B128" s="35"/>
    </row>
    <row r="129" ht="15">
      <c r="B129" s="35"/>
    </row>
    <row r="130" ht="15">
      <c r="B130" s="35"/>
    </row>
    <row r="131" ht="15">
      <c r="B131" s="35"/>
    </row>
    <row r="132" ht="15">
      <c r="B132" s="35"/>
    </row>
    <row r="133" ht="15">
      <c r="B133" s="35"/>
    </row>
    <row r="134" ht="15">
      <c r="B134" s="35"/>
    </row>
  </sheetData>
  <sheetProtection/>
  <printOptions verticalCentered="1"/>
  <pageMargins left="0.5905511811023623" right="0.5905511811023623" top="0.7874015748031497" bottom="0.7874015748031497" header="0.5118110236220472" footer="0.5118110236220472"/>
  <pageSetup fitToHeight="2" horizontalDpi="300" verticalDpi="300" orientation="landscape" paperSize="9" scale="40" r:id="rId1"/>
  <rowBreaks count="1" manualBreakCount="1">
    <brk id="35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9.140625" style="44" customWidth="1"/>
    <col min="2" max="2" width="51.140625" style="44" customWidth="1"/>
    <col min="3" max="3" width="18.8515625" style="44" customWidth="1"/>
    <col min="4" max="4" width="15.421875" style="44" customWidth="1"/>
    <col min="5" max="5" width="17.421875" style="44" customWidth="1"/>
    <col min="6" max="6" width="13.8515625" style="44" customWidth="1"/>
    <col min="7" max="7" width="12.8515625" style="44" customWidth="1"/>
    <col min="8" max="8" width="13.57421875" style="44" customWidth="1"/>
    <col min="9" max="9" width="20.7109375" style="44" customWidth="1"/>
    <col min="10" max="10" width="18.00390625" style="44" customWidth="1"/>
    <col min="11" max="16384" width="9.140625" style="44" customWidth="1"/>
  </cols>
  <sheetData>
    <row r="1" ht="12.75">
      <c r="C1" s="48" t="s">
        <v>320</v>
      </c>
    </row>
    <row r="2" ht="19.5" customHeight="1">
      <c r="B2" s="45" t="s">
        <v>240</v>
      </c>
    </row>
    <row r="3" ht="12.75">
      <c r="E3" s="44" t="s">
        <v>0</v>
      </c>
    </row>
    <row r="4" spans="2:5" ht="13.5" thickBot="1">
      <c r="B4" s="132" t="s">
        <v>6</v>
      </c>
      <c r="C4" s="132" t="s">
        <v>241</v>
      </c>
      <c r="D4" s="132" t="s">
        <v>8</v>
      </c>
      <c r="E4" s="132" t="s">
        <v>9</v>
      </c>
    </row>
    <row r="5" spans="1:5" ht="48" customHeight="1">
      <c r="A5" s="44">
        <v>1</v>
      </c>
      <c r="B5" s="123" t="s">
        <v>242</v>
      </c>
      <c r="C5" s="134" t="s">
        <v>243</v>
      </c>
      <c r="D5" s="134" t="s">
        <v>244</v>
      </c>
      <c r="E5" s="135" t="s">
        <v>245</v>
      </c>
    </row>
    <row r="6" spans="1:5" ht="14.25">
      <c r="A6" s="44">
        <v>2</v>
      </c>
      <c r="B6" s="39" t="s">
        <v>98</v>
      </c>
      <c r="C6" s="136">
        <v>75000</v>
      </c>
      <c r="D6" s="136"/>
      <c r="E6" s="137"/>
    </row>
    <row r="7" spans="1:5" ht="14.25">
      <c r="A7" s="44">
        <v>3</v>
      </c>
      <c r="B7" s="39" t="s">
        <v>99</v>
      </c>
      <c r="C7" s="136">
        <v>20000</v>
      </c>
      <c r="D7" s="136"/>
      <c r="E7" s="137"/>
    </row>
    <row r="8" spans="1:5" ht="14.25">
      <c r="A8" s="44">
        <v>4</v>
      </c>
      <c r="B8" s="39" t="s">
        <v>100</v>
      </c>
      <c r="C8" s="136">
        <v>0</v>
      </c>
      <c r="D8" s="136"/>
      <c r="E8" s="137"/>
    </row>
    <row r="9" spans="1:5" ht="14.25">
      <c r="A9" s="44">
        <v>5</v>
      </c>
      <c r="B9" s="39" t="s">
        <v>101</v>
      </c>
      <c r="C9" s="136">
        <v>37000</v>
      </c>
      <c r="D9" s="136"/>
      <c r="E9" s="137"/>
    </row>
    <row r="10" spans="1:5" ht="28.5">
      <c r="A10" s="44">
        <v>6</v>
      </c>
      <c r="B10" s="39" t="s">
        <v>102</v>
      </c>
      <c r="C10" s="136">
        <v>16000</v>
      </c>
      <c r="D10" s="136"/>
      <c r="E10" s="137"/>
    </row>
    <row r="11" spans="1:5" ht="28.5">
      <c r="A11" s="44">
        <v>7</v>
      </c>
      <c r="B11" s="39" t="s">
        <v>103</v>
      </c>
      <c r="C11" s="136"/>
      <c r="D11" s="136"/>
      <c r="E11" s="137"/>
    </row>
    <row r="12" spans="1:5" ht="14.25">
      <c r="A12" s="44">
        <v>8</v>
      </c>
      <c r="B12" s="124" t="s">
        <v>246</v>
      </c>
      <c r="C12" s="138">
        <v>5600</v>
      </c>
      <c r="D12" s="138"/>
      <c r="E12" s="137"/>
    </row>
    <row r="13" spans="1:5" ht="15.75" thickBot="1">
      <c r="A13" s="44">
        <v>9</v>
      </c>
      <c r="B13" s="125" t="s">
        <v>247</v>
      </c>
      <c r="C13" s="139">
        <f>SUM(C6:C12)</f>
        <v>153600</v>
      </c>
      <c r="D13" s="139">
        <f>SUM(D6:D12)</f>
        <v>0</v>
      </c>
      <c r="E13" s="140"/>
    </row>
    <row r="14" spans="1:5" ht="38.25">
      <c r="A14" s="44">
        <v>10</v>
      </c>
      <c r="B14" s="123" t="s">
        <v>248</v>
      </c>
      <c r="C14" s="141" t="s">
        <v>243</v>
      </c>
      <c r="D14" s="134" t="s">
        <v>244</v>
      </c>
      <c r="E14" s="142" t="s">
        <v>245</v>
      </c>
    </row>
    <row r="15" spans="1:5" ht="14.25">
      <c r="A15" s="44">
        <v>11</v>
      </c>
      <c r="B15" s="126"/>
      <c r="C15" s="138"/>
      <c r="D15" s="138"/>
      <c r="E15" s="137"/>
    </row>
    <row r="16" spans="1:5" ht="14.25">
      <c r="A16" s="44">
        <v>12</v>
      </c>
      <c r="B16" s="126"/>
      <c r="C16" s="138"/>
      <c r="D16" s="138"/>
      <c r="E16" s="137"/>
    </row>
    <row r="17" spans="1:5" ht="15" thickBot="1">
      <c r="A17" s="44">
        <v>13</v>
      </c>
      <c r="B17" s="127" t="s">
        <v>249</v>
      </c>
      <c r="C17" s="143">
        <f>SUM(C15:C16)</f>
        <v>0</v>
      </c>
      <c r="D17" s="143">
        <f>SUM(D15:D16)</f>
        <v>0</v>
      </c>
      <c r="E17" s="144"/>
    </row>
    <row r="18" spans="1:5" ht="38.25">
      <c r="A18" s="44">
        <v>14</v>
      </c>
      <c r="B18" s="123" t="s">
        <v>250</v>
      </c>
      <c r="C18" s="141" t="s">
        <v>243</v>
      </c>
      <c r="D18" s="134" t="s">
        <v>244</v>
      </c>
      <c r="E18" s="142" t="s">
        <v>245</v>
      </c>
    </row>
    <row r="19" spans="1:5" ht="14.25">
      <c r="A19" s="44">
        <v>15</v>
      </c>
      <c r="B19" s="126"/>
      <c r="C19" s="138"/>
      <c r="D19" s="138"/>
      <c r="E19" s="137"/>
    </row>
    <row r="20" spans="1:5" ht="14.25">
      <c r="A20" s="44">
        <v>16</v>
      </c>
      <c r="B20" s="126"/>
      <c r="C20" s="138"/>
      <c r="D20" s="138"/>
      <c r="E20" s="137"/>
    </row>
    <row r="21" spans="1:5" ht="15.75" thickBot="1">
      <c r="A21" s="44">
        <v>17</v>
      </c>
      <c r="B21" s="125" t="s">
        <v>251</v>
      </c>
      <c r="C21" s="139">
        <f>SUM(C19:C20)</f>
        <v>0</v>
      </c>
      <c r="D21" s="139">
        <f>SUM(D19:D20)</f>
        <v>0</v>
      </c>
      <c r="E21" s="145"/>
    </row>
    <row r="22" spans="1:5" ht="38.25">
      <c r="A22" s="44">
        <v>18</v>
      </c>
      <c r="B22" s="128" t="s">
        <v>252</v>
      </c>
      <c r="C22" s="141" t="s">
        <v>243</v>
      </c>
      <c r="D22" s="134" t="s">
        <v>244</v>
      </c>
      <c r="E22" s="142" t="s">
        <v>245</v>
      </c>
    </row>
    <row r="23" spans="1:5" ht="15">
      <c r="A23" s="44">
        <v>19</v>
      </c>
      <c r="B23" s="129"/>
      <c r="C23" s="146"/>
      <c r="D23" s="146"/>
      <c r="E23" s="147"/>
    </row>
    <row r="24" spans="1:5" ht="15">
      <c r="A24" s="44">
        <v>20</v>
      </c>
      <c r="B24" s="129"/>
      <c r="C24" s="146"/>
      <c r="D24" s="146"/>
      <c r="E24" s="147"/>
    </row>
    <row r="25" spans="1:5" ht="15.75" thickBot="1">
      <c r="A25" s="44">
        <v>21</v>
      </c>
      <c r="B25" s="125" t="s">
        <v>253</v>
      </c>
      <c r="C25" s="139">
        <f>SUM(C23:C24)</f>
        <v>0</v>
      </c>
      <c r="D25" s="139">
        <f>SUM(D23:D24)</f>
        <v>0</v>
      </c>
      <c r="E25" s="145"/>
    </row>
    <row r="26" spans="1:5" ht="36">
      <c r="A26" s="44">
        <v>22</v>
      </c>
      <c r="B26" s="123" t="s">
        <v>254</v>
      </c>
      <c r="C26" s="141" t="s">
        <v>243</v>
      </c>
      <c r="D26" s="134" t="s">
        <v>244</v>
      </c>
      <c r="E26" s="142" t="s">
        <v>245</v>
      </c>
    </row>
    <row r="27" spans="1:5" ht="14.25">
      <c r="A27" s="44">
        <v>23</v>
      </c>
      <c r="B27" s="126" t="s">
        <v>255</v>
      </c>
      <c r="C27" s="138"/>
      <c r="D27" s="138"/>
      <c r="E27" s="137"/>
    </row>
    <row r="28" spans="1:5" ht="14.25">
      <c r="A28" s="44">
        <v>24</v>
      </c>
      <c r="B28" s="126" t="s">
        <v>256</v>
      </c>
      <c r="C28" s="138"/>
      <c r="D28" s="138"/>
      <c r="E28" s="137"/>
    </row>
    <row r="29" spans="1:5" ht="15" thickBot="1">
      <c r="A29" s="44">
        <v>25</v>
      </c>
      <c r="B29" s="127" t="s">
        <v>257</v>
      </c>
      <c r="C29" s="143">
        <f>SUM(C27:C28)</f>
        <v>0</v>
      </c>
      <c r="D29" s="143">
        <f>SUM(D27:D28)</f>
        <v>0</v>
      </c>
      <c r="E29" s="144"/>
    </row>
    <row r="30" spans="1:5" ht="26.25" customHeight="1">
      <c r="A30" s="44">
        <v>26</v>
      </c>
      <c r="B30" s="130" t="s">
        <v>258</v>
      </c>
      <c r="C30" s="148">
        <f>SUM(C13,C17,C21,C25,C29)</f>
        <v>153600</v>
      </c>
      <c r="D30" s="148">
        <f>SUM(D13,D17,D21,D25,D29)</f>
        <v>0</v>
      </c>
      <c r="E30" s="148"/>
    </row>
    <row r="31" spans="2:5" ht="12.75">
      <c r="B31" s="133"/>
      <c r="C31" s="133"/>
      <c r="D31" s="133"/>
      <c r="E31" s="133"/>
    </row>
    <row r="32" spans="2:5" ht="15">
      <c r="B32" s="131"/>
      <c r="C32" s="133"/>
      <c r="D32" s="133"/>
      <c r="E32" s="133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60" zoomScalePageLayoutView="0" workbookViewId="0" topLeftCell="A1">
      <selection activeCell="C1" sqref="C1"/>
    </sheetView>
  </sheetViews>
  <sheetFormatPr defaultColWidth="9.140625" defaultRowHeight="12.75"/>
  <cols>
    <col min="1" max="1" width="9.140625" style="44" customWidth="1"/>
    <col min="2" max="2" width="48.00390625" style="44" customWidth="1"/>
    <col min="3" max="3" width="21.421875" style="149" customWidth="1"/>
    <col min="4" max="4" width="21.7109375" style="149" customWidth="1"/>
    <col min="5" max="5" width="49.57421875" style="44" customWidth="1"/>
    <col min="6" max="6" width="20.140625" style="150" customWidth="1"/>
    <col min="7" max="7" width="22.28125" style="150" customWidth="1"/>
    <col min="8" max="8" width="20.7109375" style="44" customWidth="1"/>
    <col min="9" max="9" width="18.00390625" style="44" customWidth="1"/>
    <col min="10" max="16384" width="9.140625" style="44" customWidth="1"/>
  </cols>
  <sheetData>
    <row r="1" spans="3:4" ht="14.25">
      <c r="C1" s="48" t="s">
        <v>321</v>
      </c>
      <c r="D1" s="160" t="s">
        <v>259</v>
      </c>
    </row>
    <row r="2" spans="2:5" ht="20.25">
      <c r="B2" s="45" t="s">
        <v>260</v>
      </c>
      <c r="E2" s="45"/>
    </row>
    <row r="3" ht="14.25">
      <c r="F3" s="150" t="s">
        <v>0</v>
      </c>
    </row>
    <row r="4" spans="2:7" ht="60" customHeight="1">
      <c r="B4" s="33" t="s">
        <v>1</v>
      </c>
      <c r="C4" s="151" t="s">
        <v>261</v>
      </c>
      <c r="D4" s="151" t="s">
        <v>262</v>
      </c>
      <c r="E4" s="151" t="s">
        <v>1</v>
      </c>
      <c r="F4" s="151" t="s">
        <v>261</v>
      </c>
      <c r="G4" s="151" t="s">
        <v>262</v>
      </c>
    </row>
    <row r="5" spans="2:7" ht="14.25">
      <c r="B5" s="33" t="s">
        <v>6</v>
      </c>
      <c r="C5" s="152" t="s">
        <v>7</v>
      </c>
      <c r="D5" s="152" t="s">
        <v>8</v>
      </c>
      <c r="E5" s="33" t="s">
        <v>263</v>
      </c>
      <c r="F5" s="151" t="s">
        <v>10</v>
      </c>
      <c r="G5" s="151" t="s">
        <v>11</v>
      </c>
    </row>
    <row r="6" spans="1:7" ht="14.25">
      <c r="A6" s="44">
        <v>1</v>
      </c>
      <c r="B6" s="97"/>
      <c r="C6" s="153"/>
      <c r="D6" s="153"/>
      <c r="E6" s="25" t="s">
        <v>47</v>
      </c>
      <c r="F6" s="154">
        <v>126883</v>
      </c>
      <c r="G6" s="154">
        <v>132767</v>
      </c>
    </row>
    <row r="7" spans="1:7" ht="28.5">
      <c r="A7" s="44">
        <v>2</v>
      </c>
      <c r="B7" s="97"/>
      <c r="C7" s="153"/>
      <c r="D7" s="153"/>
      <c r="E7" s="25" t="s">
        <v>48</v>
      </c>
      <c r="F7" s="154">
        <v>37495</v>
      </c>
      <c r="G7" s="154">
        <v>38167</v>
      </c>
    </row>
    <row r="8" spans="1:7" ht="94.5" customHeight="1">
      <c r="A8" s="44">
        <v>3</v>
      </c>
      <c r="B8" s="4" t="s">
        <v>19</v>
      </c>
      <c r="C8" s="153">
        <v>173105</v>
      </c>
      <c r="D8" s="153">
        <v>173521</v>
      </c>
      <c r="E8" s="168" t="s">
        <v>49</v>
      </c>
      <c r="F8" s="154">
        <v>223486</v>
      </c>
      <c r="G8" s="154">
        <v>232472</v>
      </c>
    </row>
    <row r="9" spans="1:7" ht="42.75">
      <c r="A9" s="44">
        <v>4</v>
      </c>
      <c r="B9" s="4" t="s">
        <v>20</v>
      </c>
      <c r="C9" s="153">
        <f>SUM(C10:C13)</f>
        <v>155600</v>
      </c>
      <c r="D9" s="153">
        <f>SUM(D10:D13)</f>
        <v>155600</v>
      </c>
      <c r="E9" s="155" t="s">
        <v>264</v>
      </c>
      <c r="F9" s="156">
        <v>168876</v>
      </c>
      <c r="G9" s="156">
        <v>169398</v>
      </c>
    </row>
    <row r="10" spans="1:7" ht="14.25">
      <c r="A10" s="44">
        <v>5</v>
      </c>
      <c r="B10" s="7" t="s">
        <v>21</v>
      </c>
      <c r="C10" s="153">
        <v>149500</v>
      </c>
      <c r="D10" s="153">
        <v>149500</v>
      </c>
      <c r="E10" s="25" t="s">
        <v>51</v>
      </c>
      <c r="F10" s="154">
        <f>SUM(F11:F14)</f>
        <v>85710</v>
      </c>
      <c r="G10" s="154">
        <f>SUM(G11:G14)</f>
        <v>86450</v>
      </c>
    </row>
    <row r="11" spans="1:7" ht="14.25">
      <c r="A11" s="44">
        <v>6</v>
      </c>
      <c r="B11" s="7" t="s">
        <v>22</v>
      </c>
      <c r="C11" s="153">
        <f>'[1]1 bevétel-kiadás'!J9</f>
        <v>0</v>
      </c>
      <c r="D11" s="153">
        <v>0</v>
      </c>
      <c r="E11" s="28" t="s">
        <v>52</v>
      </c>
      <c r="F11" s="154">
        <v>2750</v>
      </c>
      <c r="G11" s="154">
        <v>2850</v>
      </c>
    </row>
    <row r="12" spans="1:7" ht="28.5">
      <c r="A12" s="44">
        <v>7</v>
      </c>
      <c r="B12" s="7" t="s">
        <v>23</v>
      </c>
      <c r="C12" s="153">
        <v>500</v>
      </c>
      <c r="D12" s="153">
        <v>500</v>
      </c>
      <c r="E12" s="29" t="s">
        <v>53</v>
      </c>
      <c r="F12" s="154">
        <v>0</v>
      </c>
      <c r="G12" s="154"/>
    </row>
    <row r="13" spans="1:7" ht="28.5">
      <c r="A13" s="44">
        <v>8</v>
      </c>
      <c r="B13" s="7" t="s">
        <v>91</v>
      </c>
      <c r="C13" s="153">
        <v>5600</v>
      </c>
      <c r="D13" s="153">
        <v>5600</v>
      </c>
      <c r="E13" s="28" t="s">
        <v>54</v>
      </c>
      <c r="F13" s="154">
        <v>75860</v>
      </c>
      <c r="G13" s="154">
        <v>75860</v>
      </c>
    </row>
    <row r="14" spans="1:7" ht="28.5">
      <c r="A14" s="44">
        <v>9</v>
      </c>
      <c r="B14" s="4" t="s">
        <v>25</v>
      </c>
      <c r="C14" s="153">
        <v>122788</v>
      </c>
      <c r="D14" s="153">
        <v>130132</v>
      </c>
      <c r="E14" s="28" t="s">
        <v>55</v>
      </c>
      <c r="F14" s="154">
        <v>7100</v>
      </c>
      <c r="G14" s="154">
        <v>7740</v>
      </c>
    </row>
    <row r="15" spans="1:7" ht="28.5">
      <c r="A15" s="44">
        <v>10</v>
      </c>
      <c r="B15" s="4" t="s">
        <v>26</v>
      </c>
      <c r="C15" s="153">
        <v>20366</v>
      </c>
      <c r="D15" s="153">
        <v>22999</v>
      </c>
      <c r="E15" s="25" t="s">
        <v>56</v>
      </c>
      <c r="F15" s="154">
        <f>SUM(F16:F17)</f>
        <v>7000</v>
      </c>
      <c r="G15" s="154">
        <f>SUM(G16:G17)</f>
        <v>42714</v>
      </c>
    </row>
    <row r="16" spans="1:7" ht="28.5">
      <c r="A16" s="44">
        <v>11</v>
      </c>
      <c r="B16" s="4" t="s">
        <v>27</v>
      </c>
      <c r="C16" s="153">
        <v>8000</v>
      </c>
      <c r="D16" s="153">
        <v>15650</v>
      </c>
      <c r="E16" s="29" t="s">
        <v>57</v>
      </c>
      <c r="F16" s="154">
        <v>6200</v>
      </c>
      <c r="G16" s="154">
        <v>41914</v>
      </c>
    </row>
    <row r="17" spans="1:7" ht="42.75">
      <c r="A17" s="44">
        <v>12</v>
      </c>
      <c r="B17" s="4" t="s">
        <v>28</v>
      </c>
      <c r="C17" s="153">
        <v>30000</v>
      </c>
      <c r="D17" s="153">
        <v>30000</v>
      </c>
      <c r="E17" s="29" t="s">
        <v>58</v>
      </c>
      <c r="F17" s="154">
        <v>800</v>
      </c>
      <c r="G17" s="154">
        <v>800</v>
      </c>
    </row>
    <row r="18" spans="1:7" ht="14.25">
      <c r="A18" s="44">
        <v>13</v>
      </c>
      <c r="B18" s="11" t="s">
        <v>29</v>
      </c>
      <c r="C18" s="153">
        <f>C8+C9+C14+C15+C16+C17</f>
        <v>509859</v>
      </c>
      <c r="D18" s="153">
        <f>D8+D9+D14+D15+D16+D17</f>
        <v>527902</v>
      </c>
      <c r="E18" s="30" t="s">
        <v>265</v>
      </c>
      <c r="F18" s="154">
        <f>F15+F10+F8+F7+F6</f>
        <v>480574</v>
      </c>
      <c r="G18" s="154">
        <f>G15+G10+G8+G7+G6</f>
        <v>532570</v>
      </c>
    </row>
    <row r="19" spans="1:7" ht="14.25">
      <c r="A19" s="44">
        <v>14</v>
      </c>
      <c r="B19" s="97"/>
      <c r="C19" s="153"/>
      <c r="D19" s="153"/>
      <c r="E19" s="31" t="s">
        <v>60</v>
      </c>
      <c r="F19" s="154">
        <v>124770</v>
      </c>
      <c r="G19" s="154">
        <v>127169</v>
      </c>
    </row>
    <row r="20" spans="1:7" ht="14.25">
      <c r="A20" s="44">
        <v>15</v>
      </c>
      <c r="B20" s="97"/>
      <c r="C20" s="153"/>
      <c r="D20" s="153"/>
      <c r="E20" s="31" t="s">
        <v>61</v>
      </c>
      <c r="F20" s="154">
        <v>29719</v>
      </c>
      <c r="G20" s="154">
        <v>28560</v>
      </c>
    </row>
    <row r="21" spans="1:7" ht="14.25">
      <c r="A21" s="44">
        <v>16</v>
      </c>
      <c r="B21" s="97"/>
      <c r="C21" s="153"/>
      <c r="D21" s="153"/>
      <c r="E21" s="25" t="s">
        <v>62</v>
      </c>
      <c r="F21" s="154"/>
      <c r="G21" s="154"/>
    </row>
    <row r="22" spans="1:7" ht="14.25">
      <c r="A22" s="44">
        <v>17</v>
      </c>
      <c r="B22" s="97"/>
      <c r="C22" s="153"/>
      <c r="D22" s="153"/>
      <c r="E22" s="25" t="s">
        <v>63</v>
      </c>
      <c r="F22" s="154"/>
      <c r="G22" s="154"/>
    </row>
    <row r="23" spans="1:7" ht="14.25">
      <c r="A23" s="44">
        <v>18</v>
      </c>
      <c r="B23" s="97"/>
      <c r="C23" s="153"/>
      <c r="D23" s="153"/>
      <c r="E23" s="25" t="s">
        <v>64</v>
      </c>
      <c r="F23" s="154"/>
      <c r="G23" s="154"/>
    </row>
    <row r="24" spans="1:7" ht="42.75">
      <c r="A24" s="44">
        <v>19</v>
      </c>
      <c r="B24" s="97"/>
      <c r="C24" s="153"/>
      <c r="D24" s="153"/>
      <c r="E24" s="157" t="s">
        <v>266</v>
      </c>
      <c r="F24" s="156"/>
      <c r="G24" s="156"/>
    </row>
    <row r="25" spans="1:7" ht="14.25">
      <c r="A25" s="44">
        <v>20</v>
      </c>
      <c r="B25" s="97"/>
      <c r="C25" s="153"/>
      <c r="D25" s="153"/>
      <c r="E25" s="25" t="s">
        <v>66</v>
      </c>
      <c r="F25" s="154"/>
      <c r="G25" s="154"/>
    </row>
    <row r="26" spans="1:7" ht="28.5">
      <c r="A26" s="44">
        <v>21</v>
      </c>
      <c r="B26" s="4" t="s">
        <v>30</v>
      </c>
      <c r="C26" s="153">
        <v>59044</v>
      </c>
      <c r="D26" s="153">
        <v>59044</v>
      </c>
      <c r="E26" s="32" t="s">
        <v>67</v>
      </c>
      <c r="F26" s="154"/>
      <c r="G26" s="154"/>
    </row>
    <row r="27" spans="1:7" ht="28.5">
      <c r="A27" s="44">
        <v>22</v>
      </c>
      <c r="B27" s="4" t="s">
        <v>31</v>
      </c>
      <c r="C27" s="153"/>
      <c r="D27" s="153"/>
      <c r="E27" s="32" t="s">
        <v>68</v>
      </c>
      <c r="F27" s="154"/>
      <c r="G27" s="154"/>
    </row>
    <row r="28" spans="1:7" ht="42.75" customHeight="1">
      <c r="A28" s="44">
        <v>23</v>
      </c>
      <c r="B28" s="4" t="s">
        <v>32</v>
      </c>
      <c r="C28" s="153">
        <v>66160</v>
      </c>
      <c r="D28" s="153">
        <v>66160</v>
      </c>
      <c r="E28" s="15" t="s">
        <v>69</v>
      </c>
      <c r="F28" s="154"/>
      <c r="G28" s="154"/>
    </row>
    <row r="29" spans="1:7" ht="28.5">
      <c r="A29" s="44">
        <v>24</v>
      </c>
      <c r="B29" s="4" t="s">
        <v>33</v>
      </c>
      <c r="C29" s="153">
        <f>'[1]1 bevétel-kiadás'!J21</f>
        <v>0</v>
      </c>
      <c r="D29" s="153">
        <v>0</v>
      </c>
      <c r="E29" s="32" t="s">
        <v>70</v>
      </c>
      <c r="F29" s="154"/>
      <c r="G29" s="154"/>
    </row>
    <row r="30" spans="1:7" ht="28.5">
      <c r="A30" s="44">
        <v>25</v>
      </c>
      <c r="B30" s="11" t="s">
        <v>35</v>
      </c>
      <c r="C30" s="153">
        <f>SUM(C26:C29)</f>
        <v>125204</v>
      </c>
      <c r="D30" s="153">
        <f>SUM(D26:D29)</f>
        <v>125204</v>
      </c>
      <c r="E30" s="30" t="s">
        <v>267</v>
      </c>
      <c r="F30" s="154">
        <f>F20+F19</f>
        <v>154489</v>
      </c>
      <c r="G30" s="154">
        <f>G20+G19</f>
        <v>155729</v>
      </c>
    </row>
    <row r="31" spans="1:7" ht="28.5">
      <c r="A31" s="44">
        <v>26</v>
      </c>
      <c r="B31" s="4" t="s">
        <v>36</v>
      </c>
      <c r="C31" s="153"/>
      <c r="D31" s="153"/>
      <c r="E31" s="4" t="s">
        <v>72</v>
      </c>
      <c r="F31" s="154"/>
      <c r="G31" s="154"/>
    </row>
    <row r="32" spans="1:7" ht="28.5">
      <c r="A32" s="44">
        <v>27</v>
      </c>
      <c r="B32" s="4" t="s">
        <v>37</v>
      </c>
      <c r="C32" s="153"/>
      <c r="D32" s="153"/>
      <c r="E32" s="4" t="s">
        <v>73</v>
      </c>
      <c r="F32" s="154"/>
      <c r="G32" s="154"/>
    </row>
    <row r="33" spans="1:7" ht="28.5">
      <c r="A33" s="44">
        <v>28</v>
      </c>
      <c r="B33" s="4" t="s">
        <v>38</v>
      </c>
      <c r="C33" s="153"/>
      <c r="D33" s="153"/>
      <c r="E33" s="4" t="s">
        <v>74</v>
      </c>
      <c r="F33" s="154"/>
      <c r="G33" s="154"/>
    </row>
    <row r="34" spans="1:7" ht="14.25">
      <c r="A34" s="44">
        <v>29</v>
      </c>
      <c r="B34" s="11" t="s">
        <v>39</v>
      </c>
      <c r="C34" s="153">
        <f>SUM(C31:C33)</f>
        <v>0</v>
      </c>
      <c r="D34" s="153">
        <f>SUM(D31:D33)</f>
        <v>0</v>
      </c>
      <c r="E34" s="11" t="s">
        <v>39</v>
      </c>
      <c r="F34" s="154">
        <f>SUM(F31:F33)</f>
        <v>0</v>
      </c>
      <c r="G34" s="154">
        <f>SUM(G31:G33)</f>
        <v>0</v>
      </c>
    </row>
    <row r="35" spans="1:7" ht="14.25">
      <c r="A35" s="44">
        <v>30</v>
      </c>
      <c r="B35" s="18" t="s">
        <v>268</v>
      </c>
      <c r="C35" s="153">
        <f>C34+C30+C18</f>
        <v>635063</v>
      </c>
      <c r="D35" s="153">
        <f>D34+D30+D18</f>
        <v>653106</v>
      </c>
      <c r="E35" s="18" t="s">
        <v>269</v>
      </c>
      <c r="F35" s="154">
        <f>F34+F18+F30</f>
        <v>635063</v>
      </c>
      <c r="G35" s="154">
        <f>G34+G30+G18</f>
        <v>688299</v>
      </c>
    </row>
    <row r="36" spans="1:7" ht="68.25" customHeight="1">
      <c r="A36" s="44">
        <v>31</v>
      </c>
      <c r="B36" s="21" t="s">
        <v>41</v>
      </c>
      <c r="C36" s="153"/>
      <c r="D36" s="153"/>
      <c r="E36" s="21" t="s">
        <v>41</v>
      </c>
      <c r="F36" s="154"/>
      <c r="G36" s="154"/>
    </row>
    <row r="37" spans="1:7" ht="14.25">
      <c r="A37" s="44">
        <v>32</v>
      </c>
      <c r="B37" s="21" t="s">
        <v>42</v>
      </c>
      <c r="C37" s="153"/>
      <c r="D37" s="153">
        <v>35193</v>
      </c>
      <c r="E37" s="21" t="s">
        <v>76</v>
      </c>
      <c r="F37" s="154"/>
      <c r="G37" s="154"/>
    </row>
    <row r="38" spans="1:7" ht="14.25">
      <c r="A38" s="44">
        <v>33</v>
      </c>
      <c r="B38" s="22" t="s">
        <v>270</v>
      </c>
      <c r="C38" s="153">
        <f>C35+C37+C36</f>
        <v>635063</v>
      </c>
      <c r="D38" s="153">
        <f>D35+D37+D36</f>
        <v>688299</v>
      </c>
      <c r="E38" s="34" t="s">
        <v>271</v>
      </c>
      <c r="F38" s="154">
        <f>F37+F35+F36+F39</f>
        <v>635063</v>
      </c>
      <c r="G38" s="154">
        <f>G37+G35+G36+G39</f>
        <v>688299</v>
      </c>
    </row>
    <row r="39" spans="1:7" ht="14.25">
      <c r="A39" s="44">
        <v>34</v>
      </c>
      <c r="B39" s="158" t="s">
        <v>272</v>
      </c>
      <c r="C39" s="153"/>
      <c r="D39" s="153"/>
      <c r="E39" s="159" t="s">
        <v>273</v>
      </c>
      <c r="F39" s="154"/>
      <c r="G39" s="154"/>
    </row>
    <row r="40" spans="1:6" ht="28.5">
      <c r="A40" s="44">
        <v>35</v>
      </c>
      <c r="B40" s="7" t="s">
        <v>44</v>
      </c>
      <c r="C40" s="153"/>
      <c r="D40" s="153"/>
      <c r="F40" s="154"/>
    </row>
    <row r="41" spans="1:7" ht="28.5">
      <c r="A41" s="44">
        <v>36</v>
      </c>
      <c r="B41" s="7" t="s">
        <v>45</v>
      </c>
      <c r="C41" s="153"/>
      <c r="D41" s="153"/>
      <c r="E41" s="97"/>
      <c r="F41" s="154"/>
      <c r="G41" s="154"/>
    </row>
    <row r="42" spans="1:7" ht="97.5" customHeight="1">
      <c r="A42" s="44">
        <v>37</v>
      </c>
      <c r="B42" s="7" t="s">
        <v>46</v>
      </c>
      <c r="C42" s="153"/>
      <c r="D42" s="153"/>
      <c r="E42" s="169" t="s">
        <v>274</v>
      </c>
      <c r="F42" s="154"/>
      <c r="G42" s="154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5" r:id="rId1"/>
  <rowBreaks count="1" manualBreakCount="1">
    <brk id="1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4.8515625" style="44" customWidth="1"/>
    <col min="2" max="2" width="34.7109375" style="44" customWidth="1"/>
    <col min="3" max="3" width="9.7109375" style="44" customWidth="1"/>
    <col min="4" max="14" width="9.140625" style="44" customWidth="1"/>
    <col min="15" max="15" width="12.7109375" style="44" customWidth="1"/>
    <col min="16" max="16384" width="9.140625" style="44" customWidth="1"/>
  </cols>
  <sheetData>
    <row r="2" ht="12.75">
      <c r="C2" s="48" t="s">
        <v>322</v>
      </c>
    </row>
    <row r="4" spans="2:15" ht="15">
      <c r="B4" s="165" t="s">
        <v>287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3:15" ht="12.75"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 t="s">
        <v>0</v>
      </c>
    </row>
    <row r="6" spans="2:15" ht="15">
      <c r="B6" s="161" t="s">
        <v>1</v>
      </c>
      <c r="C6" s="162" t="s">
        <v>275</v>
      </c>
      <c r="D6" s="162" t="s">
        <v>276</v>
      </c>
      <c r="E6" s="162" t="s">
        <v>277</v>
      </c>
      <c r="F6" s="162" t="s">
        <v>278</v>
      </c>
      <c r="G6" s="162" t="s">
        <v>279</v>
      </c>
      <c r="H6" s="162" t="s">
        <v>280</v>
      </c>
      <c r="I6" s="162" t="s">
        <v>281</v>
      </c>
      <c r="J6" s="162" t="s">
        <v>282</v>
      </c>
      <c r="K6" s="162" t="s">
        <v>283</v>
      </c>
      <c r="L6" s="162" t="s">
        <v>284</v>
      </c>
      <c r="M6" s="162" t="s">
        <v>285</v>
      </c>
      <c r="N6" s="162" t="s">
        <v>286</v>
      </c>
      <c r="O6" s="163" t="s">
        <v>155</v>
      </c>
    </row>
    <row r="7" spans="1:15" ht="14.25">
      <c r="A7" s="44">
        <v>1</v>
      </c>
      <c r="B7" s="164" t="s">
        <v>6</v>
      </c>
      <c r="C7" s="16" t="s">
        <v>7</v>
      </c>
      <c r="D7" s="16" t="s">
        <v>8</v>
      </c>
      <c r="E7" s="16" t="s">
        <v>9</v>
      </c>
      <c r="F7" s="16" t="s">
        <v>10</v>
      </c>
      <c r="G7" s="16" t="s">
        <v>11</v>
      </c>
      <c r="H7" s="16" t="s">
        <v>12</v>
      </c>
      <c r="I7" s="16" t="s">
        <v>13</v>
      </c>
      <c r="J7" s="16" t="s">
        <v>14</v>
      </c>
      <c r="K7" s="16" t="s">
        <v>15</v>
      </c>
      <c r="L7" s="16" t="s">
        <v>16</v>
      </c>
      <c r="M7" s="16" t="s">
        <v>17</v>
      </c>
      <c r="N7" s="16" t="s">
        <v>18</v>
      </c>
      <c r="O7" s="16" t="s">
        <v>94</v>
      </c>
    </row>
    <row r="8" spans="1:15" ht="12.75">
      <c r="A8" s="44">
        <v>2</v>
      </c>
      <c r="B8" s="112" t="s">
        <v>288</v>
      </c>
      <c r="C8" s="170">
        <f aca="true" t="shared" si="0" ref="C8:M8">382896/12</f>
        <v>31908</v>
      </c>
      <c r="D8" s="170">
        <f t="shared" si="0"/>
        <v>31908</v>
      </c>
      <c r="E8" s="170">
        <f t="shared" si="0"/>
        <v>31908</v>
      </c>
      <c r="F8" s="170">
        <f t="shared" si="0"/>
        <v>31908</v>
      </c>
      <c r="G8" s="170">
        <f t="shared" si="0"/>
        <v>31908</v>
      </c>
      <c r="H8" s="170">
        <f t="shared" si="0"/>
        <v>31908</v>
      </c>
      <c r="I8" s="170">
        <f t="shared" si="0"/>
        <v>31908</v>
      </c>
      <c r="J8" s="170">
        <f t="shared" si="0"/>
        <v>31908</v>
      </c>
      <c r="K8" s="170">
        <f t="shared" si="0"/>
        <v>31908</v>
      </c>
      <c r="L8" s="170">
        <f t="shared" si="0"/>
        <v>31908</v>
      </c>
      <c r="M8" s="170">
        <f t="shared" si="0"/>
        <v>31908</v>
      </c>
      <c r="N8" s="170">
        <f>382896/12</f>
        <v>31908</v>
      </c>
      <c r="O8" s="170">
        <f>SUM(C8:N8)</f>
        <v>382896</v>
      </c>
    </row>
    <row r="9" spans="1:15" ht="25.5">
      <c r="A9" s="44">
        <v>3</v>
      </c>
      <c r="B9" s="112" t="s">
        <v>289</v>
      </c>
      <c r="C9" s="170">
        <f>54298/12</f>
        <v>4524.833333333333</v>
      </c>
      <c r="D9" s="170">
        <f aca="true" t="shared" si="1" ref="D9:N9">54298/12</f>
        <v>4524.833333333333</v>
      </c>
      <c r="E9" s="170">
        <f t="shared" si="1"/>
        <v>4524.833333333333</v>
      </c>
      <c r="F9" s="170">
        <f t="shared" si="1"/>
        <v>4524.833333333333</v>
      </c>
      <c r="G9" s="170">
        <f t="shared" si="1"/>
        <v>4524.833333333333</v>
      </c>
      <c r="H9" s="170">
        <f t="shared" si="1"/>
        <v>4524.833333333333</v>
      </c>
      <c r="I9" s="170">
        <f t="shared" si="1"/>
        <v>4524.833333333333</v>
      </c>
      <c r="J9" s="170">
        <f t="shared" si="1"/>
        <v>4524.833333333333</v>
      </c>
      <c r="K9" s="170">
        <f t="shared" si="1"/>
        <v>4524.833333333333</v>
      </c>
      <c r="L9" s="170">
        <f t="shared" si="1"/>
        <v>4524.833333333333</v>
      </c>
      <c r="M9" s="170">
        <f t="shared" si="1"/>
        <v>4524.833333333333</v>
      </c>
      <c r="N9" s="170">
        <f t="shared" si="1"/>
        <v>4524.833333333333</v>
      </c>
      <c r="O9" s="170">
        <f>SUM(C9:N9)</f>
        <v>54298.00000000001</v>
      </c>
    </row>
    <row r="10" spans="1:15" ht="25.5">
      <c r="A10" s="44">
        <v>4</v>
      </c>
      <c r="B10" s="112" t="s">
        <v>290</v>
      </c>
      <c r="C10" s="170">
        <f>190620/12</f>
        <v>15885</v>
      </c>
      <c r="D10" s="170">
        <f aca="true" t="shared" si="2" ref="D10:N10">190620/12</f>
        <v>15885</v>
      </c>
      <c r="E10" s="170">
        <f t="shared" si="2"/>
        <v>15885</v>
      </c>
      <c r="F10" s="170">
        <f t="shared" si="2"/>
        <v>15885</v>
      </c>
      <c r="G10" s="170">
        <f t="shared" si="2"/>
        <v>15885</v>
      </c>
      <c r="H10" s="170">
        <f t="shared" si="2"/>
        <v>15885</v>
      </c>
      <c r="I10" s="170">
        <f t="shared" si="2"/>
        <v>15885</v>
      </c>
      <c r="J10" s="170">
        <f t="shared" si="2"/>
        <v>15885</v>
      </c>
      <c r="K10" s="170">
        <f t="shared" si="2"/>
        <v>15885</v>
      </c>
      <c r="L10" s="170">
        <f t="shared" si="2"/>
        <v>15885</v>
      </c>
      <c r="M10" s="170">
        <f t="shared" si="2"/>
        <v>15885</v>
      </c>
      <c r="N10" s="170">
        <f t="shared" si="2"/>
        <v>15885</v>
      </c>
      <c r="O10" s="170">
        <f>SUM(C10:N10)</f>
        <v>190620</v>
      </c>
    </row>
    <row r="11" spans="1:15" ht="12.75">
      <c r="A11" s="44">
        <v>5</v>
      </c>
      <c r="B11" s="112" t="s">
        <v>291</v>
      </c>
      <c r="C11" s="170">
        <f>60485/12</f>
        <v>5040.416666666667</v>
      </c>
      <c r="D11" s="170">
        <f aca="true" t="shared" si="3" ref="D11:N11">60485/12</f>
        <v>5040.416666666667</v>
      </c>
      <c r="E11" s="170">
        <f t="shared" si="3"/>
        <v>5040.416666666667</v>
      </c>
      <c r="F11" s="170">
        <f t="shared" si="3"/>
        <v>5040.416666666667</v>
      </c>
      <c r="G11" s="170">
        <f t="shared" si="3"/>
        <v>5040.416666666667</v>
      </c>
      <c r="H11" s="170">
        <f t="shared" si="3"/>
        <v>5040.416666666667</v>
      </c>
      <c r="I11" s="170">
        <f t="shared" si="3"/>
        <v>5040.416666666667</v>
      </c>
      <c r="J11" s="170">
        <f t="shared" si="3"/>
        <v>5040.416666666667</v>
      </c>
      <c r="K11" s="170">
        <f t="shared" si="3"/>
        <v>5040.416666666667</v>
      </c>
      <c r="L11" s="170">
        <f t="shared" si="3"/>
        <v>5040.416666666667</v>
      </c>
      <c r="M11" s="170">
        <f t="shared" si="3"/>
        <v>5040.416666666667</v>
      </c>
      <c r="N11" s="170">
        <f t="shared" si="3"/>
        <v>5040.416666666667</v>
      </c>
      <c r="O11" s="170">
        <f>SUM(C11:N11)</f>
        <v>60484.99999999999</v>
      </c>
    </row>
    <row r="12" spans="1:15" ht="12.75">
      <c r="A12" s="44">
        <v>6</v>
      </c>
      <c r="B12" s="113" t="s">
        <v>292</v>
      </c>
      <c r="C12" s="171">
        <f>SUM(C8:C11)</f>
        <v>57358.25</v>
      </c>
      <c r="D12" s="171">
        <f aca="true" t="shared" si="4" ref="D12:N12">SUM(D8:D11)</f>
        <v>57358.25</v>
      </c>
      <c r="E12" s="171">
        <f t="shared" si="4"/>
        <v>57358.25</v>
      </c>
      <c r="F12" s="171">
        <f t="shared" si="4"/>
        <v>57358.25</v>
      </c>
      <c r="G12" s="171">
        <f t="shared" si="4"/>
        <v>57358.25</v>
      </c>
      <c r="H12" s="171">
        <f t="shared" si="4"/>
        <v>57358.25</v>
      </c>
      <c r="I12" s="171">
        <f t="shared" si="4"/>
        <v>57358.25</v>
      </c>
      <c r="J12" s="171">
        <f t="shared" si="4"/>
        <v>57358.25</v>
      </c>
      <c r="K12" s="171">
        <f t="shared" si="4"/>
        <v>57358.25</v>
      </c>
      <c r="L12" s="171">
        <f t="shared" si="4"/>
        <v>57358.25</v>
      </c>
      <c r="M12" s="171">
        <f t="shared" si="4"/>
        <v>57358.25</v>
      </c>
      <c r="N12" s="171">
        <f t="shared" si="4"/>
        <v>57358.25</v>
      </c>
      <c r="O12" s="170">
        <f>SUM(C12:N12)</f>
        <v>688299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51.140625" style="0" customWidth="1"/>
    <col min="3" max="4" width="18.140625" style="0" customWidth="1"/>
    <col min="5" max="5" width="19.00390625" style="0" customWidth="1"/>
    <col min="6" max="6" width="17.421875" style="0" customWidth="1"/>
    <col min="7" max="7" width="19.00390625" style="0" customWidth="1"/>
    <col min="8" max="8" width="17.421875" style="0" customWidth="1"/>
  </cols>
  <sheetData>
    <row r="1" spans="1:7" ht="12.75">
      <c r="A1" s="44"/>
      <c r="B1" s="44"/>
      <c r="C1" s="48" t="s">
        <v>312</v>
      </c>
      <c r="D1" s="44"/>
      <c r="E1" s="44"/>
      <c r="G1" s="44"/>
    </row>
    <row r="2" spans="1:7" ht="20.25">
      <c r="A2" s="44"/>
      <c r="B2" s="45" t="s">
        <v>131</v>
      </c>
      <c r="C2" s="44"/>
      <c r="D2" s="44"/>
      <c r="E2" s="44"/>
      <c r="G2" s="44"/>
    </row>
    <row r="3" spans="1:7" ht="12.75">
      <c r="A3" s="44"/>
      <c r="B3" s="44"/>
      <c r="C3" s="44"/>
      <c r="D3" s="44" t="s">
        <v>0</v>
      </c>
      <c r="E3" s="44"/>
      <c r="G3" s="44"/>
    </row>
    <row r="4" spans="1:8" ht="71.25">
      <c r="A4" s="44"/>
      <c r="B4" s="37" t="s">
        <v>1</v>
      </c>
      <c r="C4" s="38" t="s">
        <v>2</v>
      </c>
      <c r="D4" s="38" t="s">
        <v>97</v>
      </c>
      <c r="E4" s="3" t="s">
        <v>86</v>
      </c>
      <c r="F4" s="3" t="s">
        <v>87</v>
      </c>
      <c r="G4" s="3" t="s">
        <v>89</v>
      </c>
      <c r="H4" s="3" t="s">
        <v>90</v>
      </c>
    </row>
    <row r="5" spans="1:9" s="36" customFormat="1" ht="14.25">
      <c r="A5" s="44"/>
      <c r="B5" s="70" t="s">
        <v>6</v>
      </c>
      <c r="C5" s="2" t="s">
        <v>7</v>
      </c>
      <c r="D5" s="2" t="s">
        <v>8</v>
      </c>
      <c r="E5" s="2" t="s">
        <v>9</v>
      </c>
      <c r="F5" s="2" t="s">
        <v>105</v>
      </c>
      <c r="G5" s="2" t="s">
        <v>11</v>
      </c>
      <c r="H5" s="2" t="s">
        <v>12</v>
      </c>
      <c r="I5" s="55"/>
    </row>
    <row r="6" spans="1:26" ht="16.5">
      <c r="A6" s="44">
        <v>1</v>
      </c>
      <c r="B6" s="39" t="s">
        <v>98</v>
      </c>
      <c r="C6" s="40">
        <v>75000</v>
      </c>
      <c r="D6" s="40">
        <v>75000</v>
      </c>
      <c r="E6" s="40">
        <f>C6</f>
        <v>75000</v>
      </c>
      <c r="F6" s="40"/>
      <c r="G6" s="40">
        <f>D6</f>
        <v>75000</v>
      </c>
      <c r="H6" s="40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6.5">
      <c r="A7" s="44">
        <v>2</v>
      </c>
      <c r="B7" s="39" t="s">
        <v>99</v>
      </c>
      <c r="C7" s="40">
        <v>20000</v>
      </c>
      <c r="D7" s="40">
        <v>20000</v>
      </c>
      <c r="E7" s="40">
        <f aca="true" t="shared" si="0" ref="E7:E12">C7</f>
        <v>20000</v>
      </c>
      <c r="F7" s="40"/>
      <c r="G7" s="40">
        <f aca="true" t="shared" si="1" ref="G7:G12">D7</f>
        <v>20000</v>
      </c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6.5">
      <c r="A8" s="44">
        <v>3</v>
      </c>
      <c r="B8" s="39" t="s">
        <v>100</v>
      </c>
      <c r="C8" s="40"/>
      <c r="D8" s="40"/>
      <c r="E8" s="40">
        <f t="shared" si="0"/>
        <v>0</v>
      </c>
      <c r="F8" s="40"/>
      <c r="G8" s="40">
        <f t="shared" si="1"/>
        <v>0</v>
      </c>
      <c r="H8" s="40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6.5">
      <c r="A9" s="44">
        <v>4</v>
      </c>
      <c r="B9" s="39" t="s">
        <v>101</v>
      </c>
      <c r="C9" s="40">
        <v>37000</v>
      </c>
      <c r="D9" s="40">
        <v>37000</v>
      </c>
      <c r="E9" s="40">
        <f t="shared" si="0"/>
        <v>37000</v>
      </c>
      <c r="F9" s="40"/>
      <c r="G9" s="40">
        <f t="shared" si="1"/>
        <v>37000</v>
      </c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28.5">
      <c r="A10" s="44">
        <v>5</v>
      </c>
      <c r="B10" s="39" t="s">
        <v>102</v>
      </c>
      <c r="C10" s="40">
        <v>16000</v>
      </c>
      <c r="D10" s="40">
        <v>16000</v>
      </c>
      <c r="E10" s="40">
        <f t="shared" si="0"/>
        <v>16000</v>
      </c>
      <c r="F10" s="40"/>
      <c r="G10" s="40">
        <f t="shared" si="1"/>
        <v>16000</v>
      </c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28.5">
      <c r="A11" s="44">
        <v>6</v>
      </c>
      <c r="B11" s="39" t="s">
        <v>103</v>
      </c>
      <c r="C11" s="40"/>
      <c r="D11" s="40"/>
      <c r="E11" s="40">
        <f t="shared" si="0"/>
        <v>0</v>
      </c>
      <c r="F11" s="40"/>
      <c r="G11" s="40">
        <f t="shared" si="1"/>
        <v>0</v>
      </c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6.5">
      <c r="A12" s="44">
        <v>7</v>
      </c>
      <c r="B12" s="39" t="s">
        <v>294</v>
      </c>
      <c r="C12" s="40">
        <v>500</v>
      </c>
      <c r="D12" s="40">
        <v>500</v>
      </c>
      <c r="E12" s="40">
        <f t="shared" si="0"/>
        <v>500</v>
      </c>
      <c r="F12" s="40"/>
      <c r="G12" s="40">
        <f t="shared" si="1"/>
        <v>500</v>
      </c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8" ht="15">
      <c r="A13" s="44">
        <v>8</v>
      </c>
      <c r="B13" s="42" t="s">
        <v>104</v>
      </c>
      <c r="C13" s="43">
        <f>SUM(C6:C12)</f>
        <v>148500</v>
      </c>
      <c r="D13" s="43">
        <f>SUM(D6:D12)</f>
        <v>148500</v>
      </c>
      <c r="E13" s="43">
        <f>SUM(E6:E11)</f>
        <v>148000</v>
      </c>
      <c r="F13" s="43">
        <f>SUM(F6:F11)</f>
        <v>0</v>
      </c>
      <c r="G13" s="43">
        <f>SUM(G6:G11)</f>
        <v>148000</v>
      </c>
      <c r="H13" s="43">
        <f>SUM(H6:H11)</f>
        <v>0</v>
      </c>
    </row>
    <row r="14" spans="1:7" ht="12.75">
      <c r="A14" s="44"/>
      <c r="B14" s="44"/>
      <c r="C14" s="44"/>
      <c r="D14" s="44"/>
      <c r="E14" s="44"/>
      <c r="G14" s="44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zoomScale="75" zoomScaleNormal="75" zoomScalePageLayoutView="0" workbookViewId="0" topLeftCell="A1">
      <selection activeCell="C1" sqref="C1"/>
    </sheetView>
  </sheetViews>
  <sheetFormatPr defaultColWidth="9.140625" defaultRowHeight="12.75"/>
  <cols>
    <col min="1" max="1" width="9.140625" style="44" customWidth="1"/>
    <col min="2" max="2" width="71.421875" style="44" customWidth="1"/>
    <col min="3" max="3" width="18.8515625" style="44" customWidth="1"/>
    <col min="4" max="4" width="19.28125" style="44" customWidth="1"/>
    <col min="5" max="5" width="21.8515625" style="44" customWidth="1"/>
    <col min="6" max="6" width="21.00390625" style="44" customWidth="1"/>
    <col min="7" max="7" width="19.7109375" style="44" customWidth="1"/>
    <col min="8" max="8" width="21.00390625" style="44" customWidth="1"/>
    <col min="9" max="16384" width="9.140625" style="44" customWidth="1"/>
  </cols>
  <sheetData>
    <row r="1" ht="12.75">
      <c r="C1" s="48" t="s">
        <v>313</v>
      </c>
    </row>
    <row r="2" ht="20.25">
      <c r="B2" s="45" t="s">
        <v>130</v>
      </c>
    </row>
    <row r="3" ht="12.75">
      <c r="G3" s="44" t="s">
        <v>0</v>
      </c>
    </row>
    <row r="4" spans="2:8" ht="57">
      <c r="B4" s="1" t="s">
        <v>1</v>
      </c>
      <c r="C4" s="2" t="s">
        <v>2</v>
      </c>
      <c r="D4" s="2" t="s">
        <v>82</v>
      </c>
      <c r="E4" s="3" t="s">
        <v>86</v>
      </c>
      <c r="F4" s="3" t="s">
        <v>87</v>
      </c>
      <c r="G4" s="3" t="s">
        <v>89</v>
      </c>
      <c r="H4" s="3" t="s">
        <v>90</v>
      </c>
    </row>
    <row r="5" spans="2:8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105</v>
      </c>
      <c r="G5" s="2" t="s">
        <v>11</v>
      </c>
      <c r="H5" s="2" t="s">
        <v>12</v>
      </c>
    </row>
    <row r="6" spans="1:26" ht="16.5">
      <c r="A6" s="44">
        <v>1</v>
      </c>
      <c r="B6" s="7" t="s">
        <v>106</v>
      </c>
      <c r="C6" s="56">
        <v>8886</v>
      </c>
      <c r="D6" s="56">
        <v>9248</v>
      </c>
      <c r="E6" s="58">
        <f>C6</f>
        <v>8886</v>
      </c>
      <c r="F6" s="58"/>
      <c r="G6" s="58">
        <f>D6</f>
        <v>9248</v>
      </c>
      <c r="H6" s="58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28.5">
      <c r="A7" s="44">
        <v>2</v>
      </c>
      <c r="B7" s="7" t="s">
        <v>107</v>
      </c>
      <c r="C7" s="56"/>
      <c r="D7" s="56">
        <v>2000</v>
      </c>
      <c r="E7" s="58">
        <f aca="true" t="shared" si="0" ref="E7:E15">C7</f>
        <v>0</v>
      </c>
      <c r="F7" s="58"/>
      <c r="G7" s="58">
        <f aca="true" t="shared" si="1" ref="G7:G15">D7</f>
        <v>2000</v>
      </c>
      <c r="H7" s="58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28.5">
      <c r="A8" s="44">
        <v>3</v>
      </c>
      <c r="B8" s="7" t="s">
        <v>108</v>
      </c>
      <c r="C8" s="58"/>
      <c r="D8" s="58"/>
      <c r="E8" s="58">
        <f t="shared" si="0"/>
        <v>0</v>
      </c>
      <c r="F8" s="58"/>
      <c r="G8" s="58">
        <f t="shared" si="1"/>
        <v>0</v>
      </c>
      <c r="H8" s="58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27.75" customHeight="1">
      <c r="A9" s="44">
        <v>4</v>
      </c>
      <c r="B9" s="7" t="s">
        <v>109</v>
      </c>
      <c r="C9" s="56">
        <v>4000</v>
      </c>
      <c r="D9" s="56">
        <v>4000</v>
      </c>
      <c r="E9" s="58">
        <f t="shared" si="0"/>
        <v>4000</v>
      </c>
      <c r="F9" s="58"/>
      <c r="G9" s="58">
        <f t="shared" si="1"/>
        <v>4000</v>
      </c>
      <c r="H9" s="58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28.5" customHeight="1">
      <c r="A10" s="44">
        <v>5</v>
      </c>
      <c r="B10" s="7" t="s">
        <v>110</v>
      </c>
      <c r="C10" s="56"/>
      <c r="D10" s="56">
        <v>55</v>
      </c>
      <c r="E10" s="58">
        <f t="shared" si="0"/>
        <v>0</v>
      </c>
      <c r="F10" s="58"/>
      <c r="G10" s="58">
        <f t="shared" si="1"/>
        <v>55</v>
      </c>
      <c r="H10" s="58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28.5">
      <c r="A11" s="44">
        <v>6</v>
      </c>
      <c r="B11" s="7" t="s">
        <v>111</v>
      </c>
      <c r="C11" s="58">
        <v>7480</v>
      </c>
      <c r="D11" s="58">
        <v>7480</v>
      </c>
      <c r="E11" s="58">
        <f t="shared" si="0"/>
        <v>7480</v>
      </c>
      <c r="F11" s="58"/>
      <c r="G11" s="58">
        <f t="shared" si="1"/>
        <v>7480</v>
      </c>
      <c r="H11" s="58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6.5">
      <c r="A12" s="44">
        <v>7</v>
      </c>
      <c r="B12" s="7" t="s">
        <v>112</v>
      </c>
      <c r="C12" s="56"/>
      <c r="D12" s="56"/>
      <c r="E12" s="58">
        <f t="shared" si="0"/>
        <v>0</v>
      </c>
      <c r="F12" s="58"/>
      <c r="G12" s="58">
        <f t="shared" si="1"/>
        <v>0</v>
      </c>
      <c r="H12" s="58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28.5">
      <c r="A13" s="44">
        <v>8</v>
      </c>
      <c r="B13" s="7" t="s">
        <v>113</v>
      </c>
      <c r="C13" s="56"/>
      <c r="D13" s="56"/>
      <c r="E13" s="58">
        <f t="shared" si="0"/>
        <v>0</v>
      </c>
      <c r="F13" s="58"/>
      <c r="G13" s="58">
        <f t="shared" si="1"/>
        <v>0</v>
      </c>
      <c r="H13" s="58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28.5">
      <c r="A14" s="44">
        <v>9</v>
      </c>
      <c r="B14" s="7" t="s">
        <v>114</v>
      </c>
      <c r="C14" s="56"/>
      <c r="D14" s="56"/>
      <c r="E14" s="58">
        <f t="shared" si="0"/>
        <v>0</v>
      </c>
      <c r="F14" s="58"/>
      <c r="G14" s="58">
        <f t="shared" si="1"/>
        <v>0</v>
      </c>
      <c r="H14" s="58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16.5">
      <c r="A15" s="44">
        <v>10</v>
      </c>
      <c r="B15" s="7" t="s">
        <v>115</v>
      </c>
      <c r="C15" s="56"/>
      <c r="D15" s="56"/>
      <c r="E15" s="58">
        <f t="shared" si="0"/>
        <v>0</v>
      </c>
      <c r="F15" s="58"/>
      <c r="G15" s="58">
        <f t="shared" si="1"/>
        <v>0</v>
      </c>
      <c r="H15" s="58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28.5" customHeight="1">
      <c r="A16" s="44">
        <v>11</v>
      </c>
      <c r="B16" s="42" t="s">
        <v>116</v>
      </c>
      <c r="C16" s="57">
        <f aca="true" t="shared" si="2" ref="C16:H16">SUM(C6:C15)</f>
        <v>20366</v>
      </c>
      <c r="D16" s="57">
        <f t="shared" si="2"/>
        <v>22783</v>
      </c>
      <c r="E16" s="57">
        <f t="shared" si="2"/>
        <v>20366</v>
      </c>
      <c r="F16" s="57">
        <f t="shared" si="2"/>
        <v>0</v>
      </c>
      <c r="G16" s="57">
        <f t="shared" si="2"/>
        <v>22783</v>
      </c>
      <c r="H16" s="57">
        <f t="shared" si="2"/>
        <v>0</v>
      </c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6"/>
      <c r="W16" s="66"/>
      <c r="X16" s="67"/>
      <c r="Y16" s="67"/>
      <c r="Z16" s="67"/>
    </row>
    <row r="17" spans="3:26" ht="16.5"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20" spans="2:8" ht="57">
      <c r="B20" s="1" t="s">
        <v>1</v>
      </c>
      <c r="C20" s="2" t="s">
        <v>2</v>
      </c>
      <c r="D20" s="2" t="s">
        <v>82</v>
      </c>
      <c r="E20" s="3" t="s">
        <v>86</v>
      </c>
      <c r="F20" s="3" t="s">
        <v>87</v>
      </c>
      <c r="G20" s="3" t="s">
        <v>89</v>
      </c>
      <c r="H20" s="3" t="s">
        <v>90</v>
      </c>
    </row>
    <row r="21" spans="2:8" ht="14.25">
      <c r="B21" s="2" t="s">
        <v>6</v>
      </c>
      <c r="C21" s="2" t="s">
        <v>7</v>
      </c>
      <c r="D21" s="2" t="s">
        <v>8</v>
      </c>
      <c r="E21" s="2" t="s">
        <v>9</v>
      </c>
      <c r="F21" s="2" t="s">
        <v>105</v>
      </c>
      <c r="G21" s="2" t="s">
        <v>11</v>
      </c>
      <c r="H21" s="2" t="s">
        <v>12</v>
      </c>
    </row>
    <row r="22" spans="1:26" ht="16.5">
      <c r="A22" s="44">
        <v>1</v>
      </c>
      <c r="B22" s="59" t="s">
        <v>117</v>
      </c>
      <c r="C22" s="60"/>
      <c r="D22" s="60"/>
      <c r="E22" s="58">
        <f>C22</f>
        <v>0</v>
      </c>
      <c r="F22" s="58"/>
      <c r="G22" s="58">
        <f>D22</f>
        <v>0</v>
      </c>
      <c r="H22" s="5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28.5">
      <c r="A23" s="44">
        <v>2</v>
      </c>
      <c r="B23" s="7" t="s">
        <v>118</v>
      </c>
      <c r="C23" s="56"/>
      <c r="D23" s="56"/>
      <c r="E23" s="58">
        <f aca="true" t="shared" si="3" ref="E23:E32">C23</f>
        <v>0</v>
      </c>
      <c r="F23" s="58"/>
      <c r="G23" s="58">
        <f aca="true" t="shared" si="4" ref="G23:G32">D23</f>
        <v>0</v>
      </c>
      <c r="H23" s="58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28.5">
      <c r="A24" s="44">
        <v>3</v>
      </c>
      <c r="B24" s="7" t="s">
        <v>119</v>
      </c>
      <c r="C24" s="58">
        <f>41177+17867</f>
        <v>59044</v>
      </c>
      <c r="D24" s="58">
        <v>59044</v>
      </c>
      <c r="E24" s="58">
        <f t="shared" si="3"/>
        <v>59044</v>
      </c>
      <c r="F24" s="58"/>
      <c r="G24" s="58">
        <f t="shared" si="4"/>
        <v>59044</v>
      </c>
      <c r="H24" s="58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28.5">
      <c r="A25" s="44">
        <v>4</v>
      </c>
      <c r="B25" s="7" t="s">
        <v>120</v>
      </c>
      <c r="C25" s="58"/>
      <c r="D25" s="58"/>
      <c r="E25" s="58">
        <f t="shared" si="3"/>
        <v>0</v>
      </c>
      <c r="F25" s="58"/>
      <c r="G25" s="58">
        <f t="shared" si="4"/>
        <v>0</v>
      </c>
      <c r="H25" s="58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6.5">
      <c r="A26" s="44">
        <v>5</v>
      </c>
      <c r="B26" s="7" t="s">
        <v>121</v>
      </c>
      <c r="C26" s="56"/>
      <c r="D26" s="56"/>
      <c r="E26" s="58">
        <f t="shared" si="3"/>
        <v>0</v>
      </c>
      <c r="F26" s="58"/>
      <c r="G26" s="58">
        <f t="shared" si="4"/>
        <v>0</v>
      </c>
      <c r="H26" s="58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16.5">
      <c r="A27" s="44">
        <v>6</v>
      </c>
      <c r="B27" s="7" t="s">
        <v>122</v>
      </c>
      <c r="C27" s="56"/>
      <c r="D27" s="56"/>
      <c r="E27" s="58">
        <f t="shared" si="3"/>
        <v>0</v>
      </c>
      <c r="F27" s="58"/>
      <c r="G27" s="58">
        <f t="shared" si="4"/>
        <v>0</v>
      </c>
      <c r="H27" s="58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28.5">
      <c r="A28" s="44">
        <v>7</v>
      </c>
      <c r="B28" s="7" t="s">
        <v>123</v>
      </c>
      <c r="C28" s="56"/>
      <c r="D28" s="56"/>
      <c r="E28" s="58">
        <f t="shared" si="3"/>
        <v>0</v>
      </c>
      <c r="F28" s="58"/>
      <c r="G28" s="58">
        <f t="shared" si="4"/>
        <v>0</v>
      </c>
      <c r="H28" s="58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16.5">
      <c r="A29" s="44">
        <v>8</v>
      </c>
      <c r="B29" s="7" t="s">
        <v>124</v>
      </c>
      <c r="C29" s="56"/>
      <c r="D29" s="56"/>
      <c r="E29" s="58">
        <f t="shared" si="3"/>
        <v>0</v>
      </c>
      <c r="F29" s="58"/>
      <c r="G29" s="58">
        <f t="shared" si="4"/>
        <v>0</v>
      </c>
      <c r="H29" s="58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28.5">
      <c r="A30" s="44">
        <v>9</v>
      </c>
      <c r="B30" s="7" t="s">
        <v>125</v>
      </c>
      <c r="C30" s="56"/>
      <c r="D30" s="56"/>
      <c r="E30" s="58">
        <f t="shared" si="3"/>
        <v>0</v>
      </c>
      <c r="F30" s="58"/>
      <c r="G30" s="58">
        <f t="shared" si="4"/>
        <v>0</v>
      </c>
      <c r="H30" s="58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28.5">
      <c r="A31" s="44">
        <v>10</v>
      </c>
      <c r="B31" s="7" t="s">
        <v>126</v>
      </c>
      <c r="C31" s="56"/>
      <c r="D31" s="56"/>
      <c r="E31" s="58">
        <f t="shared" si="3"/>
        <v>0</v>
      </c>
      <c r="F31" s="58"/>
      <c r="G31" s="58">
        <f t="shared" si="4"/>
        <v>0</v>
      </c>
      <c r="H31" s="58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16.5">
      <c r="A32" s="44">
        <v>11</v>
      </c>
      <c r="B32" s="7" t="s">
        <v>127</v>
      </c>
      <c r="C32" s="56"/>
      <c r="D32" s="56"/>
      <c r="E32" s="58">
        <f t="shared" si="3"/>
        <v>0</v>
      </c>
      <c r="F32" s="58"/>
      <c r="G32" s="58">
        <f t="shared" si="4"/>
        <v>0</v>
      </c>
      <c r="H32" s="58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24.75" customHeight="1">
      <c r="A33" s="44">
        <v>12</v>
      </c>
      <c r="B33" s="42" t="s">
        <v>128</v>
      </c>
      <c r="C33" s="57">
        <f aca="true" t="shared" si="5" ref="C33:H33">SUM(C22:C32)</f>
        <v>59044</v>
      </c>
      <c r="D33" s="57">
        <f t="shared" si="5"/>
        <v>59044</v>
      </c>
      <c r="E33" s="57">
        <f t="shared" si="5"/>
        <v>59044</v>
      </c>
      <c r="F33" s="57">
        <f t="shared" si="5"/>
        <v>0</v>
      </c>
      <c r="G33" s="57">
        <f t="shared" si="5"/>
        <v>59044</v>
      </c>
      <c r="H33" s="57">
        <f t="shared" si="5"/>
        <v>0</v>
      </c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6"/>
      <c r="W33" s="66"/>
      <c r="X33" s="67"/>
      <c r="Y33" s="67"/>
      <c r="Z33" s="67"/>
    </row>
    <row r="35" spans="2:8" ht="18">
      <c r="B35" s="61" t="s">
        <v>129</v>
      </c>
      <c r="C35" s="63">
        <f aca="true" t="shared" si="6" ref="C35:H35">C33+C16</f>
        <v>79410</v>
      </c>
      <c r="D35" s="63">
        <f t="shared" si="6"/>
        <v>81827</v>
      </c>
      <c r="E35" s="63">
        <f t="shared" si="6"/>
        <v>79410</v>
      </c>
      <c r="F35" s="63">
        <f t="shared" si="6"/>
        <v>0</v>
      </c>
      <c r="G35" s="63">
        <f t="shared" si="6"/>
        <v>81827</v>
      </c>
      <c r="H35" s="63">
        <f t="shared" si="6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1"/>
  <sheetViews>
    <sheetView zoomScale="75" zoomScaleNormal="75" zoomScalePageLayoutView="0" workbookViewId="0" topLeftCell="A1">
      <selection activeCell="C1" sqref="C1"/>
    </sheetView>
  </sheetViews>
  <sheetFormatPr defaultColWidth="9.140625" defaultRowHeight="12.75"/>
  <cols>
    <col min="1" max="1" width="9.140625" style="44" customWidth="1"/>
    <col min="2" max="2" width="71.421875" style="44" customWidth="1"/>
    <col min="3" max="3" width="18.8515625" style="44" customWidth="1"/>
    <col min="4" max="4" width="19.28125" style="44" customWidth="1"/>
    <col min="5" max="5" width="21.8515625" style="44" customWidth="1"/>
    <col min="6" max="6" width="21.00390625" style="44" customWidth="1"/>
    <col min="7" max="7" width="19.7109375" style="44" customWidth="1"/>
    <col min="8" max="8" width="21.00390625" style="44" customWidth="1"/>
    <col min="9" max="16384" width="9.140625" style="44" customWidth="1"/>
  </cols>
  <sheetData>
    <row r="1" ht="12.75">
      <c r="C1" s="48" t="s">
        <v>314</v>
      </c>
    </row>
    <row r="2" ht="20.25">
      <c r="B2" s="45" t="s">
        <v>132</v>
      </c>
    </row>
    <row r="3" ht="12.75">
      <c r="G3" s="44" t="s">
        <v>134</v>
      </c>
    </row>
    <row r="4" spans="2:8" ht="57">
      <c r="B4" s="1" t="s">
        <v>1</v>
      </c>
      <c r="C4" s="2" t="s">
        <v>2</v>
      </c>
      <c r="D4" s="2" t="s">
        <v>82</v>
      </c>
      <c r="E4" s="3" t="s">
        <v>86</v>
      </c>
      <c r="F4" s="3" t="s">
        <v>87</v>
      </c>
      <c r="G4" s="3" t="s">
        <v>89</v>
      </c>
      <c r="H4" s="3" t="s">
        <v>90</v>
      </c>
    </row>
    <row r="5" spans="2:8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105</v>
      </c>
      <c r="G5" s="2" t="s">
        <v>11</v>
      </c>
      <c r="H5" s="2" t="s">
        <v>12</v>
      </c>
    </row>
    <row r="6" spans="1:26" ht="16.5">
      <c r="A6" s="44">
        <v>1</v>
      </c>
      <c r="B6" s="7" t="s">
        <v>133</v>
      </c>
      <c r="C6" s="56">
        <v>20197800</v>
      </c>
      <c r="D6" s="56"/>
      <c r="E6" s="58">
        <f>C6</f>
        <v>20197800</v>
      </c>
      <c r="F6" s="58"/>
      <c r="G6" s="58">
        <f>D6</f>
        <v>0</v>
      </c>
      <c r="H6" s="58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6.5">
      <c r="A7" s="44">
        <v>2</v>
      </c>
      <c r="B7" s="7" t="s">
        <v>135</v>
      </c>
      <c r="C7" s="56">
        <v>20919690</v>
      </c>
      <c r="D7" s="56"/>
      <c r="E7" s="58">
        <f aca="true" t="shared" si="0" ref="E7:E29">C7</f>
        <v>20919690</v>
      </c>
      <c r="F7" s="58"/>
      <c r="G7" s="58">
        <f aca="true" t="shared" si="1" ref="G7:G29">D7</f>
        <v>0</v>
      </c>
      <c r="H7" s="58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6.5">
      <c r="A8" s="44">
        <v>3</v>
      </c>
      <c r="B8" s="7" t="s">
        <v>136</v>
      </c>
      <c r="C8" s="58">
        <v>4468500</v>
      </c>
      <c r="D8" s="58"/>
      <c r="E8" s="58">
        <f t="shared" si="0"/>
        <v>4468500</v>
      </c>
      <c r="F8" s="58"/>
      <c r="G8" s="58">
        <f t="shared" si="1"/>
        <v>0</v>
      </c>
      <c r="H8" s="58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6.5">
      <c r="A9" s="44">
        <v>4</v>
      </c>
      <c r="B9" s="7" t="s">
        <v>137</v>
      </c>
      <c r="C9" s="56">
        <v>-5386375</v>
      </c>
      <c r="D9" s="56"/>
      <c r="E9" s="58">
        <f t="shared" si="0"/>
        <v>-5386375</v>
      </c>
      <c r="F9" s="58"/>
      <c r="G9" s="58">
        <f t="shared" si="1"/>
        <v>0</v>
      </c>
      <c r="H9" s="58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6.5">
      <c r="A10" s="44">
        <v>5</v>
      </c>
      <c r="B10" s="21" t="s">
        <v>138</v>
      </c>
      <c r="C10" s="57">
        <f>SUM(C6:C9)</f>
        <v>40199615</v>
      </c>
      <c r="D10" s="57">
        <v>41637000</v>
      </c>
      <c r="E10" s="57">
        <f t="shared" si="0"/>
        <v>40199615</v>
      </c>
      <c r="F10" s="57">
        <f>SUM(F6:F9)</f>
        <v>0</v>
      </c>
      <c r="G10" s="57">
        <f t="shared" si="1"/>
        <v>41637000</v>
      </c>
      <c r="H10" s="57">
        <f>SUM(H6:H9)</f>
        <v>0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28.5">
      <c r="A11" s="44">
        <v>6</v>
      </c>
      <c r="B11" s="7" t="s">
        <v>139</v>
      </c>
      <c r="C11" s="56">
        <v>18368000</v>
      </c>
      <c r="D11" s="56">
        <v>18368000</v>
      </c>
      <c r="E11" s="58">
        <f t="shared" si="0"/>
        <v>18368000</v>
      </c>
      <c r="F11" s="58"/>
      <c r="G11" s="58">
        <f t="shared" si="1"/>
        <v>18368000</v>
      </c>
      <c r="H11" s="58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16.5">
      <c r="A12" s="44">
        <v>7</v>
      </c>
      <c r="B12" s="7" t="s">
        <v>140</v>
      </c>
      <c r="C12" s="56"/>
      <c r="D12" s="56"/>
      <c r="E12" s="58">
        <f t="shared" si="0"/>
        <v>0</v>
      </c>
      <c r="F12" s="58"/>
      <c r="G12" s="58">
        <f t="shared" si="1"/>
        <v>0</v>
      </c>
      <c r="H12" s="58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s="71" customFormat="1" ht="16.5">
      <c r="A13" s="44">
        <v>8</v>
      </c>
      <c r="B13" s="72" t="s">
        <v>141</v>
      </c>
      <c r="C13" s="73">
        <v>15104000</v>
      </c>
      <c r="D13" s="73">
        <v>15104000</v>
      </c>
      <c r="E13" s="58">
        <f t="shared" si="0"/>
        <v>15104000</v>
      </c>
      <c r="F13" s="75"/>
      <c r="G13" s="58">
        <f t="shared" si="1"/>
        <v>15104000</v>
      </c>
      <c r="H13" s="75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s="71" customFormat="1" ht="16.5">
      <c r="A14" s="44">
        <v>9</v>
      </c>
      <c r="B14" s="72" t="s">
        <v>142</v>
      </c>
      <c r="C14" s="73">
        <v>5664000</v>
      </c>
      <c r="D14" s="73">
        <v>5664000</v>
      </c>
      <c r="E14" s="58">
        <f t="shared" si="0"/>
        <v>5664000</v>
      </c>
      <c r="F14" s="75"/>
      <c r="G14" s="58">
        <f t="shared" si="1"/>
        <v>5664000</v>
      </c>
      <c r="H14" s="75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6.5">
      <c r="A15" s="44">
        <v>10</v>
      </c>
      <c r="B15" s="7" t="s">
        <v>143</v>
      </c>
      <c r="C15" s="56">
        <v>3060000</v>
      </c>
      <c r="D15" s="56">
        <v>3060000</v>
      </c>
      <c r="E15" s="58">
        <f t="shared" si="0"/>
        <v>3060000</v>
      </c>
      <c r="F15" s="58"/>
      <c r="G15" s="58">
        <f t="shared" si="1"/>
        <v>3060000</v>
      </c>
      <c r="H15" s="58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6.5">
      <c r="A16" s="44">
        <v>11</v>
      </c>
      <c r="B16" s="7" t="s">
        <v>144</v>
      </c>
      <c r="C16" s="56">
        <v>1836000</v>
      </c>
      <c r="D16" s="56">
        <v>1836000</v>
      </c>
      <c r="E16" s="58">
        <f t="shared" si="0"/>
        <v>1836000</v>
      </c>
      <c r="F16" s="58"/>
      <c r="G16" s="58">
        <f t="shared" si="1"/>
        <v>1836000</v>
      </c>
      <c r="H16" s="58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28.5">
      <c r="A17" s="44">
        <v>12</v>
      </c>
      <c r="B17" s="21" t="s">
        <v>145</v>
      </c>
      <c r="C17" s="57">
        <f>C11+C15+C16</f>
        <v>23264000</v>
      </c>
      <c r="D17" s="57">
        <f>D11+D15+D16</f>
        <v>23264000</v>
      </c>
      <c r="E17" s="57">
        <f t="shared" si="0"/>
        <v>23264000</v>
      </c>
      <c r="F17" s="57">
        <f>F11+F15+F16</f>
        <v>0</v>
      </c>
      <c r="G17" s="57">
        <f t="shared" si="1"/>
        <v>23264000</v>
      </c>
      <c r="H17" s="57">
        <f>H11+H15+H16</f>
        <v>0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6.5">
      <c r="A18" s="44">
        <v>13</v>
      </c>
      <c r="B18" s="7" t="s">
        <v>146</v>
      </c>
      <c r="C18" s="56">
        <v>1774585</v>
      </c>
      <c r="D18" s="56">
        <v>1774585</v>
      </c>
      <c r="E18" s="58">
        <f t="shared" si="0"/>
        <v>1774585</v>
      </c>
      <c r="F18" s="58"/>
      <c r="G18" s="58">
        <f t="shared" si="1"/>
        <v>1774585</v>
      </c>
      <c r="H18" s="58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16.5">
      <c r="A19" s="44">
        <v>14</v>
      </c>
      <c r="B19" s="7" t="s">
        <v>147</v>
      </c>
      <c r="C19" s="56">
        <v>775040</v>
      </c>
      <c r="D19" s="56">
        <v>775040</v>
      </c>
      <c r="E19" s="58">
        <f t="shared" si="0"/>
        <v>775040</v>
      </c>
      <c r="F19" s="58"/>
      <c r="G19" s="58">
        <f t="shared" si="1"/>
        <v>775040</v>
      </c>
      <c r="H19" s="58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s="71" customFormat="1" ht="16.5">
      <c r="A20" s="44">
        <v>15</v>
      </c>
      <c r="B20" s="72" t="s">
        <v>148</v>
      </c>
      <c r="C20" s="73">
        <v>775040</v>
      </c>
      <c r="D20" s="73">
        <v>775040</v>
      </c>
      <c r="E20" s="58">
        <f t="shared" si="0"/>
        <v>775040</v>
      </c>
      <c r="F20" s="75"/>
      <c r="G20" s="58">
        <f t="shared" si="1"/>
        <v>775040</v>
      </c>
      <c r="H20" s="75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ht="28.5">
      <c r="A21" s="44">
        <v>16</v>
      </c>
      <c r="B21" s="21" t="s">
        <v>149</v>
      </c>
      <c r="C21" s="57">
        <f>C18+C19</f>
        <v>2549625</v>
      </c>
      <c r="D21" s="57">
        <f>D18+D19</f>
        <v>2549625</v>
      </c>
      <c r="E21" s="57">
        <f t="shared" si="0"/>
        <v>2549625</v>
      </c>
      <c r="F21" s="57">
        <f>F18+F19</f>
        <v>0</v>
      </c>
      <c r="G21" s="57">
        <f t="shared" si="1"/>
        <v>2549625</v>
      </c>
      <c r="H21" s="57">
        <f>H18+H19</f>
        <v>0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6.5">
      <c r="A22" s="44">
        <v>17</v>
      </c>
      <c r="B22" s="7" t="s">
        <v>150</v>
      </c>
      <c r="C22" s="58">
        <v>1886700</v>
      </c>
      <c r="D22" s="58">
        <v>1886700</v>
      </c>
      <c r="E22" s="58">
        <f t="shared" si="0"/>
        <v>1886700</v>
      </c>
      <c r="F22" s="58"/>
      <c r="G22" s="58">
        <f t="shared" si="1"/>
        <v>1886700</v>
      </c>
      <c r="H22" s="58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28.5">
      <c r="A23" s="44">
        <v>18</v>
      </c>
      <c r="B23" s="21" t="s">
        <v>151</v>
      </c>
      <c r="C23" s="57">
        <f>C22</f>
        <v>1886700</v>
      </c>
      <c r="D23" s="57">
        <f>D22</f>
        <v>1886700</v>
      </c>
      <c r="E23" s="57">
        <f t="shared" si="0"/>
        <v>1886700</v>
      </c>
      <c r="F23" s="57">
        <f>F22</f>
        <v>0</v>
      </c>
      <c r="G23" s="57">
        <f t="shared" si="1"/>
        <v>1886700</v>
      </c>
      <c r="H23" s="57">
        <f>H22</f>
        <v>0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6.5">
      <c r="A24" s="44">
        <v>19</v>
      </c>
      <c r="B24" s="7" t="s">
        <v>152</v>
      </c>
      <c r="C24" s="56">
        <v>54887925</v>
      </c>
      <c r="D24" s="56">
        <v>54887925</v>
      </c>
      <c r="E24" s="58">
        <f t="shared" si="0"/>
        <v>54887925</v>
      </c>
      <c r="F24" s="58"/>
      <c r="G24" s="58">
        <f t="shared" si="1"/>
        <v>54887925</v>
      </c>
      <c r="H24" s="58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16.5">
      <c r="A25" s="44">
        <v>20</v>
      </c>
      <c r="B25" s="7" t="s">
        <v>295</v>
      </c>
      <c r="C25" s="56">
        <v>0</v>
      </c>
      <c r="D25" s="56">
        <v>1239000</v>
      </c>
      <c r="E25" s="58">
        <f t="shared" si="0"/>
        <v>0</v>
      </c>
      <c r="F25" s="58"/>
      <c r="G25" s="58">
        <f t="shared" si="1"/>
        <v>1239000</v>
      </c>
      <c r="H25" s="58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6.5">
      <c r="A26" s="44">
        <v>21</v>
      </c>
      <c r="B26" s="7" t="s">
        <v>296</v>
      </c>
      <c r="C26" s="56">
        <v>0</v>
      </c>
      <c r="D26" s="56">
        <v>1766000</v>
      </c>
      <c r="E26" s="58">
        <f t="shared" si="0"/>
        <v>0</v>
      </c>
      <c r="F26" s="58"/>
      <c r="G26" s="58">
        <f t="shared" si="1"/>
        <v>1766000</v>
      </c>
      <c r="H26" s="58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16.5">
      <c r="A27" s="44">
        <v>22</v>
      </c>
      <c r="B27" s="7" t="s">
        <v>297</v>
      </c>
      <c r="C27" s="56">
        <v>0</v>
      </c>
      <c r="D27" s="56">
        <v>38000</v>
      </c>
      <c r="E27" s="58">
        <f t="shared" si="0"/>
        <v>0</v>
      </c>
      <c r="F27" s="58"/>
      <c r="G27" s="58">
        <f t="shared" si="1"/>
        <v>38000</v>
      </c>
      <c r="H27" s="58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16.5">
      <c r="A28" s="44">
        <v>23</v>
      </c>
      <c r="B28" s="7" t="s">
        <v>298</v>
      </c>
      <c r="C28" s="56">
        <v>0</v>
      </c>
      <c r="D28" s="56">
        <v>2195000</v>
      </c>
      <c r="E28" s="58">
        <f t="shared" si="0"/>
        <v>0</v>
      </c>
      <c r="F28" s="58"/>
      <c r="G28" s="58">
        <f t="shared" si="1"/>
        <v>2195000</v>
      </c>
      <c r="H28" s="58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16.5">
      <c r="A29" s="44">
        <v>24</v>
      </c>
      <c r="B29" s="7" t="s">
        <v>299</v>
      </c>
      <c r="C29" s="56">
        <v>0</v>
      </c>
      <c r="D29" s="56">
        <v>668000</v>
      </c>
      <c r="E29" s="58">
        <f t="shared" si="0"/>
        <v>0</v>
      </c>
      <c r="F29" s="58"/>
      <c r="G29" s="58">
        <f t="shared" si="1"/>
        <v>668000</v>
      </c>
      <c r="H29" s="58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28.5" customHeight="1">
      <c r="A30" s="44">
        <v>25</v>
      </c>
      <c r="B30" s="42" t="s">
        <v>153</v>
      </c>
      <c r="C30" s="57">
        <f aca="true" t="shared" si="2" ref="C30:H30">C24+C23+C21+C17+C10+C25+C26+C27+C28+C29</f>
        <v>122787865</v>
      </c>
      <c r="D30" s="57">
        <f t="shared" si="2"/>
        <v>130131250</v>
      </c>
      <c r="E30" s="57">
        <f t="shared" si="2"/>
        <v>122787865</v>
      </c>
      <c r="F30" s="57">
        <f t="shared" si="2"/>
        <v>0</v>
      </c>
      <c r="G30" s="57">
        <f t="shared" si="2"/>
        <v>130131250</v>
      </c>
      <c r="H30" s="57">
        <f t="shared" si="2"/>
        <v>0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6"/>
      <c r="W30" s="66"/>
      <c r="X30" s="67"/>
      <c r="Y30" s="67"/>
      <c r="Z30" s="67"/>
    </row>
    <row r="31" spans="3:26" ht="16.5"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9.140625" style="44" customWidth="1"/>
    <col min="2" max="2" width="35.8515625" style="44" customWidth="1"/>
    <col min="3" max="3" width="17.28125" style="44" customWidth="1"/>
    <col min="4" max="4" width="18.00390625" style="44" customWidth="1"/>
    <col min="5" max="5" width="19.8515625" style="44" customWidth="1"/>
    <col min="6" max="6" width="20.00390625" style="44" customWidth="1"/>
    <col min="7" max="7" width="37.57421875" style="51" customWidth="1"/>
    <col min="8" max="8" width="12.8515625" style="44" customWidth="1"/>
    <col min="9" max="9" width="13.57421875" style="44" customWidth="1"/>
    <col min="10" max="10" width="20.7109375" style="44" customWidth="1"/>
    <col min="11" max="11" width="18.00390625" style="44" customWidth="1"/>
    <col min="12" max="16384" width="9.140625" style="44" customWidth="1"/>
  </cols>
  <sheetData>
    <row r="1" spans="2:8" ht="12.75">
      <c r="B1" s="76"/>
      <c r="C1" s="76"/>
      <c r="D1" s="76"/>
      <c r="E1" s="76"/>
      <c r="F1" s="76"/>
      <c r="G1" s="77"/>
      <c r="H1" s="76"/>
    </row>
    <row r="2" spans="2:8" ht="12.75">
      <c r="B2" s="76"/>
      <c r="C2" s="48" t="s">
        <v>315</v>
      </c>
      <c r="E2" s="76"/>
      <c r="F2" s="76"/>
      <c r="G2" s="77"/>
      <c r="H2" s="76"/>
    </row>
    <row r="3" spans="2:8" ht="12.75">
      <c r="B3" s="76"/>
      <c r="C3" s="76"/>
      <c r="E3" s="76"/>
      <c r="F3" s="76"/>
      <c r="G3" s="77"/>
      <c r="H3" s="76"/>
    </row>
    <row r="4" spans="2:8" ht="20.25">
      <c r="B4" s="45" t="s">
        <v>154</v>
      </c>
      <c r="C4" s="76"/>
      <c r="E4" s="76"/>
      <c r="F4" s="76"/>
      <c r="G4" s="77"/>
      <c r="H4" s="76"/>
    </row>
    <row r="5" spans="2:8" ht="12.75">
      <c r="B5" s="76"/>
      <c r="C5" s="76"/>
      <c r="E5" s="76"/>
      <c r="F5" s="76" t="s">
        <v>134</v>
      </c>
      <c r="G5" s="77"/>
      <c r="H5" s="76"/>
    </row>
    <row r="6" spans="2:6" ht="25.5">
      <c r="B6" s="78" t="s">
        <v>1</v>
      </c>
      <c r="C6" s="79" t="s">
        <v>158</v>
      </c>
      <c r="D6" s="79" t="s">
        <v>159</v>
      </c>
      <c r="E6" s="79" t="s">
        <v>160</v>
      </c>
      <c r="F6" s="79" t="s">
        <v>161</v>
      </c>
    </row>
    <row r="7" spans="2:6" ht="12.75">
      <c r="B7" s="80" t="s">
        <v>6</v>
      </c>
      <c r="C7" s="80" t="s">
        <v>7</v>
      </c>
      <c r="D7" s="80" t="s">
        <v>8</v>
      </c>
      <c r="E7" s="80" t="s">
        <v>9</v>
      </c>
      <c r="F7" s="80" t="s">
        <v>10</v>
      </c>
    </row>
    <row r="8" spans="1:6" ht="50.25" customHeight="1">
      <c r="A8" s="44">
        <v>1</v>
      </c>
      <c r="B8" s="81" t="s">
        <v>162</v>
      </c>
      <c r="C8" s="82">
        <f>D8*0.85</f>
        <v>17866804.5</v>
      </c>
      <c r="D8" s="82">
        <f>(190500)+(342900)+(16131000*1.27)</f>
        <v>21019770</v>
      </c>
      <c r="E8" s="82">
        <f>D8-C8</f>
        <v>3152965.5</v>
      </c>
      <c r="F8" s="84" t="s">
        <v>300</v>
      </c>
    </row>
    <row r="9" spans="1:6" ht="54" customHeight="1">
      <c r="A9" s="44">
        <v>2</v>
      </c>
      <c r="B9" s="81" t="s">
        <v>156</v>
      </c>
      <c r="C9" s="82">
        <v>41176991</v>
      </c>
      <c r="D9" s="82">
        <v>59894948</v>
      </c>
      <c r="E9" s="82">
        <f>D9-C9</f>
        <v>18717957</v>
      </c>
      <c r="F9" s="84" t="s">
        <v>300</v>
      </c>
    </row>
    <row r="10" spans="1:6" ht="12.75">
      <c r="A10" s="44">
        <v>3</v>
      </c>
      <c r="B10" s="81" t="s">
        <v>157</v>
      </c>
      <c r="C10" s="83">
        <f>SUM(C8:C9)</f>
        <v>59043795.5</v>
      </c>
      <c r="D10" s="83">
        <f>SUM(D8:D9)</f>
        <v>80914718</v>
      </c>
      <c r="E10" s="83">
        <f>SUM(E8:E9)</f>
        <v>21870922.5</v>
      </c>
      <c r="F10" s="83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="60" zoomScaleNormal="60" zoomScalePageLayoutView="0" workbookViewId="0" topLeftCell="A1">
      <selection activeCell="E1" sqref="E1"/>
    </sheetView>
  </sheetViews>
  <sheetFormatPr defaultColWidth="9.140625" defaultRowHeight="12.75"/>
  <cols>
    <col min="1" max="1" width="9.140625" style="44" customWidth="1"/>
    <col min="2" max="2" width="14.8515625" style="94" customWidth="1"/>
    <col min="3" max="3" width="11.00390625" style="44" customWidth="1"/>
    <col min="4" max="4" width="45.421875" style="44" customWidth="1"/>
    <col min="5" max="6" width="17.140625" style="100" customWidth="1"/>
    <col min="7" max="7" width="17.00390625" style="100" customWidth="1"/>
    <col min="8" max="10" width="18.7109375" style="100" customWidth="1"/>
    <col min="11" max="11" width="17.421875" style="100" customWidth="1"/>
    <col min="12" max="12" width="18.140625" style="100" customWidth="1"/>
    <col min="13" max="13" width="18.8515625" style="100" customWidth="1"/>
    <col min="14" max="16" width="18.140625" style="100" customWidth="1"/>
    <col min="17" max="16384" width="9.140625" style="44" customWidth="1"/>
  </cols>
  <sheetData>
    <row r="1" ht="18">
      <c r="E1" s="48" t="s">
        <v>316</v>
      </c>
    </row>
    <row r="2" ht="20.25">
      <c r="D2" s="45" t="s">
        <v>163</v>
      </c>
    </row>
    <row r="4" spans="4:15" ht="18">
      <c r="D4" s="69" t="s">
        <v>164</v>
      </c>
      <c r="O4" s="100" t="s">
        <v>0</v>
      </c>
    </row>
    <row r="5" spans="2:16" ht="71.25">
      <c r="B5" s="85" t="s">
        <v>165</v>
      </c>
      <c r="C5" s="2" t="s">
        <v>166</v>
      </c>
      <c r="D5" s="85" t="s">
        <v>1</v>
      </c>
      <c r="E5" s="2" t="s">
        <v>2</v>
      </c>
      <c r="F5" s="2" t="s">
        <v>97</v>
      </c>
      <c r="G5" s="2" t="s">
        <v>3</v>
      </c>
      <c r="H5" s="2" t="s">
        <v>176</v>
      </c>
      <c r="I5" s="2" t="s">
        <v>88</v>
      </c>
      <c r="J5" s="2" t="s">
        <v>177</v>
      </c>
      <c r="K5" s="3" t="s">
        <v>4</v>
      </c>
      <c r="L5" s="3" t="s">
        <v>5</v>
      </c>
      <c r="M5" s="3" t="s">
        <v>86</v>
      </c>
      <c r="N5" s="3" t="s">
        <v>87</v>
      </c>
      <c r="O5" s="3" t="s">
        <v>89</v>
      </c>
      <c r="P5" s="3" t="s">
        <v>90</v>
      </c>
    </row>
    <row r="6" spans="2:16" ht="15">
      <c r="B6" s="86" t="s">
        <v>6</v>
      </c>
      <c r="C6" s="86" t="s">
        <v>7</v>
      </c>
      <c r="D6" s="86" t="s">
        <v>8</v>
      </c>
      <c r="E6" s="86" t="s">
        <v>9</v>
      </c>
      <c r="F6" s="86" t="s">
        <v>10</v>
      </c>
      <c r="G6" s="86" t="s">
        <v>11</v>
      </c>
      <c r="H6" s="86" t="s">
        <v>12</v>
      </c>
      <c r="I6" s="86" t="s">
        <v>13</v>
      </c>
      <c r="J6" s="86" t="s">
        <v>14</v>
      </c>
      <c r="K6" s="86" t="s">
        <v>15</v>
      </c>
      <c r="L6" s="86" t="s">
        <v>16</v>
      </c>
      <c r="M6" s="86" t="s">
        <v>17</v>
      </c>
      <c r="N6" s="86" t="s">
        <v>18</v>
      </c>
      <c r="O6" s="86" t="s">
        <v>94</v>
      </c>
      <c r="P6" s="86" t="s">
        <v>95</v>
      </c>
    </row>
    <row r="7" spans="1:16" ht="43.5">
      <c r="A7" s="44">
        <v>1</v>
      </c>
      <c r="B7" s="87">
        <v>553000</v>
      </c>
      <c r="C7" s="88" t="s">
        <v>168</v>
      </c>
      <c r="D7" s="89" t="s">
        <v>181</v>
      </c>
      <c r="E7" s="101">
        <f>2200*1.27</f>
        <v>2794</v>
      </c>
      <c r="F7" s="101">
        <v>2794</v>
      </c>
      <c r="G7" s="102"/>
      <c r="H7" s="102"/>
      <c r="I7" s="102"/>
      <c r="J7" s="102"/>
      <c r="K7" s="103">
        <f aca="true" t="shared" si="0" ref="K7:L13">E7+G7+I7</f>
        <v>2794</v>
      </c>
      <c r="L7" s="103">
        <f t="shared" si="0"/>
        <v>2794</v>
      </c>
      <c r="M7" s="103">
        <f aca="true" t="shared" si="1" ref="M7:M13">E7</f>
        <v>2794</v>
      </c>
      <c r="N7" s="103"/>
      <c r="O7" s="103">
        <f aca="true" t="shared" si="2" ref="O7:O13">L7</f>
        <v>2794</v>
      </c>
      <c r="P7" s="103"/>
    </row>
    <row r="8" spans="1:16" ht="43.5">
      <c r="A8" s="44">
        <v>2</v>
      </c>
      <c r="B8" s="87">
        <v>412000</v>
      </c>
      <c r="C8" s="88" t="s">
        <v>167</v>
      </c>
      <c r="D8" s="89" t="s">
        <v>182</v>
      </c>
      <c r="E8" s="101">
        <v>60000</v>
      </c>
      <c r="F8" s="101">
        <v>60000</v>
      </c>
      <c r="G8" s="102"/>
      <c r="H8" s="102"/>
      <c r="I8" s="102"/>
      <c r="J8" s="102"/>
      <c r="K8" s="103">
        <f t="shared" si="0"/>
        <v>60000</v>
      </c>
      <c r="L8" s="103">
        <f t="shared" si="0"/>
        <v>60000</v>
      </c>
      <c r="M8" s="103">
        <f t="shared" si="1"/>
        <v>60000</v>
      </c>
      <c r="N8" s="103"/>
      <c r="O8" s="103">
        <f t="shared" si="2"/>
        <v>60000</v>
      </c>
      <c r="P8" s="103"/>
    </row>
    <row r="9" spans="1:16" ht="43.5">
      <c r="A9" s="44">
        <v>3</v>
      </c>
      <c r="B9" s="87">
        <v>932911</v>
      </c>
      <c r="C9" s="88" t="s">
        <v>168</v>
      </c>
      <c r="D9" s="89" t="s">
        <v>184</v>
      </c>
      <c r="E9" s="101">
        <f>46000*1.27</f>
        <v>58420</v>
      </c>
      <c r="F9" s="101">
        <v>59895</v>
      </c>
      <c r="G9" s="102"/>
      <c r="H9" s="102"/>
      <c r="I9" s="102"/>
      <c r="J9" s="102"/>
      <c r="K9" s="103">
        <f t="shared" si="0"/>
        <v>58420</v>
      </c>
      <c r="L9" s="103">
        <f t="shared" si="0"/>
        <v>59895</v>
      </c>
      <c r="M9" s="103">
        <f t="shared" si="1"/>
        <v>58420</v>
      </c>
      <c r="N9" s="103"/>
      <c r="O9" s="103">
        <f t="shared" si="2"/>
        <v>59895</v>
      </c>
      <c r="P9" s="103"/>
    </row>
    <row r="10" spans="1:16" ht="43.5">
      <c r="A10" s="44">
        <v>4</v>
      </c>
      <c r="B10" s="87">
        <v>421100</v>
      </c>
      <c r="C10" s="90" t="s">
        <v>168</v>
      </c>
      <c r="D10" s="89" t="s">
        <v>185</v>
      </c>
      <c r="E10" s="101">
        <f>2000*1.27</f>
        <v>2540</v>
      </c>
      <c r="F10" s="101">
        <v>2540</v>
      </c>
      <c r="G10" s="102"/>
      <c r="H10" s="102"/>
      <c r="I10" s="102"/>
      <c r="J10" s="102"/>
      <c r="K10" s="103">
        <f t="shared" si="0"/>
        <v>2540</v>
      </c>
      <c r="L10" s="103">
        <f t="shared" si="0"/>
        <v>2540</v>
      </c>
      <c r="M10" s="103">
        <f t="shared" si="1"/>
        <v>2540</v>
      </c>
      <c r="N10" s="103"/>
      <c r="O10" s="103">
        <f t="shared" si="2"/>
        <v>2540</v>
      </c>
      <c r="P10" s="103"/>
    </row>
    <row r="11" spans="1:16" ht="43.5">
      <c r="A11" s="44">
        <v>5</v>
      </c>
      <c r="B11" s="87">
        <v>841154</v>
      </c>
      <c r="C11" s="88" t="s">
        <v>169</v>
      </c>
      <c r="D11" s="89" t="s">
        <v>186</v>
      </c>
      <c r="E11" s="101">
        <f>800*1.27</f>
        <v>1016</v>
      </c>
      <c r="F11" s="101">
        <v>1016</v>
      </c>
      <c r="G11" s="102"/>
      <c r="H11" s="102"/>
      <c r="I11" s="102"/>
      <c r="J11" s="102"/>
      <c r="K11" s="103">
        <f t="shared" si="0"/>
        <v>1016</v>
      </c>
      <c r="L11" s="103">
        <f t="shared" si="0"/>
        <v>1016</v>
      </c>
      <c r="M11" s="103">
        <f t="shared" si="1"/>
        <v>1016</v>
      </c>
      <c r="N11" s="103"/>
      <c r="O11" s="103">
        <f t="shared" si="2"/>
        <v>1016</v>
      </c>
      <c r="P11" s="103"/>
    </row>
    <row r="12" spans="1:16" ht="43.5">
      <c r="A12" s="44">
        <v>6</v>
      </c>
      <c r="B12" s="87">
        <v>841154</v>
      </c>
      <c r="C12" s="88" t="s">
        <v>168</v>
      </c>
      <c r="D12" s="89" t="s">
        <v>301</v>
      </c>
      <c r="E12" s="101">
        <v>0</v>
      </c>
      <c r="F12" s="101">
        <v>506</v>
      </c>
      <c r="G12" s="102"/>
      <c r="H12" s="102"/>
      <c r="I12" s="102"/>
      <c r="J12" s="102"/>
      <c r="K12" s="103">
        <f t="shared" si="0"/>
        <v>0</v>
      </c>
      <c r="L12" s="103">
        <f t="shared" si="0"/>
        <v>506</v>
      </c>
      <c r="M12" s="103">
        <f t="shared" si="1"/>
        <v>0</v>
      </c>
      <c r="N12" s="103"/>
      <c r="O12" s="103">
        <f t="shared" si="2"/>
        <v>506</v>
      </c>
      <c r="P12" s="103"/>
    </row>
    <row r="13" spans="1:16" ht="57.75">
      <c r="A13" s="44">
        <v>7</v>
      </c>
      <c r="B13" s="87">
        <v>932911</v>
      </c>
      <c r="C13" s="88" t="s">
        <v>304</v>
      </c>
      <c r="D13" s="89" t="s">
        <v>309</v>
      </c>
      <c r="E13" s="101"/>
      <c r="F13" s="101"/>
      <c r="G13" s="178">
        <v>0</v>
      </c>
      <c r="H13" s="178">
        <v>418</v>
      </c>
      <c r="I13" s="102"/>
      <c r="J13" s="102"/>
      <c r="K13" s="103">
        <f t="shared" si="0"/>
        <v>0</v>
      </c>
      <c r="L13" s="103">
        <f t="shared" si="0"/>
        <v>418</v>
      </c>
      <c r="M13" s="103">
        <f t="shared" si="1"/>
        <v>0</v>
      </c>
      <c r="N13" s="103"/>
      <c r="O13" s="103">
        <f t="shared" si="2"/>
        <v>418</v>
      </c>
      <c r="P13" s="103"/>
    </row>
    <row r="14" spans="1:16" ht="18">
      <c r="A14" s="44">
        <v>8</v>
      </c>
      <c r="B14" s="87"/>
      <c r="C14" s="88"/>
      <c r="D14" s="89"/>
      <c r="E14" s="101"/>
      <c r="F14" s="101"/>
      <c r="G14" s="102"/>
      <c r="H14" s="102"/>
      <c r="I14" s="102"/>
      <c r="J14" s="102"/>
      <c r="K14" s="103"/>
      <c r="L14" s="103"/>
      <c r="M14" s="103"/>
      <c r="N14" s="103"/>
      <c r="O14" s="103"/>
      <c r="P14" s="103"/>
    </row>
    <row r="15" spans="1:16" ht="18">
      <c r="A15" s="44">
        <v>9</v>
      </c>
      <c r="B15" s="91"/>
      <c r="C15" s="92"/>
      <c r="D15" s="93" t="s">
        <v>157</v>
      </c>
      <c r="E15" s="103">
        <f>SUM(E7:E14)</f>
        <v>124770</v>
      </c>
      <c r="F15" s="103">
        <f aca="true" t="shared" si="3" ref="F15:P15">SUM(F7:F14)</f>
        <v>126751</v>
      </c>
      <c r="G15" s="103">
        <f t="shared" si="3"/>
        <v>0</v>
      </c>
      <c r="H15" s="103">
        <f t="shared" si="3"/>
        <v>418</v>
      </c>
      <c r="I15" s="103">
        <f t="shared" si="3"/>
        <v>0</v>
      </c>
      <c r="J15" s="103">
        <f t="shared" si="3"/>
        <v>0</v>
      </c>
      <c r="K15" s="103">
        <f t="shared" si="3"/>
        <v>124770</v>
      </c>
      <c r="L15" s="103">
        <f t="shared" si="3"/>
        <v>127169</v>
      </c>
      <c r="M15" s="103">
        <f t="shared" si="3"/>
        <v>124770</v>
      </c>
      <c r="N15" s="103">
        <f t="shared" si="3"/>
        <v>0</v>
      </c>
      <c r="O15" s="103">
        <f t="shared" si="3"/>
        <v>127169</v>
      </c>
      <c r="P15" s="103">
        <f t="shared" si="3"/>
        <v>0</v>
      </c>
    </row>
    <row r="16" ht="18">
      <c r="D16" s="94"/>
    </row>
    <row r="17" ht="18">
      <c r="D17" s="94"/>
    </row>
    <row r="18" ht="18">
      <c r="D18" s="95" t="s">
        <v>170</v>
      </c>
    </row>
    <row r="19" spans="2:16" ht="71.25">
      <c r="B19" s="85" t="s">
        <v>165</v>
      </c>
      <c r="C19" s="2" t="s">
        <v>166</v>
      </c>
      <c r="D19" s="85" t="s">
        <v>1</v>
      </c>
      <c r="E19" s="2" t="s">
        <v>2</v>
      </c>
      <c r="F19" s="2" t="s">
        <v>97</v>
      </c>
      <c r="G19" s="2" t="s">
        <v>3</v>
      </c>
      <c r="H19" s="2" t="s">
        <v>176</v>
      </c>
      <c r="I19" s="2" t="s">
        <v>88</v>
      </c>
      <c r="J19" s="2" t="s">
        <v>177</v>
      </c>
      <c r="K19" s="3" t="s">
        <v>4</v>
      </c>
      <c r="L19" s="3" t="s">
        <v>5</v>
      </c>
      <c r="M19" s="3" t="s">
        <v>86</v>
      </c>
      <c r="N19" s="3" t="s">
        <v>87</v>
      </c>
      <c r="O19" s="3" t="s">
        <v>89</v>
      </c>
      <c r="P19" s="3" t="s">
        <v>90</v>
      </c>
    </row>
    <row r="20" spans="2:16" ht="15">
      <c r="B20" s="86" t="s">
        <v>6</v>
      </c>
      <c r="C20" s="86" t="s">
        <v>7</v>
      </c>
      <c r="D20" s="86" t="s">
        <v>8</v>
      </c>
      <c r="E20" s="86" t="s">
        <v>9</v>
      </c>
      <c r="F20" s="86" t="s">
        <v>10</v>
      </c>
      <c r="G20" s="86" t="s">
        <v>11</v>
      </c>
      <c r="H20" s="86" t="s">
        <v>12</v>
      </c>
      <c r="I20" s="86" t="s">
        <v>13</v>
      </c>
      <c r="J20" s="86" t="s">
        <v>14</v>
      </c>
      <c r="K20" s="86" t="s">
        <v>15</v>
      </c>
      <c r="L20" s="86" t="s">
        <v>16</v>
      </c>
      <c r="M20" s="86" t="s">
        <v>17</v>
      </c>
      <c r="N20" s="86" t="s">
        <v>18</v>
      </c>
      <c r="O20" s="86" t="s">
        <v>94</v>
      </c>
      <c r="P20" s="86" t="s">
        <v>95</v>
      </c>
    </row>
    <row r="21" spans="1:16" ht="43.5">
      <c r="A21" s="44">
        <v>1</v>
      </c>
      <c r="B21" s="87">
        <v>932911</v>
      </c>
      <c r="C21" s="90" t="s">
        <v>171</v>
      </c>
      <c r="D21" s="89" t="s">
        <v>179</v>
      </c>
      <c r="E21" s="101">
        <f>5000*1.27</f>
        <v>6350</v>
      </c>
      <c r="F21" s="101">
        <v>4875</v>
      </c>
      <c r="G21" s="102"/>
      <c r="H21" s="102"/>
      <c r="I21" s="102"/>
      <c r="J21" s="102"/>
      <c r="K21" s="103">
        <f aca="true" t="shared" si="4" ref="K21:L26">E21+G21+I21</f>
        <v>6350</v>
      </c>
      <c r="L21" s="103">
        <f t="shared" si="4"/>
        <v>4875</v>
      </c>
      <c r="M21" s="103">
        <f aca="true" t="shared" si="5" ref="M21:M26">E21</f>
        <v>6350</v>
      </c>
      <c r="N21" s="103"/>
      <c r="O21" s="103">
        <f aca="true" t="shared" si="6" ref="O21:O26">L21</f>
        <v>4875</v>
      </c>
      <c r="P21" s="103"/>
    </row>
    <row r="22" spans="1:16" ht="43.5">
      <c r="A22" s="44">
        <v>2</v>
      </c>
      <c r="B22" s="87">
        <v>932911</v>
      </c>
      <c r="C22" s="90" t="s">
        <v>171</v>
      </c>
      <c r="D22" s="89" t="s">
        <v>180</v>
      </c>
      <c r="E22" s="101">
        <f>2000*1.27</f>
        <v>2540</v>
      </c>
      <c r="F22" s="101">
        <v>2540</v>
      </c>
      <c r="G22" s="102"/>
      <c r="H22" s="102"/>
      <c r="I22" s="102"/>
      <c r="J22" s="102"/>
      <c r="K22" s="103">
        <f t="shared" si="4"/>
        <v>2540</v>
      </c>
      <c r="L22" s="103">
        <f t="shared" si="4"/>
        <v>2540</v>
      </c>
      <c r="M22" s="103">
        <f t="shared" si="5"/>
        <v>2540</v>
      </c>
      <c r="N22" s="103"/>
      <c r="O22" s="103">
        <f t="shared" si="6"/>
        <v>2540</v>
      </c>
      <c r="P22" s="103"/>
    </row>
    <row r="23" spans="1:16" ht="43.5">
      <c r="A23" s="44">
        <v>3</v>
      </c>
      <c r="B23" s="87">
        <v>931102</v>
      </c>
      <c r="C23" s="90" t="s">
        <v>171</v>
      </c>
      <c r="D23" s="89" t="s">
        <v>183</v>
      </c>
      <c r="E23" s="101">
        <f>16401*1.27</f>
        <v>20829.27</v>
      </c>
      <c r="F23" s="101">
        <v>21020</v>
      </c>
      <c r="G23" s="102"/>
      <c r="H23" s="102"/>
      <c r="I23" s="102"/>
      <c r="J23" s="102"/>
      <c r="K23" s="103">
        <f t="shared" si="4"/>
        <v>20829.27</v>
      </c>
      <c r="L23" s="103">
        <f t="shared" si="4"/>
        <v>21020</v>
      </c>
      <c r="M23" s="103">
        <f t="shared" si="5"/>
        <v>20829.27</v>
      </c>
      <c r="N23" s="103"/>
      <c r="O23" s="103">
        <f t="shared" si="6"/>
        <v>21020</v>
      </c>
      <c r="P23" s="103"/>
    </row>
    <row r="24" spans="2:16" ht="43.5">
      <c r="B24" s="87">
        <v>932911</v>
      </c>
      <c r="C24" s="90" t="s">
        <v>171</v>
      </c>
      <c r="D24" s="89" t="s">
        <v>302</v>
      </c>
      <c r="E24" s="101">
        <v>0</v>
      </c>
      <c r="F24" s="101"/>
      <c r="G24" s="102"/>
      <c r="H24" s="102"/>
      <c r="I24" s="102"/>
      <c r="J24" s="102"/>
      <c r="K24" s="103">
        <f t="shared" si="4"/>
        <v>0</v>
      </c>
      <c r="L24" s="103">
        <f t="shared" si="4"/>
        <v>0</v>
      </c>
      <c r="M24" s="103">
        <f t="shared" si="5"/>
        <v>0</v>
      </c>
      <c r="N24" s="103"/>
      <c r="O24" s="103">
        <f t="shared" si="6"/>
        <v>0</v>
      </c>
      <c r="P24" s="103"/>
    </row>
    <row r="25" spans="2:16" ht="43.5">
      <c r="B25" s="87">
        <v>910502</v>
      </c>
      <c r="C25" s="90" t="s">
        <v>171</v>
      </c>
      <c r="D25" s="89" t="s">
        <v>303</v>
      </c>
      <c r="E25" s="101">
        <v>0</v>
      </c>
      <c r="F25" s="101">
        <v>125</v>
      </c>
      <c r="G25" s="102"/>
      <c r="H25" s="102"/>
      <c r="I25" s="102"/>
      <c r="J25" s="102"/>
      <c r="K25" s="103">
        <f t="shared" si="4"/>
        <v>0</v>
      </c>
      <c r="L25" s="103">
        <f t="shared" si="4"/>
        <v>125</v>
      </c>
      <c r="M25" s="103">
        <f t="shared" si="5"/>
        <v>0</v>
      </c>
      <c r="N25" s="103"/>
      <c r="O25" s="103">
        <f t="shared" si="6"/>
        <v>125</v>
      </c>
      <c r="P25" s="103"/>
    </row>
    <row r="26" spans="2:16" ht="43.5">
      <c r="B26" s="87">
        <v>932911</v>
      </c>
      <c r="C26" s="90" t="s">
        <v>171</v>
      </c>
      <c r="D26" s="89" t="s">
        <v>310</v>
      </c>
      <c r="E26" s="101">
        <v>0</v>
      </c>
      <c r="F26" s="101"/>
      <c r="G26" s="102"/>
      <c r="H26" s="102"/>
      <c r="I26" s="102"/>
      <c r="J26" s="102"/>
      <c r="K26" s="103">
        <f t="shared" si="4"/>
        <v>0</v>
      </c>
      <c r="L26" s="103">
        <f t="shared" si="4"/>
        <v>0</v>
      </c>
      <c r="M26" s="103">
        <f t="shared" si="5"/>
        <v>0</v>
      </c>
      <c r="N26" s="103"/>
      <c r="O26" s="103">
        <f t="shared" si="6"/>
        <v>0</v>
      </c>
      <c r="P26" s="103"/>
    </row>
    <row r="27" spans="1:16" ht="18">
      <c r="A27" s="44">
        <v>4</v>
      </c>
      <c r="B27" s="91"/>
      <c r="C27" s="92"/>
      <c r="D27" s="93" t="s">
        <v>157</v>
      </c>
      <c r="E27" s="103">
        <f>SUM(E21:E26)</f>
        <v>29719.27</v>
      </c>
      <c r="F27" s="103">
        <f aca="true" t="shared" si="7" ref="F27:P27">SUM(F21:F26)</f>
        <v>28560</v>
      </c>
      <c r="G27" s="103">
        <f t="shared" si="7"/>
        <v>0</v>
      </c>
      <c r="H27" s="103">
        <f t="shared" si="7"/>
        <v>0</v>
      </c>
      <c r="I27" s="103">
        <f t="shared" si="7"/>
        <v>0</v>
      </c>
      <c r="J27" s="103">
        <f t="shared" si="7"/>
        <v>0</v>
      </c>
      <c r="K27" s="103">
        <f t="shared" si="7"/>
        <v>29719.27</v>
      </c>
      <c r="L27" s="103">
        <f t="shared" si="7"/>
        <v>28560</v>
      </c>
      <c r="M27" s="103">
        <f t="shared" si="7"/>
        <v>29719.27</v>
      </c>
      <c r="N27" s="103">
        <f t="shared" si="7"/>
        <v>0</v>
      </c>
      <c r="O27" s="103">
        <f t="shared" si="7"/>
        <v>28560</v>
      </c>
      <c r="P27" s="103">
        <f t="shared" si="7"/>
        <v>0</v>
      </c>
    </row>
    <row r="28" spans="5:16" ht="18"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4:16" ht="18">
      <c r="D29" s="62" t="s">
        <v>172</v>
      </c>
      <c r="E29" s="105">
        <f aca="true" t="shared" si="8" ref="E29:P29">E15+E27</f>
        <v>154489.27</v>
      </c>
      <c r="F29" s="105">
        <f t="shared" si="8"/>
        <v>155311</v>
      </c>
      <c r="G29" s="105">
        <f t="shared" si="8"/>
        <v>0</v>
      </c>
      <c r="H29" s="105">
        <f t="shared" si="8"/>
        <v>418</v>
      </c>
      <c r="I29" s="105">
        <f t="shared" si="8"/>
        <v>0</v>
      </c>
      <c r="J29" s="105">
        <f t="shared" si="8"/>
        <v>0</v>
      </c>
      <c r="K29" s="105">
        <f t="shared" si="8"/>
        <v>154489.27</v>
      </c>
      <c r="L29" s="105">
        <f t="shared" si="8"/>
        <v>155729</v>
      </c>
      <c r="M29" s="105">
        <f t="shared" si="8"/>
        <v>154489.27</v>
      </c>
      <c r="N29" s="105">
        <f t="shared" si="8"/>
        <v>0</v>
      </c>
      <c r="O29" s="105">
        <f t="shared" si="8"/>
        <v>155729</v>
      </c>
      <c r="P29" s="105">
        <f t="shared" si="8"/>
        <v>0</v>
      </c>
    </row>
    <row r="30" spans="4:11" ht="45" customHeight="1">
      <c r="D30" s="179" t="s">
        <v>178</v>
      </c>
      <c r="E30" s="179"/>
      <c r="F30" s="179"/>
      <c r="G30" s="179"/>
      <c r="H30" s="179"/>
      <c r="I30" s="179"/>
      <c r="J30" s="179"/>
      <c r="K30" s="179"/>
    </row>
    <row r="32" spans="4:16" ht="82.5" customHeight="1">
      <c r="D32" s="37" t="s">
        <v>1</v>
      </c>
      <c r="E32" s="96" t="s">
        <v>173</v>
      </c>
      <c r="F32" s="96"/>
      <c r="G32" s="96" t="s">
        <v>174</v>
      </c>
      <c r="H32" s="96"/>
      <c r="I32" s="96"/>
      <c r="J32" s="96"/>
      <c r="K32" s="96" t="s">
        <v>175</v>
      </c>
      <c r="L32" s="96" t="s">
        <v>175</v>
      </c>
      <c r="M32" s="96" t="s">
        <v>175</v>
      </c>
      <c r="N32" s="96" t="s">
        <v>175</v>
      </c>
      <c r="O32" s="96" t="s">
        <v>175</v>
      </c>
      <c r="P32" s="96" t="s">
        <v>175</v>
      </c>
    </row>
    <row r="33" spans="4:16" ht="18">
      <c r="D33" s="97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4:16" ht="21.75" customHeight="1">
      <c r="D34" s="98" t="s">
        <v>155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7" ht="18">
      <c r="D37" s="99"/>
    </row>
  </sheetData>
  <sheetProtection/>
  <mergeCells count="1">
    <mergeCell ref="D30:K30"/>
  </mergeCells>
  <printOptions/>
  <pageMargins left="0.4724409448818898" right="0.4330708661417323" top="0.7480314960629921" bottom="0.7480314960629921" header="0.31496062992125984" footer="0.31496062992125984"/>
  <pageSetup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0"/>
  <sheetViews>
    <sheetView zoomScale="75" zoomScaleNormal="75" zoomScalePageLayoutView="0" workbookViewId="0" topLeftCell="A1">
      <selection activeCell="C1" sqref="C1"/>
    </sheetView>
  </sheetViews>
  <sheetFormatPr defaultColWidth="9.140625" defaultRowHeight="12.75"/>
  <cols>
    <col min="1" max="1" width="9.140625" style="44" customWidth="1"/>
    <col min="2" max="2" width="73.140625" style="44" customWidth="1"/>
    <col min="3" max="4" width="17.8515625" style="44" customWidth="1"/>
    <col min="5" max="8" width="21.28125" style="44" customWidth="1"/>
    <col min="9" max="16384" width="9.140625" style="44" customWidth="1"/>
  </cols>
  <sheetData>
    <row r="1" ht="12.75">
      <c r="C1" s="48" t="s">
        <v>317</v>
      </c>
    </row>
    <row r="2" ht="20.25">
      <c r="B2" s="45" t="s">
        <v>206</v>
      </c>
    </row>
    <row r="3" spans="2:7" ht="20.25">
      <c r="B3" s="45"/>
      <c r="G3" s="44" t="s">
        <v>0</v>
      </c>
    </row>
    <row r="4" spans="2:8" ht="57">
      <c r="B4" s="1" t="s">
        <v>1</v>
      </c>
      <c r="C4" s="2" t="s">
        <v>2</v>
      </c>
      <c r="D4" s="2" t="s">
        <v>82</v>
      </c>
      <c r="E4" s="3" t="s">
        <v>86</v>
      </c>
      <c r="F4" s="3" t="s">
        <v>87</v>
      </c>
      <c r="G4" s="3" t="s">
        <v>89</v>
      </c>
      <c r="H4" s="3" t="s">
        <v>90</v>
      </c>
    </row>
    <row r="5" spans="2:8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105</v>
      </c>
      <c r="G5" s="2" t="s">
        <v>11</v>
      </c>
      <c r="H5" s="2" t="s">
        <v>12</v>
      </c>
    </row>
    <row r="6" spans="1:24" ht="16.5">
      <c r="A6" s="44">
        <v>1</v>
      </c>
      <c r="B6" s="7" t="s">
        <v>187</v>
      </c>
      <c r="C6" s="58">
        <f>10300+5800</f>
        <v>16100</v>
      </c>
      <c r="D6" s="58">
        <f>2500+5800+7800</f>
        <v>16100</v>
      </c>
      <c r="E6" s="57"/>
      <c r="F6" s="58">
        <f>C6</f>
        <v>16100</v>
      </c>
      <c r="G6" s="58"/>
      <c r="H6" s="58">
        <f>D6</f>
        <v>16100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16.5">
      <c r="A7" s="44">
        <v>2</v>
      </c>
      <c r="B7" s="7" t="s">
        <v>188</v>
      </c>
      <c r="C7" s="58">
        <v>37580</v>
      </c>
      <c r="D7" s="58">
        <f>32152+470</f>
        <v>32622</v>
      </c>
      <c r="E7" s="57"/>
      <c r="F7" s="58">
        <f aca="true" t="shared" si="0" ref="F7:F12">C7</f>
        <v>37580</v>
      </c>
      <c r="G7" s="58"/>
      <c r="H7" s="58">
        <f aca="true" t="shared" si="1" ref="H7:H12">D7</f>
        <v>32622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16.5">
      <c r="A8" s="44">
        <v>3</v>
      </c>
      <c r="B8" s="7" t="s">
        <v>189</v>
      </c>
      <c r="C8" s="58">
        <v>500</v>
      </c>
      <c r="D8" s="58">
        <v>500</v>
      </c>
      <c r="E8" s="57"/>
      <c r="F8" s="58">
        <f t="shared" si="0"/>
        <v>500</v>
      </c>
      <c r="G8" s="58"/>
      <c r="H8" s="58">
        <f t="shared" si="1"/>
        <v>500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ht="16.5">
      <c r="A9" s="44">
        <v>4</v>
      </c>
      <c r="B9" s="7" t="s">
        <v>190</v>
      </c>
      <c r="C9" s="58">
        <v>21680</v>
      </c>
      <c r="D9" s="58">
        <v>26638</v>
      </c>
      <c r="E9" s="57"/>
      <c r="F9" s="58">
        <f t="shared" si="0"/>
        <v>21680</v>
      </c>
      <c r="G9" s="58"/>
      <c r="H9" s="58">
        <f t="shared" si="1"/>
        <v>26638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ht="16.5">
      <c r="A10" s="44">
        <v>5</v>
      </c>
      <c r="B10" s="7" t="s">
        <v>191</v>
      </c>
      <c r="C10" s="58"/>
      <c r="D10" s="58"/>
      <c r="E10" s="57"/>
      <c r="F10" s="58">
        <f t="shared" si="0"/>
        <v>0</v>
      </c>
      <c r="G10" s="58"/>
      <c r="H10" s="58">
        <f t="shared" si="1"/>
        <v>0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28.5">
      <c r="A11" s="44">
        <v>6</v>
      </c>
      <c r="B11" s="7" t="s">
        <v>192</v>
      </c>
      <c r="C11" s="58"/>
      <c r="D11" s="58"/>
      <c r="E11" s="57"/>
      <c r="F11" s="58">
        <f t="shared" si="0"/>
        <v>0</v>
      </c>
      <c r="G11" s="58"/>
      <c r="H11" s="58">
        <f t="shared" si="1"/>
        <v>0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16.5">
      <c r="A12" s="44">
        <v>7</v>
      </c>
      <c r="B12" s="7" t="s">
        <v>193</v>
      </c>
      <c r="C12" s="58"/>
      <c r="D12" s="58"/>
      <c r="E12" s="57"/>
      <c r="F12" s="58">
        <f t="shared" si="0"/>
        <v>0</v>
      </c>
      <c r="G12" s="58"/>
      <c r="H12" s="58">
        <f t="shared" si="1"/>
        <v>0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32.25" customHeight="1">
      <c r="A13" s="44">
        <v>9</v>
      </c>
      <c r="B13" s="42" t="s">
        <v>194</v>
      </c>
      <c r="C13" s="57">
        <f aca="true" t="shared" si="2" ref="C13:H13">SUM(C6:C12)</f>
        <v>75860</v>
      </c>
      <c r="D13" s="57">
        <f t="shared" si="2"/>
        <v>75860</v>
      </c>
      <c r="E13" s="57">
        <f t="shared" si="2"/>
        <v>0</v>
      </c>
      <c r="F13" s="57">
        <f t="shared" si="2"/>
        <v>75860</v>
      </c>
      <c r="G13" s="57">
        <f t="shared" si="2"/>
        <v>0</v>
      </c>
      <c r="H13" s="57">
        <f t="shared" si="2"/>
        <v>75860</v>
      </c>
      <c r="I13" s="65"/>
      <c r="J13" s="65"/>
      <c r="K13" s="65"/>
      <c r="L13" s="65"/>
      <c r="M13" s="65"/>
      <c r="N13" s="65"/>
      <c r="O13" s="65"/>
      <c r="P13" s="65"/>
      <c r="Q13" s="110"/>
      <c r="R13" s="66"/>
      <c r="S13" s="66"/>
      <c r="T13" s="66"/>
      <c r="U13" s="66"/>
      <c r="V13" s="66"/>
      <c r="W13" s="66"/>
      <c r="X13" s="66"/>
    </row>
    <row r="14" spans="2:24" ht="32.25" customHeight="1">
      <c r="B14" s="107"/>
      <c r="C14" s="108"/>
      <c r="D14" s="108"/>
      <c r="E14" s="108"/>
      <c r="F14" s="108"/>
      <c r="G14" s="108"/>
      <c r="H14" s="108"/>
      <c r="I14" s="65"/>
      <c r="J14" s="65"/>
      <c r="K14" s="65"/>
      <c r="L14" s="65"/>
      <c r="M14" s="65"/>
      <c r="N14" s="65"/>
      <c r="O14" s="65"/>
      <c r="P14" s="65"/>
      <c r="Q14" s="110"/>
      <c r="R14" s="66"/>
      <c r="S14" s="66"/>
      <c r="T14" s="66"/>
      <c r="U14" s="66"/>
      <c r="V14" s="66"/>
      <c r="W14" s="66"/>
      <c r="X14" s="66"/>
    </row>
    <row r="15" spans="2:8" ht="57">
      <c r="B15" s="1" t="s">
        <v>1</v>
      </c>
      <c r="C15" s="2" t="s">
        <v>2</v>
      </c>
      <c r="D15" s="2" t="s">
        <v>82</v>
      </c>
      <c r="E15" s="3" t="s">
        <v>86</v>
      </c>
      <c r="F15" s="3" t="s">
        <v>87</v>
      </c>
      <c r="G15" s="3" t="s">
        <v>89</v>
      </c>
      <c r="H15" s="3" t="s">
        <v>90</v>
      </c>
    </row>
    <row r="16" spans="2:8" ht="14.25">
      <c r="B16" s="1" t="s">
        <v>6</v>
      </c>
      <c r="C16" s="2" t="s">
        <v>7</v>
      </c>
      <c r="D16" s="2" t="s">
        <v>8</v>
      </c>
      <c r="E16" s="2" t="s">
        <v>9</v>
      </c>
      <c r="F16" s="2" t="s">
        <v>105</v>
      </c>
      <c r="G16" s="2" t="s">
        <v>11</v>
      </c>
      <c r="H16" s="2" t="s">
        <v>12</v>
      </c>
    </row>
    <row r="17" spans="1:24" ht="16.5">
      <c r="A17" s="44">
        <v>1</v>
      </c>
      <c r="B17" s="7" t="s">
        <v>195</v>
      </c>
      <c r="C17" s="58"/>
      <c r="D17" s="58"/>
      <c r="E17" s="57"/>
      <c r="F17" s="58">
        <f>C17</f>
        <v>0</v>
      </c>
      <c r="G17" s="58"/>
      <c r="H17" s="58">
        <f>D17</f>
        <v>0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ht="37.5" customHeight="1">
      <c r="A18" s="44">
        <v>2</v>
      </c>
      <c r="B18" s="7" t="s">
        <v>196</v>
      </c>
      <c r="C18" s="58"/>
      <c r="D18" s="58"/>
      <c r="E18" s="57"/>
      <c r="F18" s="58">
        <f aca="true" t="shared" si="3" ref="F18:F26">C18</f>
        <v>0</v>
      </c>
      <c r="G18" s="58"/>
      <c r="H18" s="58">
        <f aca="true" t="shared" si="4" ref="H18:H26">D18</f>
        <v>0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30" customHeight="1">
      <c r="A19" s="44">
        <v>3</v>
      </c>
      <c r="B19" s="7" t="s">
        <v>197</v>
      </c>
      <c r="C19" s="58"/>
      <c r="D19" s="58"/>
      <c r="E19" s="57"/>
      <c r="F19" s="58">
        <f t="shared" si="3"/>
        <v>0</v>
      </c>
      <c r="G19" s="58"/>
      <c r="H19" s="58">
        <f t="shared" si="4"/>
        <v>0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ht="16.5">
      <c r="A20" s="44">
        <v>4</v>
      </c>
      <c r="B20" s="7" t="s">
        <v>198</v>
      </c>
      <c r="C20" s="58"/>
      <c r="D20" s="58"/>
      <c r="E20" s="57"/>
      <c r="F20" s="58">
        <f t="shared" si="3"/>
        <v>0</v>
      </c>
      <c r="G20" s="58"/>
      <c r="H20" s="58">
        <f t="shared" si="4"/>
        <v>0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ht="38.25" customHeight="1">
      <c r="A21" s="44">
        <v>5</v>
      </c>
      <c r="B21" s="7" t="s">
        <v>199</v>
      </c>
      <c r="C21" s="58"/>
      <c r="D21" s="58"/>
      <c r="E21" s="57"/>
      <c r="F21" s="58">
        <f t="shared" si="3"/>
        <v>0</v>
      </c>
      <c r="G21" s="58"/>
      <c r="H21" s="58">
        <f t="shared" si="4"/>
        <v>0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ht="28.5">
      <c r="A22" s="44">
        <v>6</v>
      </c>
      <c r="B22" s="7" t="s">
        <v>200</v>
      </c>
      <c r="C22" s="58"/>
      <c r="D22" s="58"/>
      <c r="E22" s="57"/>
      <c r="F22" s="58">
        <f t="shared" si="3"/>
        <v>0</v>
      </c>
      <c r="G22" s="58"/>
      <c r="H22" s="58">
        <f t="shared" si="4"/>
        <v>0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ht="16.5">
      <c r="A23" s="44">
        <v>7</v>
      </c>
      <c r="B23" s="7" t="s">
        <v>201</v>
      </c>
      <c r="C23" s="58"/>
      <c r="D23" s="58"/>
      <c r="E23" s="57"/>
      <c r="F23" s="58">
        <f t="shared" si="3"/>
        <v>0</v>
      </c>
      <c r="G23" s="58"/>
      <c r="H23" s="58">
        <f t="shared" si="4"/>
        <v>0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ht="16.5">
      <c r="A24" s="44">
        <v>8</v>
      </c>
      <c r="B24" s="7" t="s">
        <v>202</v>
      </c>
      <c r="C24" s="58"/>
      <c r="D24" s="58"/>
      <c r="E24" s="57"/>
      <c r="F24" s="58">
        <f t="shared" si="3"/>
        <v>0</v>
      </c>
      <c r="G24" s="58"/>
      <c r="H24" s="58">
        <f t="shared" si="4"/>
        <v>0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ht="16.5">
      <c r="A25" s="44">
        <v>9</v>
      </c>
      <c r="B25" s="7" t="s">
        <v>203</v>
      </c>
      <c r="C25" s="58"/>
      <c r="D25" s="58"/>
      <c r="E25" s="57"/>
      <c r="F25" s="58">
        <f t="shared" si="3"/>
        <v>0</v>
      </c>
      <c r="G25" s="58"/>
      <c r="H25" s="58">
        <f t="shared" si="4"/>
        <v>0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24" ht="28.5">
      <c r="A26" s="44">
        <v>10</v>
      </c>
      <c r="B26" s="7" t="s">
        <v>204</v>
      </c>
      <c r="C26" s="58"/>
      <c r="D26" s="58"/>
      <c r="E26" s="57"/>
      <c r="F26" s="58">
        <f t="shared" si="3"/>
        <v>0</v>
      </c>
      <c r="G26" s="58"/>
      <c r="H26" s="58">
        <f t="shared" si="4"/>
        <v>0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33" customHeight="1">
      <c r="A27" s="44">
        <v>11</v>
      </c>
      <c r="B27" s="42" t="s">
        <v>205</v>
      </c>
      <c r="C27" s="57">
        <f aca="true" t="shared" si="5" ref="C27:H27">SUM(C17:C26)</f>
        <v>0</v>
      </c>
      <c r="D27" s="57">
        <f t="shared" si="5"/>
        <v>0</v>
      </c>
      <c r="E27" s="57">
        <f t="shared" si="5"/>
        <v>0</v>
      </c>
      <c r="F27" s="57">
        <f t="shared" si="5"/>
        <v>0</v>
      </c>
      <c r="G27" s="57">
        <f t="shared" si="5"/>
        <v>0</v>
      </c>
      <c r="H27" s="57">
        <f t="shared" si="5"/>
        <v>0</v>
      </c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111"/>
      <c r="T27" s="111"/>
      <c r="U27" s="111"/>
      <c r="V27" s="111"/>
      <c r="W27" s="111"/>
      <c r="X27" s="111"/>
    </row>
    <row r="28" ht="14.25">
      <c r="B28" s="109"/>
    </row>
    <row r="29" ht="14.25">
      <c r="B29" s="109"/>
    </row>
    <row r="30" ht="14.25">
      <c r="B30" s="109"/>
    </row>
    <row r="31" ht="14.25">
      <c r="B31" s="109"/>
    </row>
    <row r="32" ht="14.25">
      <c r="B32" s="109"/>
    </row>
    <row r="33" ht="14.25">
      <c r="B33" s="109"/>
    </row>
    <row r="34" ht="14.25">
      <c r="B34" s="109"/>
    </row>
    <row r="35" ht="14.25">
      <c r="B35" s="109"/>
    </row>
    <row r="36" ht="14.25">
      <c r="B36" s="109"/>
    </row>
    <row r="37" ht="14.25">
      <c r="B37" s="109"/>
    </row>
    <row r="38" ht="14.25">
      <c r="B38" s="109"/>
    </row>
    <row r="39" ht="14.25">
      <c r="B39" s="109"/>
    </row>
    <row r="40" ht="14.25">
      <c r="B40" s="109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4"/>
  <sheetViews>
    <sheetView zoomScale="75" zoomScaleNormal="75" zoomScalePageLayoutView="0" workbookViewId="0" topLeftCell="A1">
      <selection activeCell="C1" sqref="C1"/>
    </sheetView>
  </sheetViews>
  <sheetFormatPr defaultColWidth="9.140625" defaultRowHeight="12.75"/>
  <cols>
    <col min="1" max="1" width="9.140625" style="44" customWidth="1"/>
    <col min="2" max="2" width="73.140625" style="44" customWidth="1"/>
    <col min="3" max="4" width="17.8515625" style="44" customWidth="1"/>
    <col min="5" max="8" width="21.28125" style="44" customWidth="1"/>
    <col min="9" max="16384" width="9.140625" style="44" customWidth="1"/>
  </cols>
  <sheetData>
    <row r="1" ht="12.75">
      <c r="C1" s="48" t="s">
        <v>318</v>
      </c>
    </row>
    <row r="2" ht="20.25">
      <c r="B2" s="45" t="s">
        <v>207</v>
      </c>
    </row>
    <row r="3" spans="2:7" ht="20.25">
      <c r="B3" s="45"/>
      <c r="G3" s="44" t="s">
        <v>0</v>
      </c>
    </row>
    <row r="4" spans="2:8" ht="57">
      <c r="B4" s="1" t="s">
        <v>1</v>
      </c>
      <c r="C4" s="2" t="s">
        <v>2</v>
      </c>
      <c r="D4" s="2" t="s">
        <v>82</v>
      </c>
      <c r="E4" s="3" t="s">
        <v>86</v>
      </c>
      <c r="F4" s="3" t="s">
        <v>87</v>
      </c>
      <c r="G4" s="3" t="s">
        <v>89</v>
      </c>
      <c r="H4" s="3" t="s">
        <v>90</v>
      </c>
    </row>
    <row r="5" spans="2:8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105</v>
      </c>
      <c r="G5" s="2" t="s">
        <v>11</v>
      </c>
      <c r="H5" s="2" t="s">
        <v>12</v>
      </c>
    </row>
    <row r="6" spans="1:24" ht="16.5">
      <c r="A6" s="44">
        <v>1</v>
      </c>
      <c r="B6" s="112" t="s">
        <v>208</v>
      </c>
      <c r="C6" s="58">
        <v>200</v>
      </c>
      <c r="D6" s="58">
        <v>384</v>
      </c>
      <c r="E6" s="58">
        <f aca="true" t="shared" si="0" ref="E6:E17">C6</f>
        <v>200</v>
      </c>
      <c r="F6" s="58"/>
      <c r="G6" s="58">
        <f aca="true" t="shared" si="1" ref="G6:G17">D6</f>
        <v>384</v>
      </c>
      <c r="H6" s="58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16.5">
      <c r="A7" s="44">
        <v>2</v>
      </c>
      <c r="B7" s="112" t="s">
        <v>209</v>
      </c>
      <c r="C7" s="58">
        <v>200</v>
      </c>
      <c r="D7" s="58">
        <v>656</v>
      </c>
      <c r="E7" s="58">
        <f t="shared" si="0"/>
        <v>200</v>
      </c>
      <c r="F7" s="58"/>
      <c r="G7" s="58">
        <f t="shared" si="1"/>
        <v>656</v>
      </c>
      <c r="H7" s="58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16.5">
      <c r="A8" s="44">
        <v>3</v>
      </c>
      <c r="B8" s="112" t="s">
        <v>210</v>
      </c>
      <c r="C8" s="58">
        <v>100</v>
      </c>
      <c r="D8" s="58">
        <v>300</v>
      </c>
      <c r="E8" s="58">
        <f t="shared" si="0"/>
        <v>100</v>
      </c>
      <c r="F8" s="58"/>
      <c r="G8" s="58">
        <f t="shared" si="1"/>
        <v>300</v>
      </c>
      <c r="H8" s="58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ht="16.5">
      <c r="A9" s="44">
        <v>4</v>
      </c>
      <c r="B9" s="112" t="s">
        <v>211</v>
      </c>
      <c r="C9" s="58">
        <v>100</v>
      </c>
      <c r="D9" s="58">
        <v>0</v>
      </c>
      <c r="E9" s="58">
        <f t="shared" si="0"/>
        <v>100</v>
      </c>
      <c r="F9" s="58"/>
      <c r="G9" s="58">
        <f t="shared" si="1"/>
        <v>0</v>
      </c>
      <c r="H9" s="58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ht="16.5">
      <c r="A10" s="44">
        <v>5</v>
      </c>
      <c r="B10" s="112" t="s">
        <v>216</v>
      </c>
      <c r="C10" s="58"/>
      <c r="D10" s="58"/>
      <c r="E10" s="58">
        <f t="shared" si="0"/>
        <v>0</v>
      </c>
      <c r="F10" s="58"/>
      <c r="G10" s="58">
        <f t="shared" si="1"/>
        <v>0</v>
      </c>
      <c r="H10" s="58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16.5">
      <c r="A11" s="44">
        <v>6</v>
      </c>
      <c r="B11" s="112" t="s">
        <v>218</v>
      </c>
      <c r="C11" s="58">
        <v>100</v>
      </c>
      <c r="D11" s="58">
        <v>0</v>
      </c>
      <c r="E11" s="58">
        <f t="shared" si="0"/>
        <v>100</v>
      </c>
      <c r="F11" s="58"/>
      <c r="G11" s="58">
        <f t="shared" si="1"/>
        <v>0</v>
      </c>
      <c r="H11" s="58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16.5">
      <c r="A12" s="44">
        <v>7</v>
      </c>
      <c r="B12" s="112" t="s">
        <v>305</v>
      </c>
      <c r="C12" s="58">
        <v>0</v>
      </c>
      <c r="D12" s="58">
        <v>59</v>
      </c>
      <c r="E12" s="58">
        <f t="shared" si="0"/>
        <v>0</v>
      </c>
      <c r="F12" s="58"/>
      <c r="G12" s="58">
        <f t="shared" si="1"/>
        <v>59</v>
      </c>
      <c r="H12" s="58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16.5">
      <c r="A13" s="44">
        <v>8</v>
      </c>
      <c r="B13" s="113" t="s">
        <v>220</v>
      </c>
      <c r="C13" s="57">
        <f aca="true" t="shared" si="2" ref="C13:H13">SUM(C6:C12)</f>
        <v>700</v>
      </c>
      <c r="D13" s="57">
        <f t="shared" si="2"/>
        <v>1399</v>
      </c>
      <c r="E13" s="57">
        <f t="shared" si="2"/>
        <v>700</v>
      </c>
      <c r="F13" s="57">
        <f t="shared" si="2"/>
        <v>0</v>
      </c>
      <c r="G13" s="57">
        <f t="shared" si="2"/>
        <v>1399</v>
      </c>
      <c r="H13" s="57">
        <f t="shared" si="2"/>
        <v>0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24" ht="16.5">
      <c r="A14" s="44">
        <v>9</v>
      </c>
      <c r="B14" s="112" t="s">
        <v>221</v>
      </c>
      <c r="C14" s="58"/>
      <c r="D14" s="58"/>
      <c r="E14" s="58">
        <f t="shared" si="0"/>
        <v>0</v>
      </c>
      <c r="F14" s="58"/>
      <c r="G14" s="58">
        <f t="shared" si="1"/>
        <v>0</v>
      </c>
      <c r="H14" s="58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4" ht="25.5">
      <c r="A15" s="44">
        <v>10</v>
      </c>
      <c r="B15" s="112" t="s">
        <v>222</v>
      </c>
      <c r="C15" s="58"/>
      <c r="D15" s="58"/>
      <c r="E15" s="58">
        <f t="shared" si="0"/>
        <v>0</v>
      </c>
      <c r="F15" s="58"/>
      <c r="G15" s="58">
        <f t="shared" si="1"/>
        <v>0</v>
      </c>
      <c r="H15" s="58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4" ht="16.5">
      <c r="A16" s="44">
        <v>11</v>
      </c>
      <c r="B16" s="112" t="s">
        <v>223</v>
      </c>
      <c r="C16" s="58">
        <v>1050</v>
      </c>
      <c r="D16" s="58">
        <v>1050</v>
      </c>
      <c r="E16" s="58">
        <f t="shared" si="0"/>
        <v>1050</v>
      </c>
      <c r="F16" s="58"/>
      <c r="G16" s="58">
        <f t="shared" si="1"/>
        <v>1050</v>
      </c>
      <c r="H16" s="58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ht="16.5">
      <c r="A17" s="44">
        <v>12</v>
      </c>
      <c r="B17" s="112" t="s">
        <v>224</v>
      </c>
      <c r="C17" s="58">
        <v>850</v>
      </c>
      <c r="D17" s="58">
        <v>850</v>
      </c>
      <c r="E17" s="58">
        <f t="shared" si="0"/>
        <v>850</v>
      </c>
      <c r="F17" s="58"/>
      <c r="G17" s="58">
        <f t="shared" si="1"/>
        <v>850</v>
      </c>
      <c r="H17" s="58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ht="16.5">
      <c r="A18" s="44">
        <v>13</v>
      </c>
      <c r="B18" s="113" t="s">
        <v>229</v>
      </c>
      <c r="C18" s="57">
        <f aca="true" t="shared" si="3" ref="C18:H18">SUM(C14:C17)</f>
        <v>1900</v>
      </c>
      <c r="D18" s="57">
        <f t="shared" si="3"/>
        <v>1900</v>
      </c>
      <c r="E18" s="57">
        <f t="shared" si="3"/>
        <v>1900</v>
      </c>
      <c r="F18" s="57">
        <f t="shared" si="3"/>
        <v>0</v>
      </c>
      <c r="G18" s="57">
        <f t="shared" si="3"/>
        <v>1900</v>
      </c>
      <c r="H18" s="57">
        <f t="shared" si="3"/>
        <v>0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16.5">
      <c r="A19" s="44">
        <v>14</v>
      </c>
      <c r="B19" s="112" t="s">
        <v>225</v>
      </c>
      <c r="C19" s="58">
        <v>1000</v>
      </c>
      <c r="D19" s="58">
        <v>1000</v>
      </c>
      <c r="E19" s="58"/>
      <c r="F19" s="58">
        <f>C19</f>
        <v>1000</v>
      </c>
      <c r="G19" s="58"/>
      <c r="H19" s="58">
        <f>D19</f>
        <v>1000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ht="16.5">
      <c r="A20" s="44">
        <v>16</v>
      </c>
      <c r="B20" s="112" t="s">
        <v>226</v>
      </c>
      <c r="C20" s="58"/>
      <c r="D20" s="58"/>
      <c r="E20" s="58"/>
      <c r="F20" s="58">
        <f>C20</f>
        <v>0</v>
      </c>
      <c r="G20" s="58"/>
      <c r="H20" s="58">
        <f>D20</f>
        <v>0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ht="16.5">
      <c r="A21" s="44">
        <v>17</v>
      </c>
      <c r="B21" s="112" t="s">
        <v>212</v>
      </c>
      <c r="C21" s="58"/>
      <c r="D21" s="58"/>
      <c r="E21" s="58"/>
      <c r="F21" s="58">
        <f>C21</f>
        <v>0</v>
      </c>
      <c r="G21" s="58"/>
      <c r="H21" s="58">
        <f>D21</f>
        <v>0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ht="16.5">
      <c r="A22" s="44">
        <v>18</v>
      </c>
      <c r="B22" s="112" t="s">
        <v>213</v>
      </c>
      <c r="C22" s="58">
        <v>200</v>
      </c>
      <c r="D22" s="58">
        <v>141</v>
      </c>
      <c r="E22" s="58"/>
      <c r="F22" s="58">
        <f aca="true" t="shared" si="4" ref="F22:F27">C22</f>
        <v>200</v>
      </c>
      <c r="G22" s="58"/>
      <c r="H22" s="58">
        <f aca="true" t="shared" si="5" ref="H22:H27">D22</f>
        <v>141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ht="16.5">
      <c r="A23" s="44">
        <v>19</v>
      </c>
      <c r="B23" s="112" t="s">
        <v>214</v>
      </c>
      <c r="C23" s="58">
        <v>550</v>
      </c>
      <c r="D23" s="58">
        <v>550</v>
      </c>
      <c r="E23" s="58"/>
      <c r="F23" s="58">
        <f t="shared" si="4"/>
        <v>550</v>
      </c>
      <c r="G23" s="58"/>
      <c r="H23" s="58">
        <f t="shared" si="5"/>
        <v>550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ht="16.5">
      <c r="A24" s="44">
        <v>20</v>
      </c>
      <c r="B24" s="112" t="s">
        <v>215</v>
      </c>
      <c r="C24" s="58">
        <v>150</v>
      </c>
      <c r="D24" s="58">
        <v>150</v>
      </c>
      <c r="E24" s="58"/>
      <c r="F24" s="58">
        <f t="shared" si="4"/>
        <v>150</v>
      </c>
      <c r="G24" s="58"/>
      <c r="H24" s="58">
        <f t="shared" si="5"/>
        <v>150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ht="16.5">
      <c r="A25" s="44">
        <v>21</v>
      </c>
      <c r="B25" s="112" t="s">
        <v>219</v>
      </c>
      <c r="C25" s="58">
        <v>400</v>
      </c>
      <c r="D25" s="58">
        <v>400</v>
      </c>
      <c r="E25" s="58"/>
      <c r="F25" s="58">
        <f t="shared" si="4"/>
        <v>400</v>
      </c>
      <c r="G25" s="58"/>
      <c r="H25" s="58">
        <f t="shared" si="5"/>
        <v>400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24" ht="16.5">
      <c r="A26" s="44">
        <v>22</v>
      </c>
      <c r="B26" s="112" t="s">
        <v>217</v>
      </c>
      <c r="C26" s="58">
        <v>100</v>
      </c>
      <c r="D26" s="58">
        <v>100</v>
      </c>
      <c r="E26" s="58"/>
      <c r="F26" s="58">
        <f t="shared" si="4"/>
        <v>100</v>
      </c>
      <c r="G26" s="58"/>
      <c r="H26" s="58">
        <f t="shared" si="5"/>
        <v>100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25.5">
      <c r="A27" s="44">
        <v>23</v>
      </c>
      <c r="B27" s="112" t="s">
        <v>308</v>
      </c>
      <c r="C27" s="58"/>
      <c r="D27" s="58">
        <v>900</v>
      </c>
      <c r="E27" s="58"/>
      <c r="F27" s="58">
        <f t="shared" si="4"/>
        <v>0</v>
      </c>
      <c r="G27" s="58"/>
      <c r="H27" s="58">
        <f t="shared" si="5"/>
        <v>900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ht="16.5">
      <c r="A28" s="44">
        <v>24</v>
      </c>
      <c r="B28" s="113" t="s">
        <v>227</v>
      </c>
      <c r="C28" s="57">
        <f aca="true" t="shared" si="6" ref="C28:H28">SUM(C19:C27)</f>
        <v>2400</v>
      </c>
      <c r="D28" s="57">
        <f t="shared" si="6"/>
        <v>3241</v>
      </c>
      <c r="E28" s="57">
        <f t="shared" si="6"/>
        <v>0</v>
      </c>
      <c r="F28" s="57">
        <f t="shared" si="6"/>
        <v>2400</v>
      </c>
      <c r="G28" s="57">
        <f t="shared" si="6"/>
        <v>0</v>
      </c>
      <c r="H28" s="57">
        <f t="shared" si="6"/>
        <v>3241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1:24" ht="16.5">
      <c r="A29" s="44">
        <v>15</v>
      </c>
      <c r="B29" s="112" t="s">
        <v>307</v>
      </c>
      <c r="C29" s="58">
        <v>2100</v>
      </c>
      <c r="D29" s="58">
        <v>1200</v>
      </c>
      <c r="E29" s="58"/>
      <c r="F29" s="58">
        <f>C29</f>
        <v>2100</v>
      </c>
      <c r="G29" s="58"/>
      <c r="H29" s="58">
        <f>D29</f>
        <v>1200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1:24" ht="16.5">
      <c r="A30" s="44">
        <v>24</v>
      </c>
      <c r="B30" s="113" t="s">
        <v>306</v>
      </c>
      <c r="C30" s="57">
        <f aca="true" t="shared" si="7" ref="C30:H30">SUM(C29)</f>
        <v>2100</v>
      </c>
      <c r="D30" s="57">
        <f t="shared" si="7"/>
        <v>1200</v>
      </c>
      <c r="E30" s="57">
        <f t="shared" si="7"/>
        <v>0</v>
      </c>
      <c r="F30" s="57">
        <f t="shared" si="7"/>
        <v>2100</v>
      </c>
      <c r="G30" s="57">
        <f t="shared" si="7"/>
        <v>0</v>
      </c>
      <c r="H30" s="57">
        <f t="shared" si="7"/>
        <v>1200</v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  <row r="31" spans="1:24" ht="25.5">
      <c r="A31" s="44">
        <v>25</v>
      </c>
      <c r="B31" s="114" t="s">
        <v>228</v>
      </c>
      <c r="C31" s="57">
        <f aca="true" t="shared" si="8" ref="C31:H31">C13+C18+C28+C30</f>
        <v>7100</v>
      </c>
      <c r="D31" s="57">
        <f t="shared" si="8"/>
        <v>7740</v>
      </c>
      <c r="E31" s="57">
        <f t="shared" si="8"/>
        <v>2600</v>
      </c>
      <c r="F31" s="57">
        <f t="shared" si="8"/>
        <v>4500</v>
      </c>
      <c r="G31" s="57">
        <f t="shared" si="8"/>
        <v>3299</v>
      </c>
      <c r="H31" s="57">
        <f t="shared" si="8"/>
        <v>4441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</row>
    <row r="32" ht="14.25">
      <c r="B32" s="109"/>
    </row>
    <row r="33" ht="14.25">
      <c r="B33" s="109"/>
    </row>
    <row r="34" ht="14.25">
      <c r="B34" s="109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zoomScale="75" zoomScaleNormal="75" zoomScalePageLayoutView="0" workbookViewId="0" topLeftCell="C1">
      <selection activeCell="D1" sqref="D1"/>
    </sheetView>
  </sheetViews>
  <sheetFormatPr defaultColWidth="9.140625" defaultRowHeight="12.75"/>
  <cols>
    <col min="1" max="1" width="7.28125" style="44" customWidth="1"/>
    <col min="2" max="2" width="50.00390625" style="51" customWidth="1"/>
    <col min="3" max="4" width="19.421875" style="48" customWidth="1"/>
    <col min="5" max="6" width="19.28125" style="48" customWidth="1"/>
    <col min="7" max="8" width="17.57421875" style="48" customWidth="1"/>
    <col min="9" max="9" width="17.28125" style="48" customWidth="1"/>
    <col min="10" max="10" width="17.57421875" style="48" customWidth="1"/>
    <col min="11" max="11" width="19.57421875" style="48" customWidth="1"/>
    <col min="12" max="12" width="18.7109375" style="48" customWidth="1"/>
    <col min="13" max="13" width="19.421875" style="48" customWidth="1"/>
    <col min="14" max="14" width="19.7109375" style="48" customWidth="1"/>
    <col min="15" max="15" width="19.28125" style="48" customWidth="1"/>
    <col min="16" max="16" width="19.57421875" style="48" customWidth="1"/>
    <col min="17" max="16384" width="9.140625" style="44" customWidth="1"/>
  </cols>
  <sheetData>
    <row r="1" spans="2:4" ht="27">
      <c r="B1" s="47"/>
      <c r="D1" s="48" t="s">
        <v>319</v>
      </c>
    </row>
    <row r="2" ht="27">
      <c r="B2" s="47"/>
    </row>
    <row r="3" ht="20.25">
      <c r="B3" s="49" t="s">
        <v>230</v>
      </c>
    </row>
    <row r="4" spans="2:15" ht="20.25">
      <c r="B4" s="49"/>
      <c r="O4" s="48" t="s">
        <v>0</v>
      </c>
    </row>
    <row r="5" spans="2:16" ht="79.5" customHeight="1">
      <c r="B5" s="1" t="s">
        <v>1</v>
      </c>
      <c r="C5" s="2" t="s">
        <v>2</v>
      </c>
      <c r="D5" s="2" t="s">
        <v>82</v>
      </c>
      <c r="E5" s="2" t="s">
        <v>81</v>
      </c>
      <c r="F5" s="2" t="s">
        <v>83</v>
      </c>
      <c r="G5" s="2" t="s">
        <v>3</v>
      </c>
      <c r="H5" s="2" t="s">
        <v>84</v>
      </c>
      <c r="I5" s="2" t="s">
        <v>88</v>
      </c>
      <c r="J5" s="2" t="s">
        <v>85</v>
      </c>
      <c r="K5" s="3" t="s">
        <v>4</v>
      </c>
      <c r="L5" s="3" t="s">
        <v>5</v>
      </c>
      <c r="M5" s="3" t="s">
        <v>86</v>
      </c>
      <c r="N5" s="3" t="s">
        <v>87</v>
      </c>
      <c r="O5" s="3" t="s">
        <v>89</v>
      </c>
      <c r="P5" s="3" t="s">
        <v>90</v>
      </c>
    </row>
    <row r="6" spans="2:16" ht="14.25">
      <c r="B6" s="70" t="s">
        <v>6</v>
      </c>
      <c r="C6" s="2" t="s">
        <v>7</v>
      </c>
      <c r="D6" s="70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94</v>
      </c>
      <c r="P6" s="2" t="s">
        <v>95</v>
      </c>
    </row>
    <row r="7" spans="1:16" ht="14.25">
      <c r="A7" s="44">
        <v>1</v>
      </c>
      <c r="B7" s="15" t="s">
        <v>231</v>
      </c>
      <c r="C7" s="116">
        <f>3</f>
        <v>3</v>
      </c>
      <c r="D7" s="116">
        <f>3</f>
        <v>3</v>
      </c>
      <c r="E7" s="116">
        <f>12.65-E11</f>
        <v>11.5</v>
      </c>
      <c r="F7" s="116">
        <v>11.29</v>
      </c>
      <c r="G7" s="116">
        <v>3</v>
      </c>
      <c r="H7" s="116">
        <v>3</v>
      </c>
      <c r="I7" s="116">
        <v>6</v>
      </c>
      <c r="J7" s="116">
        <v>6</v>
      </c>
      <c r="K7" s="116">
        <f>C7+E7+G7+I7</f>
        <v>23.5</v>
      </c>
      <c r="L7" s="116">
        <f>D7+F7+H7+J7</f>
        <v>23.29</v>
      </c>
      <c r="M7" s="116">
        <f>C7+E7+G7+I7</f>
        <v>23.5</v>
      </c>
      <c r="N7" s="116">
        <v>0</v>
      </c>
      <c r="O7" s="116">
        <f>L7</f>
        <v>23.29</v>
      </c>
      <c r="P7" s="116">
        <v>0</v>
      </c>
    </row>
    <row r="8" spans="1:16" ht="28.5">
      <c r="A8" s="44">
        <v>2</v>
      </c>
      <c r="B8" s="15" t="s">
        <v>232</v>
      </c>
      <c r="C8" s="116">
        <v>1</v>
      </c>
      <c r="D8" s="116">
        <v>2.25</v>
      </c>
      <c r="E8" s="116"/>
      <c r="F8" s="116"/>
      <c r="G8" s="116">
        <f>10+9.21</f>
        <v>19.21</v>
      </c>
      <c r="H8" s="116">
        <v>17.65</v>
      </c>
      <c r="I8" s="116">
        <v>4</v>
      </c>
      <c r="J8" s="116">
        <v>4</v>
      </c>
      <c r="K8" s="116">
        <f aca="true" t="shared" si="0" ref="K8:L13">C8+E8+G8+I8</f>
        <v>24.21</v>
      </c>
      <c r="L8" s="116">
        <f t="shared" si="0"/>
        <v>23.9</v>
      </c>
      <c r="M8" s="116">
        <f aca="true" t="shared" si="1" ref="M8:N13">C8+E8+G8+I8</f>
        <v>24.21</v>
      </c>
      <c r="N8" s="116">
        <v>0</v>
      </c>
      <c r="O8" s="116">
        <f>L8</f>
        <v>23.9</v>
      </c>
      <c r="P8" s="116">
        <v>0</v>
      </c>
    </row>
    <row r="9" spans="1:16" ht="14.25">
      <c r="A9" s="44">
        <v>3</v>
      </c>
      <c r="B9" s="15" t="s">
        <v>233</v>
      </c>
      <c r="C9" s="117"/>
      <c r="D9" s="117"/>
      <c r="E9" s="117"/>
      <c r="F9" s="117"/>
      <c r="G9" s="117"/>
      <c r="H9" s="117"/>
      <c r="I9" s="117"/>
      <c r="J9" s="117"/>
      <c r="K9" s="116">
        <f t="shared" si="0"/>
        <v>0</v>
      </c>
      <c r="L9" s="116">
        <f t="shared" si="0"/>
        <v>0</v>
      </c>
      <c r="M9" s="116">
        <f t="shared" si="1"/>
        <v>0</v>
      </c>
      <c r="N9" s="116">
        <f t="shared" si="1"/>
        <v>0</v>
      </c>
      <c r="O9" s="116">
        <f>L9</f>
        <v>0</v>
      </c>
      <c r="P9" s="116">
        <v>0</v>
      </c>
    </row>
    <row r="10" spans="1:16" ht="14.25">
      <c r="A10" s="44">
        <v>4</v>
      </c>
      <c r="B10" s="4" t="s">
        <v>238</v>
      </c>
      <c r="C10" s="118">
        <f>SUM(C7:C9)</f>
        <v>4</v>
      </c>
      <c r="D10" s="118">
        <f aca="true" t="shared" si="2" ref="D10:P10">SUM(D7:D9)</f>
        <v>5.25</v>
      </c>
      <c r="E10" s="118">
        <f t="shared" si="2"/>
        <v>11.5</v>
      </c>
      <c r="F10" s="118">
        <f t="shared" si="2"/>
        <v>11.29</v>
      </c>
      <c r="G10" s="118">
        <f t="shared" si="2"/>
        <v>22.21</v>
      </c>
      <c r="H10" s="118">
        <f t="shared" si="2"/>
        <v>20.65</v>
      </c>
      <c r="I10" s="118">
        <f t="shared" si="2"/>
        <v>10</v>
      </c>
      <c r="J10" s="118">
        <f t="shared" si="2"/>
        <v>10</v>
      </c>
      <c r="K10" s="118">
        <f t="shared" si="2"/>
        <v>47.71</v>
      </c>
      <c r="L10" s="118">
        <f t="shared" si="2"/>
        <v>47.19</v>
      </c>
      <c r="M10" s="118">
        <f t="shared" si="2"/>
        <v>47.71</v>
      </c>
      <c r="N10" s="118">
        <f t="shared" si="2"/>
        <v>0</v>
      </c>
      <c r="O10" s="118">
        <f t="shared" si="2"/>
        <v>47.19</v>
      </c>
      <c r="P10" s="118">
        <f t="shared" si="2"/>
        <v>0</v>
      </c>
    </row>
    <row r="11" spans="1:16" ht="14.25">
      <c r="A11" s="44">
        <v>5</v>
      </c>
      <c r="B11" s="15" t="s">
        <v>234</v>
      </c>
      <c r="C11" s="117">
        <f>0.75+0.75</f>
        <v>1.5</v>
      </c>
      <c r="D11" s="117">
        <f>0.75+0.75</f>
        <v>1.5</v>
      </c>
      <c r="E11" s="117">
        <f>0.38+0.33+0.22+0.22</f>
        <v>1.15</v>
      </c>
      <c r="F11" s="117">
        <f>0.38+0.33+0.22+0.22</f>
        <v>1.15</v>
      </c>
      <c r="G11" s="117"/>
      <c r="H11" s="117"/>
      <c r="I11" s="117"/>
      <c r="J11" s="117"/>
      <c r="K11" s="116">
        <f t="shared" si="0"/>
        <v>2.65</v>
      </c>
      <c r="L11" s="116">
        <f t="shared" si="0"/>
        <v>2.65</v>
      </c>
      <c r="M11" s="116">
        <f t="shared" si="1"/>
        <v>2.65</v>
      </c>
      <c r="N11" s="116">
        <v>0</v>
      </c>
      <c r="O11" s="116">
        <f>L11</f>
        <v>2.65</v>
      </c>
      <c r="P11" s="116">
        <v>0</v>
      </c>
    </row>
    <row r="12" spans="1:16" ht="28.5" customHeight="1">
      <c r="A12" s="44">
        <v>6</v>
      </c>
      <c r="B12" s="15" t="s">
        <v>235</v>
      </c>
      <c r="C12" s="117">
        <v>0.75</v>
      </c>
      <c r="D12" s="117">
        <v>0.75</v>
      </c>
      <c r="E12" s="117"/>
      <c r="F12" s="117"/>
      <c r="G12" s="117">
        <v>0.5</v>
      </c>
      <c r="H12" s="117">
        <v>0.5</v>
      </c>
      <c r="I12" s="117">
        <v>0.25</v>
      </c>
      <c r="J12" s="117">
        <v>0.25</v>
      </c>
      <c r="K12" s="116">
        <f t="shared" si="0"/>
        <v>1.5</v>
      </c>
      <c r="L12" s="116">
        <f t="shared" si="0"/>
        <v>1.5</v>
      </c>
      <c r="M12" s="116">
        <f t="shared" si="1"/>
        <v>1.5</v>
      </c>
      <c r="N12" s="116">
        <v>0</v>
      </c>
      <c r="O12" s="116">
        <f>L12</f>
        <v>1.5</v>
      </c>
      <c r="P12" s="116">
        <v>0</v>
      </c>
    </row>
    <row r="13" spans="1:16" ht="14.25">
      <c r="A13" s="44">
        <v>7</v>
      </c>
      <c r="B13" s="15" t="s">
        <v>236</v>
      </c>
      <c r="C13" s="117">
        <f>(0.75+0.75)/12*2+2</f>
        <v>2.25</v>
      </c>
      <c r="D13" s="117">
        <v>0.33</v>
      </c>
      <c r="E13" s="117"/>
      <c r="F13" s="117"/>
      <c r="G13" s="117"/>
      <c r="H13" s="117">
        <v>0.31</v>
      </c>
      <c r="I13" s="117"/>
      <c r="J13" s="117"/>
      <c r="K13" s="116">
        <f t="shared" si="0"/>
        <v>2.25</v>
      </c>
      <c r="L13" s="116">
        <f t="shared" si="0"/>
        <v>0.64</v>
      </c>
      <c r="M13" s="116">
        <f t="shared" si="1"/>
        <v>2.25</v>
      </c>
      <c r="N13" s="116">
        <v>0</v>
      </c>
      <c r="O13" s="116">
        <f>L13</f>
        <v>0.64</v>
      </c>
      <c r="P13" s="116">
        <v>0</v>
      </c>
    </row>
    <row r="14" spans="1:16" s="69" customFormat="1" ht="14.25">
      <c r="A14" s="69">
        <v>8</v>
      </c>
      <c r="B14" s="4" t="s">
        <v>239</v>
      </c>
      <c r="C14" s="118">
        <f>SUM(C11:C13)</f>
        <v>4.5</v>
      </c>
      <c r="D14" s="118">
        <f aca="true" t="shared" si="3" ref="D14:P14">SUM(D11:D13)</f>
        <v>2.58</v>
      </c>
      <c r="E14" s="118">
        <f t="shared" si="3"/>
        <v>1.15</v>
      </c>
      <c r="F14" s="118">
        <f t="shared" si="3"/>
        <v>1.15</v>
      </c>
      <c r="G14" s="118">
        <f t="shared" si="3"/>
        <v>0.5</v>
      </c>
      <c r="H14" s="118">
        <f t="shared" si="3"/>
        <v>0.81</v>
      </c>
      <c r="I14" s="118">
        <f t="shared" si="3"/>
        <v>0.25</v>
      </c>
      <c r="J14" s="118">
        <f t="shared" si="3"/>
        <v>0.25</v>
      </c>
      <c r="K14" s="118">
        <f t="shared" si="3"/>
        <v>6.4</v>
      </c>
      <c r="L14" s="118">
        <f t="shared" si="3"/>
        <v>4.79</v>
      </c>
      <c r="M14" s="118">
        <f t="shared" si="3"/>
        <v>6.4</v>
      </c>
      <c r="N14" s="118">
        <f t="shared" si="3"/>
        <v>0</v>
      </c>
      <c r="O14" s="118">
        <f t="shared" si="3"/>
        <v>4.79</v>
      </c>
      <c r="P14" s="118">
        <f t="shared" si="3"/>
        <v>0</v>
      </c>
    </row>
    <row r="15" spans="1:16" s="120" customFormat="1" ht="20.25">
      <c r="A15" s="53">
        <v>9</v>
      </c>
      <c r="B15" s="115" t="s">
        <v>237</v>
      </c>
      <c r="C15" s="121">
        <f>C14+C10</f>
        <v>8.5</v>
      </c>
      <c r="D15" s="121">
        <f aca="true" t="shared" si="4" ref="D15:P15">D14+D10</f>
        <v>7.83</v>
      </c>
      <c r="E15" s="121">
        <f t="shared" si="4"/>
        <v>12.65</v>
      </c>
      <c r="F15" s="121">
        <f t="shared" si="4"/>
        <v>12.44</v>
      </c>
      <c r="G15" s="121">
        <f t="shared" si="4"/>
        <v>22.71</v>
      </c>
      <c r="H15" s="121">
        <f t="shared" si="4"/>
        <v>21.459999999999997</v>
      </c>
      <c r="I15" s="121">
        <f t="shared" si="4"/>
        <v>10.25</v>
      </c>
      <c r="J15" s="121">
        <f t="shared" si="4"/>
        <v>10.25</v>
      </c>
      <c r="K15" s="122">
        <f t="shared" si="4"/>
        <v>54.11</v>
      </c>
      <c r="L15" s="122">
        <f t="shared" si="4"/>
        <v>51.98</v>
      </c>
      <c r="M15" s="119">
        <f t="shared" si="4"/>
        <v>54.11</v>
      </c>
      <c r="N15" s="119">
        <f t="shared" si="4"/>
        <v>0</v>
      </c>
      <c r="O15" s="119">
        <f t="shared" si="4"/>
        <v>51.98</v>
      </c>
      <c r="P15" s="119">
        <f t="shared" si="4"/>
        <v>0</v>
      </c>
    </row>
    <row r="16" spans="1:2" s="48" customFormat="1" ht="15">
      <c r="A16" s="44"/>
      <c r="B16" s="35"/>
    </row>
    <row r="17" ht="15">
      <c r="B17" s="35"/>
    </row>
    <row r="18" ht="15">
      <c r="B18" s="35"/>
    </row>
    <row r="19" ht="15">
      <c r="B19" s="35"/>
    </row>
    <row r="20" ht="15">
      <c r="B20" s="35"/>
    </row>
    <row r="21" ht="15">
      <c r="B21" s="35"/>
    </row>
    <row r="22" ht="15">
      <c r="B22" s="35"/>
    </row>
    <row r="23" ht="15">
      <c r="B23" s="35"/>
    </row>
    <row r="24" ht="15">
      <c r="B24" s="35"/>
    </row>
    <row r="25" ht="15">
      <c r="B25" s="35"/>
    </row>
    <row r="26" ht="15">
      <c r="B26" s="35"/>
    </row>
    <row r="27" ht="15">
      <c r="B27" s="35"/>
    </row>
    <row r="28" ht="15">
      <c r="B28" s="35"/>
    </row>
    <row r="29" ht="15">
      <c r="B29" s="35"/>
    </row>
    <row r="30" ht="15">
      <c r="B30" s="35"/>
    </row>
    <row r="31" ht="15">
      <c r="B31" s="35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pugy</dc:creator>
  <cp:keywords/>
  <dc:description/>
  <cp:lastModifiedBy>penztar</cp:lastModifiedBy>
  <cp:lastPrinted>2013-08-05T05:38:20Z</cp:lastPrinted>
  <dcterms:created xsi:type="dcterms:W3CDTF">2013-02-08T06:30:04Z</dcterms:created>
  <dcterms:modified xsi:type="dcterms:W3CDTF">2013-08-08T11:10:00Z</dcterms:modified>
  <cp:category/>
  <cp:version/>
  <cp:contentType/>
  <cp:contentStatus/>
</cp:coreProperties>
</file>