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<sst xmlns="http://schemas.openxmlformats.org/spreadsheetml/2006/main" count="316" uniqueCount="273">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</sst>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Protection="1">
      <alignment/>
      <protection/>
    </xf>
    <xf numFmtId="0" fontId="23" fillId="0" borderId="14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 applyProtection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4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164" fontId="23" fillId="0" borderId="32" xfId="68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left" vertical="center" wrapText="1" indent="1"/>
      <protection/>
    </xf>
    <xf numFmtId="0" fontId="23" fillId="0" borderId="15" xfId="68" applyFont="1" applyFill="1" applyBorder="1" applyAlignment="1" applyProtection="1">
      <alignment vertical="center" wrapText="1"/>
      <protection/>
    </xf>
    <xf numFmtId="164" fontId="23" fillId="0" borderId="3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8" applyFont="1" applyFill="1" applyBorder="1" applyAlignment="1" applyProtection="1">
      <alignment horizontal="left" vertical="center" wrapText="1" indent="1"/>
      <protection/>
    </xf>
    <xf numFmtId="164" fontId="28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8" applyFont="1" applyFill="1" applyBorder="1" applyAlignment="1" applyProtection="1">
      <alignment horizontal="left" vertical="center" wrapText="1" indent="1"/>
      <protection/>
    </xf>
    <xf numFmtId="164" fontId="28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8" applyFont="1" applyFill="1" applyBorder="1" applyAlignment="1" applyProtection="1">
      <alignment horizontal="lef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6"/>
      <protection/>
    </xf>
    <xf numFmtId="0" fontId="24" fillId="0" borderId="23" xfId="68" applyFont="1" applyFill="1" applyBorder="1" applyAlignment="1" applyProtection="1">
      <alignment horizontal="left" indent="6"/>
      <protection/>
    </xf>
    <xf numFmtId="0" fontId="24" fillId="0" borderId="23" xfId="68" applyFont="1" applyFill="1" applyBorder="1" applyAlignment="1" applyProtection="1">
      <alignment horizontal="left" vertical="center" wrapText="1" indent="6"/>
      <protection/>
    </xf>
    <xf numFmtId="164" fontId="28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8" applyFont="1" applyFill="1" applyBorder="1" applyAlignment="1" applyProtection="1">
      <alignment horizontal="left" vertical="center" wrapText="1" indent="7"/>
      <protection/>
    </xf>
    <xf numFmtId="164" fontId="28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68" applyFont="1" applyFill="1" applyBorder="1" applyAlignment="1" applyProtection="1">
      <alignment horizontal="left" vertical="center" wrapText="1" indent="1"/>
      <protection/>
    </xf>
    <xf numFmtId="0" fontId="23" fillId="0" borderId="31" xfId="68" applyFont="1" applyFill="1" applyBorder="1" applyAlignment="1" applyProtection="1">
      <alignment vertical="center" wrapText="1"/>
      <protection/>
    </xf>
    <xf numFmtId="164" fontId="23" fillId="0" borderId="32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1"/>
      <protection/>
    </xf>
    <xf numFmtId="164" fontId="28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8" applyFont="1" applyFill="1" applyBorder="1" applyAlignment="1" applyProtection="1">
      <alignment horizontal="left" vertical="center" wrapText="1" indent="6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0" fontId="24" fillId="0" borderId="19" xfId="68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0" fontId="23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tabSelected="1" zoomScaleSheetLayoutView="100" zoomScalePageLayoutView="0" workbookViewId="0" topLeftCell="A19">
      <selection activeCell="D1" sqref="D1:F16384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3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1095518126</v>
      </c>
      <c r="D5" s="16">
        <f>+D6+D7+D8+D9+D10+D11</f>
        <v>1095518126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228569062</v>
      </c>
      <c r="D7" s="27">
        <f>218107294+10461768</f>
        <v>228569062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371167705</v>
      </c>
      <c r="D8" s="27">
        <f>121200000+67844165+177597260+4526280+11511000+24250000-35761000</f>
        <v>371167705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 t="shared" si="0"/>
        <v>25891320</v>
      </c>
      <c r="D9" s="27">
        <f>4412740+15262320+10629000-4412740</f>
        <v>25891320</v>
      </c>
      <c r="E9" s="28"/>
      <c r="F9" s="28"/>
    </row>
    <row r="10" spans="1:6" s="18" customFormat="1" ht="12" customHeight="1">
      <c r="A10" s="24" t="s">
        <v>22</v>
      </c>
      <c r="B10" s="29" t="s">
        <v>23</v>
      </c>
      <c r="C10" s="26">
        <f t="shared" si="0"/>
        <v>241471757</v>
      </c>
      <c r="D10" s="27">
        <f>1060845+3551000+168707597+128000+58000+13957152+413944+49094027+4501192</f>
        <v>241471757</v>
      </c>
      <c r="E10" s="28"/>
      <c r="F10" s="28"/>
    </row>
    <row r="11" spans="1:6" s="18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8" customFormat="1" ht="12" customHeight="1" thickBot="1">
      <c r="A12" s="13" t="s">
        <v>26</v>
      </c>
      <c r="B12" s="35" t="s">
        <v>27</v>
      </c>
      <c r="C12" s="15">
        <f t="shared" si="0"/>
        <v>486611092</v>
      </c>
      <c r="D12" s="16">
        <f>+D13+D14+D15+D16+D17</f>
        <v>486611092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6"/>
      <c r="E13" s="37"/>
      <c r="F13" s="37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3"/>
      <c r="E14" s="34"/>
      <c r="F14" s="34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3"/>
      <c r="E15" s="34"/>
      <c r="F15" s="34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3"/>
      <c r="E16" s="34"/>
      <c r="F16" s="34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486611092</v>
      </c>
      <c r="D17" s="27">
        <f>210000+65342000+25310845+9303887+291175856+362000+94906504</f>
        <v>486611092</v>
      </c>
      <c r="E17" s="38"/>
      <c r="F17" s="28"/>
    </row>
    <row r="18" spans="1:6" s="18" customFormat="1" ht="12" customHeight="1" thickBot="1">
      <c r="A18" s="30" t="s">
        <v>38</v>
      </c>
      <c r="B18" s="31" t="s">
        <v>39</v>
      </c>
      <c r="C18" s="32">
        <f t="shared" si="0"/>
        <v>0</v>
      </c>
      <c r="D18" s="39"/>
      <c r="E18" s="40"/>
      <c r="F18" s="40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18976576</v>
      </c>
      <c r="D19" s="16">
        <f>+D20+D21+D22+D23+D24</f>
        <v>18976576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1"/>
      <c r="E20" s="42"/>
      <c r="F20" s="42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 t="shared" si="0"/>
        <v>18976576</v>
      </c>
      <c r="D24" s="27">
        <f>3797300+15179276</f>
        <v>18976576</v>
      </c>
      <c r="E24" s="28"/>
      <c r="F24" s="28"/>
    </row>
    <row r="25" spans="1:6" s="18" customFormat="1" ht="12" customHeight="1" thickBot="1">
      <c r="A25" s="30" t="s">
        <v>52</v>
      </c>
      <c r="B25" s="43" t="s">
        <v>53</v>
      </c>
      <c r="C25" s="32">
        <f t="shared" si="0"/>
        <v>3797300</v>
      </c>
      <c r="D25" s="44">
        <v>3797300</v>
      </c>
      <c r="E25" s="40"/>
      <c r="F25" s="45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6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7">
        <f>SUM(D28:D30)</f>
        <v>282830000</v>
      </c>
      <c r="E27" s="48"/>
      <c r="F27" s="48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3">
        <f>8990000+70000000</f>
        <v>78990000</v>
      </c>
      <c r="E28" s="34"/>
      <c r="F28" s="34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3">
        <v>203840000</v>
      </c>
      <c r="E29" s="34"/>
      <c r="F29" s="34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3">
        <f>27000000</f>
        <v>27000000</v>
      </c>
      <c r="E31" s="34"/>
      <c r="F31" s="28"/>
    </row>
    <row r="32" spans="1:6" s="18" customFormat="1" ht="12" customHeight="1">
      <c r="A32" s="24" t="s">
        <v>66</v>
      </c>
      <c r="B32" s="25" t="s">
        <v>67</v>
      </c>
      <c r="C32" s="26">
        <f t="shared" si="0"/>
        <v>60000</v>
      </c>
      <c r="D32" s="33">
        <f>4060000-4000000</f>
        <v>60000</v>
      </c>
      <c r="E32" s="34"/>
      <c r="F32" s="28"/>
    </row>
    <row r="33" spans="1:6" s="18" customFormat="1" ht="12" customHeight="1" thickBot="1">
      <c r="A33" s="30" t="s">
        <v>68</v>
      </c>
      <c r="B33" s="43" t="s">
        <v>69</v>
      </c>
      <c r="C33" s="32">
        <f t="shared" si="0"/>
        <v>9500000</v>
      </c>
      <c r="D33" s="44">
        <f>5500000+4000000</f>
        <v>9500000</v>
      </c>
      <c r="E33" s="40"/>
      <c r="F33" s="40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224216276</v>
      </c>
      <c r="D34" s="16">
        <f>SUM(D35:D45)</f>
        <v>43836000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9150000</v>
      </c>
      <c r="D35" s="22">
        <f>4000000+5000000</f>
        <v>9000000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42613906</v>
      </c>
      <c r="D36" s="27">
        <f>100000+12004000</f>
        <v>12104000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84598340</v>
      </c>
      <c r="D37" s="27">
        <f>8458000+947000</f>
        <v>9405000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41356348</v>
      </c>
      <c r="D40" s="27">
        <f>3242000+5853000+378000+600000+1350000+270000</f>
        <v>11693000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0" t="s">
        <v>90</v>
      </c>
      <c r="B44" s="43" t="s">
        <v>91</v>
      </c>
      <c r="C44" s="26">
        <f t="shared" si="0"/>
        <v>500000</v>
      </c>
      <c r="D44" s="44">
        <f>500000</f>
        <v>500000</v>
      </c>
      <c r="E44" s="40"/>
      <c r="F44" s="40"/>
    </row>
    <row r="45" spans="1:6" s="18" customFormat="1" ht="12" customHeight="1" thickBot="1">
      <c r="A45" s="30" t="s">
        <v>92</v>
      </c>
      <c r="B45" s="31" t="s">
        <v>93</v>
      </c>
      <c r="C45" s="32">
        <f t="shared" si="0"/>
        <v>704000</v>
      </c>
      <c r="D45" s="44">
        <v>704000</v>
      </c>
      <c r="E45" s="40"/>
      <c r="F45" s="49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47179000</v>
      </c>
      <c r="D48" s="27">
        <f>25179000+22000000</f>
        <v>47179000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0" t="s">
        <v>104</v>
      </c>
      <c r="B51" s="31" t="s">
        <v>105</v>
      </c>
      <c r="C51" s="32">
        <f t="shared" si="0"/>
        <v>0</v>
      </c>
      <c r="D51" s="44"/>
      <c r="E51" s="40"/>
      <c r="F51" s="40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6"/>
      <c r="E53" s="37"/>
      <c r="F53" s="37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39"/>
      <c r="E56" s="45"/>
      <c r="F56" s="45"/>
    </row>
    <row r="57" spans="1:6" s="18" customFormat="1" ht="12" customHeight="1" thickBot="1">
      <c r="A57" s="13" t="s">
        <v>116</v>
      </c>
      <c r="B57" s="35" t="s">
        <v>117</v>
      </c>
      <c r="C57" s="50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0" t="s">
        <v>124</v>
      </c>
      <c r="B61" s="31" t="s">
        <v>125</v>
      </c>
      <c r="C61" s="32">
        <f t="shared" si="0"/>
        <v>0</v>
      </c>
      <c r="D61" s="27"/>
      <c r="E61" s="28"/>
      <c r="F61" s="28"/>
    </row>
    <row r="62" spans="1:6" s="18" customFormat="1" ht="12" customHeight="1" thickBot="1">
      <c r="A62" s="51" t="s">
        <v>126</v>
      </c>
      <c r="B62" s="14" t="s">
        <v>127</v>
      </c>
      <c r="C62" s="15">
        <f t="shared" si="0"/>
        <v>2196349070</v>
      </c>
      <c r="D62" s="46">
        <f>+D5+D12+D19+D26+D34+D46+D52+D57</f>
        <v>2015968794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2" t="s">
        <v>128</v>
      </c>
      <c r="B63" s="35" t="s">
        <v>129</v>
      </c>
      <c r="C63" s="50">
        <f t="shared" si="0"/>
        <v>0</v>
      </c>
      <c r="D63" s="16">
        <f>SUM(D64:D66)</f>
        <v>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0</v>
      </c>
      <c r="D64" s="27"/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0</v>
      </c>
      <c r="D65" s="27"/>
      <c r="E65" s="28"/>
      <c r="F65" s="28"/>
    </row>
    <row r="66" spans="1:6" s="18" customFormat="1" ht="12" customHeight="1" thickBot="1">
      <c r="A66" s="30" t="s">
        <v>134</v>
      </c>
      <c r="B66" s="53" t="s">
        <v>135</v>
      </c>
      <c r="C66" s="32">
        <f t="shared" si="0"/>
        <v>0</v>
      </c>
      <c r="D66" s="27"/>
      <c r="E66" s="28"/>
      <c r="F66" s="28"/>
    </row>
    <row r="67" spans="1:6" s="18" customFormat="1" ht="12" customHeight="1" thickBot="1">
      <c r="A67" s="52" t="s">
        <v>136</v>
      </c>
      <c r="B67" s="35" t="s">
        <v>137</v>
      </c>
      <c r="C67" s="5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aca="true" t="shared" si="1" ref="C69:C87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t="shared" si="1"/>
        <v>0</v>
      </c>
      <c r="D70" s="27"/>
      <c r="E70" s="28"/>
      <c r="F70" s="28"/>
    </row>
    <row r="71" spans="1:6" s="18" customFormat="1" ht="12" customHeight="1" thickBot="1">
      <c r="A71" s="30" t="s">
        <v>144</v>
      </c>
      <c r="B71" s="31" t="s">
        <v>145</v>
      </c>
      <c r="C71" s="32">
        <f t="shared" si="1"/>
        <v>0</v>
      </c>
      <c r="D71" s="27"/>
      <c r="E71" s="28"/>
      <c r="F71" s="28"/>
    </row>
    <row r="72" spans="1:6" s="18" customFormat="1" ht="12" customHeight="1" thickBot="1">
      <c r="A72" s="52" t="s">
        <v>146</v>
      </c>
      <c r="B72" s="35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0" t="s">
        <v>150</v>
      </c>
      <c r="B74" s="31" t="s">
        <v>151</v>
      </c>
      <c r="C74" s="32">
        <f t="shared" si="1"/>
        <v>0</v>
      </c>
      <c r="D74" s="27"/>
      <c r="E74" s="28"/>
      <c r="F74" s="28"/>
    </row>
    <row r="75" spans="1:6" s="18" customFormat="1" ht="12" customHeight="1" thickBot="1">
      <c r="A75" s="52" t="s">
        <v>152</v>
      </c>
      <c r="B75" s="35" t="s">
        <v>153</v>
      </c>
      <c r="C75" s="50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0" t="s">
        <v>158</v>
      </c>
      <c r="B78" s="31" t="s">
        <v>159</v>
      </c>
      <c r="C78" s="32">
        <f t="shared" si="1"/>
        <v>0</v>
      </c>
      <c r="D78" s="27"/>
      <c r="E78" s="28"/>
      <c r="F78" s="28"/>
    </row>
    <row r="79" spans="1:6" s="18" customFormat="1" ht="12" customHeight="1" thickBot="1">
      <c r="A79" s="52" t="s">
        <v>160</v>
      </c>
      <c r="B79" s="35" t="s">
        <v>161</v>
      </c>
      <c r="C79" s="50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5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5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6" t="s">
        <v>168</v>
      </c>
      <c r="B83" s="31" t="s">
        <v>169</v>
      </c>
      <c r="C83" s="32">
        <f t="shared" si="1"/>
        <v>0</v>
      </c>
      <c r="D83" s="27"/>
      <c r="E83" s="28"/>
      <c r="F83" s="28"/>
    </row>
    <row r="84" spans="1:6" s="18" customFormat="1" ht="12" customHeight="1" thickBot="1">
      <c r="A84" s="52" t="s">
        <v>170</v>
      </c>
      <c r="B84" s="35" t="s">
        <v>171</v>
      </c>
      <c r="C84" s="5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172</v>
      </c>
      <c r="B85" s="35" t="s">
        <v>173</v>
      </c>
      <c r="C85" s="50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174</v>
      </c>
      <c r="B86" s="60" t="s">
        <v>175</v>
      </c>
      <c r="C86" s="15">
        <f t="shared" si="1"/>
        <v>292133965</v>
      </c>
      <c r="D86" s="46">
        <f>+D63+D67+D72+D75+D79+D85+D84</f>
        <v>289331423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1" t="s">
        <v>176</v>
      </c>
      <c r="B87" s="62" t="s">
        <v>177</v>
      </c>
      <c r="C87" s="63">
        <f t="shared" si="1"/>
        <v>2488483035</v>
      </c>
      <c r="D87" s="46">
        <f>+D62+D86</f>
        <v>2305300217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178</v>
      </c>
      <c r="B89" s="1"/>
      <c r="C89" s="1"/>
    </row>
    <row r="90" spans="1:3" s="69" customFormat="1" ht="16.5" customHeight="1" thickBot="1">
      <c r="A90" s="67" t="s">
        <v>179</v>
      </c>
      <c r="B90" s="67"/>
      <c r="C90" s="68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0" t="s">
        <v>9</v>
      </c>
      <c r="B92" s="71" t="s">
        <v>10</v>
      </c>
      <c r="C92" s="11" t="s">
        <v>11</v>
      </c>
    </row>
    <row r="93" spans="1:6" ht="12" customHeight="1" thickBot="1">
      <c r="A93" s="72" t="s">
        <v>12</v>
      </c>
      <c r="B93" s="73" t="s">
        <v>181</v>
      </c>
      <c r="C93" s="15">
        <f aca="true" t="shared" si="2" ref="C93:C154">SUM(D93:F93)</f>
        <v>1957554975</v>
      </c>
      <c r="D93" s="74">
        <f>+D94+D95+D96+D97+D98+D111</f>
        <v>1073379811</v>
      </c>
      <c r="E93" s="75">
        <f>+E94+E95+E96+E97+E98+E111</f>
        <v>26260350</v>
      </c>
      <c r="F93" s="76">
        <f>F94+F95+F96+F97+F98+F111</f>
        <v>857914814</v>
      </c>
    </row>
    <row r="94" spans="1:6" ht="12" customHeight="1">
      <c r="A94" s="77" t="s">
        <v>14</v>
      </c>
      <c r="B94" s="78" t="s">
        <v>182</v>
      </c>
      <c r="C94" s="79">
        <f t="shared" si="2"/>
        <v>920181724</v>
      </c>
      <c r="D94" s="80">
        <f>25364000+1932000+165142000+105000+48000+8381882+232903371+281000+326126+85501355+54000-231000-1302308+140000</f>
        <v>518645426</v>
      </c>
      <c r="E94" s="81">
        <v>579000</v>
      </c>
      <c r="F94" s="82">
        <f>400743120+112360+2034476-1932658</f>
        <v>400957298</v>
      </c>
    </row>
    <row r="95" spans="1:6" ht="12" customHeight="1">
      <c r="A95" s="24" t="s">
        <v>16</v>
      </c>
      <c r="B95" s="83" t="s">
        <v>183</v>
      </c>
      <c r="C95" s="84">
        <f t="shared" si="2"/>
        <v>155527209</v>
      </c>
      <c r="D95" s="27">
        <f>5239000+425000+14000+19299000+23000+10000+922005+25618911+31000+35874+9405149+12000-45738-286508+51864</f>
        <v>60754557</v>
      </c>
      <c r="E95" s="28">
        <v>231000</v>
      </c>
      <c r="F95" s="85">
        <f>94550329+22247+440742-471666</f>
        <v>94541652</v>
      </c>
    </row>
    <row r="96" spans="1:6" ht="12" customHeight="1">
      <c r="A96" s="24" t="s">
        <v>18</v>
      </c>
      <c r="B96" s="83" t="s">
        <v>184</v>
      </c>
      <c r="C96" s="84">
        <f t="shared" si="2"/>
        <v>649524421</v>
      </c>
      <c r="D96" s="44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</f>
        <v>285908207</v>
      </c>
      <c r="E96" s="40">
        <f>1141350+59000</f>
        <v>1200350</v>
      </c>
      <c r="F96" s="85">
        <f>377214048+80000-14878184</f>
        <v>362415864</v>
      </c>
    </row>
    <row r="97" spans="1:6" ht="12" customHeight="1">
      <c r="A97" s="24" t="s">
        <v>20</v>
      </c>
      <c r="B97" s="83" t="s">
        <v>185</v>
      </c>
      <c r="C97" s="26">
        <f t="shared" si="2"/>
        <v>95230000</v>
      </c>
      <c r="D97" s="44">
        <f>70980000</f>
        <v>70980000</v>
      </c>
      <c r="E97" s="40">
        <v>24250000</v>
      </c>
      <c r="F97" s="85"/>
    </row>
    <row r="98" spans="1:6" ht="12" customHeight="1">
      <c r="A98" s="24" t="s">
        <v>186</v>
      </c>
      <c r="B98" s="86" t="s">
        <v>187</v>
      </c>
      <c r="C98" s="84">
        <f t="shared" si="2"/>
        <v>50569298</v>
      </c>
      <c r="D98" s="44">
        <f>SUM(D99:D110)</f>
        <v>50569298</v>
      </c>
      <c r="E98" s="40">
        <f>SUM(E99:E110)</f>
        <v>0</v>
      </c>
      <c r="F98" s="40"/>
    </row>
    <row r="99" spans="1:6" ht="12" customHeight="1">
      <c r="A99" s="24" t="s">
        <v>24</v>
      </c>
      <c r="B99" s="83" t="s">
        <v>188</v>
      </c>
      <c r="C99" s="26">
        <f t="shared" si="2"/>
        <v>7243544</v>
      </c>
      <c r="D99" s="44">
        <f>1500+6098534+1143510</f>
        <v>7243544</v>
      </c>
      <c r="E99" s="40"/>
      <c r="F99" s="40"/>
    </row>
    <row r="100" spans="1:6" ht="12" customHeight="1">
      <c r="A100" s="24" t="s">
        <v>189</v>
      </c>
      <c r="B100" s="87" t="s">
        <v>190</v>
      </c>
      <c r="C100" s="26">
        <f t="shared" si="2"/>
        <v>0</v>
      </c>
      <c r="D100" s="44"/>
      <c r="E100" s="40"/>
      <c r="F100" s="40"/>
    </row>
    <row r="101" spans="1:6" ht="12" customHeight="1">
      <c r="A101" s="24" t="s">
        <v>191</v>
      </c>
      <c r="B101" s="87" t="s">
        <v>192</v>
      </c>
      <c r="C101" s="26">
        <f t="shared" si="2"/>
        <v>0</v>
      </c>
      <c r="D101" s="44"/>
      <c r="E101" s="40"/>
      <c r="F101" s="40"/>
    </row>
    <row r="102" spans="1:6" ht="12" customHeight="1">
      <c r="A102" s="24" t="s">
        <v>193</v>
      </c>
      <c r="B102" s="88" t="s">
        <v>194</v>
      </c>
      <c r="C102" s="26">
        <f t="shared" si="2"/>
        <v>0</v>
      </c>
      <c r="D102" s="44"/>
      <c r="E102" s="40"/>
      <c r="F102" s="40"/>
    </row>
    <row r="103" spans="1:6" ht="12" customHeight="1">
      <c r="A103" s="24" t="s">
        <v>195</v>
      </c>
      <c r="B103" s="89" t="s">
        <v>196</v>
      </c>
      <c r="C103" s="26">
        <f t="shared" si="2"/>
        <v>0</v>
      </c>
      <c r="D103" s="44"/>
      <c r="E103" s="40"/>
      <c r="F103" s="40"/>
    </row>
    <row r="104" spans="1:6" ht="12" customHeight="1">
      <c r="A104" s="24" t="s">
        <v>197</v>
      </c>
      <c r="B104" s="89" t="s">
        <v>198</v>
      </c>
      <c r="C104" s="26">
        <f t="shared" si="2"/>
        <v>0</v>
      </c>
      <c r="D104" s="44"/>
      <c r="E104" s="40"/>
      <c r="F104" s="40"/>
    </row>
    <row r="105" spans="1:6" ht="12" customHeight="1">
      <c r="A105" s="24" t="s">
        <v>199</v>
      </c>
      <c r="B105" s="88" t="s">
        <v>200</v>
      </c>
      <c r="C105" s="26">
        <f t="shared" si="2"/>
        <v>60754</v>
      </c>
      <c r="D105" s="44">
        <v>60754</v>
      </c>
      <c r="E105" s="40"/>
      <c r="F105" s="40"/>
    </row>
    <row r="106" spans="1:6" ht="12" customHeight="1">
      <c r="A106" s="24" t="s">
        <v>201</v>
      </c>
      <c r="B106" s="88" t="s">
        <v>202</v>
      </c>
      <c r="C106" s="26">
        <f t="shared" si="2"/>
        <v>0</v>
      </c>
      <c r="D106" s="90"/>
      <c r="E106" s="40"/>
      <c r="F106" s="40"/>
    </row>
    <row r="107" spans="1:6" ht="12" customHeight="1">
      <c r="A107" s="24" t="s">
        <v>203</v>
      </c>
      <c r="B107" s="89" t="s">
        <v>204</v>
      </c>
      <c r="C107" s="26">
        <f t="shared" si="2"/>
        <v>0</v>
      </c>
      <c r="D107" s="44"/>
      <c r="E107" s="40"/>
      <c r="F107" s="40"/>
    </row>
    <row r="108" spans="1:6" ht="12" customHeight="1">
      <c r="A108" s="91" t="s">
        <v>205</v>
      </c>
      <c r="B108" s="87" t="s">
        <v>206</v>
      </c>
      <c r="C108" s="26">
        <f t="shared" si="2"/>
        <v>0</v>
      </c>
      <c r="D108" s="44"/>
      <c r="E108" s="40"/>
      <c r="F108" s="40"/>
    </row>
    <row r="109" spans="1:6" ht="12" customHeight="1">
      <c r="A109" s="24" t="s">
        <v>207</v>
      </c>
      <c r="B109" s="87" t="s">
        <v>208</v>
      </c>
      <c r="C109" s="26">
        <f t="shared" si="2"/>
        <v>0</v>
      </c>
      <c r="D109" s="44"/>
      <c r="E109" s="40"/>
      <c r="F109" s="40"/>
    </row>
    <row r="110" spans="1:6" ht="12" customHeight="1">
      <c r="A110" s="30" t="s">
        <v>209</v>
      </c>
      <c r="B110" s="87" t="s">
        <v>210</v>
      </c>
      <c r="C110" s="26">
        <f t="shared" si="2"/>
        <v>43265000</v>
      </c>
      <c r="D110" s="27">
        <f>536000+1500000+500000+4000000+200000+189000+7562000+16678000+3500000+6600000+2000000</f>
        <v>43265000</v>
      </c>
      <c r="E110" s="28"/>
      <c r="F110" s="40"/>
    </row>
    <row r="111" spans="1:6" ht="12" customHeight="1">
      <c r="A111" s="24" t="s">
        <v>211</v>
      </c>
      <c r="B111" s="83" t="s">
        <v>212</v>
      </c>
      <c r="C111" s="26">
        <f t="shared" si="2"/>
        <v>86522323</v>
      </c>
      <c r="D111" s="27">
        <f>SUM(D112:D113)</f>
        <v>86522323</v>
      </c>
      <c r="E111" s="28"/>
      <c r="F111" s="28">
        <f>SUM(F112:F113)</f>
        <v>0</v>
      </c>
    </row>
    <row r="112" spans="1:6" ht="12" customHeight="1">
      <c r="A112" s="24" t="s">
        <v>213</v>
      </c>
      <c r="B112" s="83" t="s">
        <v>214</v>
      </c>
      <c r="C112" s="26">
        <f t="shared" si="2"/>
        <v>15536353</v>
      </c>
      <c r="D112" s="44">
        <f>20000000-9172313+8719388-4010722</f>
        <v>15536353</v>
      </c>
      <c r="E112" s="40"/>
      <c r="F112" s="28"/>
    </row>
    <row r="113" spans="1:6" ht="12" customHeight="1" thickBot="1">
      <c r="A113" s="92" t="s">
        <v>215</v>
      </c>
      <c r="B113" s="93" t="s">
        <v>216</v>
      </c>
      <c r="C113" s="94">
        <f t="shared" si="2"/>
        <v>70985970</v>
      </c>
      <c r="D113" s="95">
        <f>111113300-8373330-1600000-8539600-6323156-7948000-7343244</f>
        <v>70985970</v>
      </c>
      <c r="E113" s="96"/>
      <c r="F113" s="96"/>
    </row>
    <row r="114" spans="1:6" ht="12" customHeight="1" thickBot="1">
      <c r="A114" s="97" t="s">
        <v>26</v>
      </c>
      <c r="B114" s="98" t="s">
        <v>217</v>
      </c>
      <c r="C114" s="15">
        <f t="shared" si="2"/>
        <v>167477074</v>
      </c>
      <c r="D114" s="16">
        <f>+D115+D117+D119</f>
        <v>161024654</v>
      </c>
      <c r="E114" s="17">
        <f>+E115+E117+E119</f>
        <v>0</v>
      </c>
      <c r="F114" s="99">
        <f>+F115+F117+F119</f>
        <v>6452420</v>
      </c>
    </row>
    <row r="115" spans="1:6" ht="18.75" customHeight="1">
      <c r="A115" s="19" t="s">
        <v>28</v>
      </c>
      <c r="B115" s="83" t="s">
        <v>218</v>
      </c>
      <c r="C115" s="79">
        <f t="shared" si="2"/>
        <v>53389171</v>
      </c>
      <c r="D115" s="22">
        <f>6621000+787402+10624171+3081125+529000+1654000+447000+2237000+6604000+204000+15179276+979170-1000000+90000</f>
        <v>48037144</v>
      </c>
      <c r="E115" s="23"/>
      <c r="F115" s="23">
        <f>5617027-265000</f>
        <v>5352027</v>
      </c>
    </row>
    <row r="116" spans="1:6" ht="12" customHeight="1">
      <c r="A116" s="19" t="s">
        <v>30</v>
      </c>
      <c r="B116" s="100" t="s">
        <v>219</v>
      </c>
      <c r="C116" s="84">
        <f t="shared" si="2"/>
        <v>13492698</v>
      </c>
      <c r="D116" s="22">
        <f>14492698-1000000</f>
        <v>13492698</v>
      </c>
      <c r="E116" s="23"/>
      <c r="F116" s="23"/>
    </row>
    <row r="117" spans="1:6" ht="12" customHeight="1">
      <c r="A117" s="19" t="s">
        <v>32</v>
      </c>
      <c r="B117" s="100" t="s">
        <v>220</v>
      </c>
      <c r="C117" s="84">
        <f t="shared" si="2"/>
        <v>68267903</v>
      </c>
      <c r="D117" s="27">
        <f>53340000+1513000+2996000+809000+7509510+1000000</f>
        <v>67167510</v>
      </c>
      <c r="E117" s="28"/>
      <c r="F117" s="28">
        <f>500000-134607+578000+157000</f>
        <v>1100393</v>
      </c>
    </row>
    <row r="118" spans="1:6" ht="12" customHeight="1">
      <c r="A118" s="19" t="s">
        <v>34</v>
      </c>
      <c r="B118" s="100" t="s">
        <v>221</v>
      </c>
      <c r="C118" s="84">
        <f t="shared" si="2"/>
        <v>54340000</v>
      </c>
      <c r="D118" s="27">
        <f>53340000+1000000</f>
        <v>54340000</v>
      </c>
      <c r="E118" s="101"/>
      <c r="F118" s="101"/>
    </row>
    <row r="119" spans="1:6" ht="12" customHeight="1">
      <c r="A119" s="19" t="s">
        <v>36</v>
      </c>
      <c r="B119" s="31" t="s">
        <v>222</v>
      </c>
      <c r="C119" s="26">
        <f t="shared" si="2"/>
        <v>45820000</v>
      </c>
      <c r="D119" s="44">
        <f>SUM(D120:D127)</f>
        <v>45820000</v>
      </c>
      <c r="E119" s="27"/>
      <c r="F119" s="27"/>
    </row>
    <row r="120" spans="1:6" ht="12" customHeight="1">
      <c r="A120" s="19" t="s">
        <v>38</v>
      </c>
      <c r="B120" s="29" t="s">
        <v>223</v>
      </c>
      <c r="C120" s="26">
        <f t="shared" si="2"/>
        <v>0</v>
      </c>
      <c r="D120" s="33"/>
      <c r="E120" s="33"/>
      <c r="F120" s="33"/>
    </row>
    <row r="121" spans="1:6" ht="12" customHeight="1">
      <c r="A121" s="19" t="s">
        <v>224</v>
      </c>
      <c r="B121" s="102" t="s">
        <v>225</v>
      </c>
      <c r="C121" s="26">
        <f t="shared" si="2"/>
        <v>0</v>
      </c>
      <c r="D121" s="33"/>
      <c r="E121" s="33"/>
      <c r="F121" s="33"/>
    </row>
    <row r="122" spans="1:6" ht="15.75">
      <c r="A122" s="19" t="s">
        <v>226</v>
      </c>
      <c r="B122" s="89" t="s">
        <v>198</v>
      </c>
      <c r="C122" s="26">
        <f t="shared" si="2"/>
        <v>0</v>
      </c>
      <c r="D122" s="33"/>
      <c r="E122" s="33"/>
      <c r="F122" s="33"/>
    </row>
    <row r="123" spans="1:6" ht="12" customHeight="1">
      <c r="A123" s="19" t="s">
        <v>227</v>
      </c>
      <c r="B123" s="89" t="s">
        <v>228</v>
      </c>
      <c r="C123" s="26">
        <f t="shared" si="2"/>
        <v>0</v>
      </c>
      <c r="D123" s="33"/>
      <c r="E123" s="33"/>
      <c r="F123" s="33"/>
    </row>
    <row r="124" spans="1:6" ht="12" customHeight="1">
      <c r="A124" s="19" t="s">
        <v>229</v>
      </c>
      <c r="B124" s="89" t="s">
        <v>230</v>
      </c>
      <c r="C124" s="26">
        <f t="shared" si="2"/>
        <v>0</v>
      </c>
      <c r="D124" s="33"/>
      <c r="E124" s="33"/>
      <c r="F124" s="33"/>
    </row>
    <row r="125" spans="1:6" ht="12" customHeight="1">
      <c r="A125" s="19" t="s">
        <v>231</v>
      </c>
      <c r="B125" s="89" t="s">
        <v>204</v>
      </c>
      <c r="C125" s="26">
        <f t="shared" si="2"/>
        <v>0</v>
      </c>
      <c r="D125" s="33"/>
      <c r="E125" s="33"/>
      <c r="F125" s="33"/>
    </row>
    <row r="126" spans="1:6" ht="12" customHeight="1">
      <c r="A126" s="19" t="s">
        <v>232</v>
      </c>
      <c r="B126" s="89" t="s">
        <v>233</v>
      </c>
      <c r="C126" s="26">
        <f t="shared" si="2"/>
        <v>0</v>
      </c>
      <c r="D126" s="33"/>
      <c r="E126" s="33"/>
      <c r="F126" s="33"/>
    </row>
    <row r="127" spans="1:6" ht="16.5" thickBot="1">
      <c r="A127" s="91" t="s">
        <v>234</v>
      </c>
      <c r="B127" s="89" t="s">
        <v>235</v>
      </c>
      <c r="C127" s="32">
        <f t="shared" si="2"/>
        <v>45820000</v>
      </c>
      <c r="D127" s="39">
        <f>42072000+2400000+1348000</f>
        <v>45820000</v>
      </c>
      <c r="E127" s="44"/>
      <c r="F127" s="39"/>
    </row>
    <row r="128" spans="1:6" ht="12" customHeight="1" thickBot="1">
      <c r="A128" s="13" t="s">
        <v>40</v>
      </c>
      <c r="B128" s="103" t="s">
        <v>236</v>
      </c>
      <c r="C128" s="15">
        <f t="shared" si="2"/>
        <v>2125032049</v>
      </c>
      <c r="D128" s="16">
        <f>+D93+D114</f>
        <v>1234404465</v>
      </c>
      <c r="E128" s="17">
        <f>+E93+E114</f>
        <v>26260350</v>
      </c>
      <c r="F128" s="17">
        <f>+F93+F114</f>
        <v>864367234</v>
      </c>
    </row>
    <row r="129" spans="1:6" ht="12" customHeight="1" thickBot="1">
      <c r="A129" s="13" t="s">
        <v>237</v>
      </c>
      <c r="B129" s="103" t="s">
        <v>238</v>
      </c>
      <c r="C129" s="50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0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100" t="s">
        <v>240</v>
      </c>
      <c r="C131" s="26">
        <f t="shared" si="2"/>
        <v>0</v>
      </c>
      <c r="D131" s="33"/>
      <c r="E131" s="33"/>
      <c r="F131" s="33"/>
    </row>
    <row r="132" spans="1:6" ht="12" customHeight="1" thickBot="1">
      <c r="A132" s="91" t="s">
        <v>66</v>
      </c>
      <c r="B132" s="100" t="s">
        <v>241</v>
      </c>
      <c r="C132" s="32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3" t="s">
        <v>242</v>
      </c>
      <c r="C133" s="5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4" t="s">
        <v>243</v>
      </c>
      <c r="C134" s="21">
        <f t="shared" si="2"/>
        <v>0</v>
      </c>
      <c r="D134" s="33"/>
      <c r="E134" s="33"/>
      <c r="F134" s="33"/>
    </row>
    <row r="135" spans="1:6" ht="12" customHeight="1">
      <c r="A135" s="19" t="s">
        <v>74</v>
      </c>
      <c r="B135" s="104" t="s">
        <v>244</v>
      </c>
      <c r="C135" s="26">
        <f t="shared" si="2"/>
        <v>0</v>
      </c>
      <c r="D135" s="33"/>
      <c r="E135" s="33"/>
      <c r="F135" s="33"/>
    </row>
    <row r="136" spans="1:6" ht="12" customHeight="1">
      <c r="A136" s="19" t="s">
        <v>76</v>
      </c>
      <c r="B136" s="104" t="s">
        <v>245</v>
      </c>
      <c r="C136" s="26">
        <f t="shared" si="2"/>
        <v>0</v>
      </c>
      <c r="D136" s="33"/>
      <c r="E136" s="33"/>
      <c r="F136" s="33"/>
    </row>
    <row r="137" spans="1:6" ht="12" customHeight="1">
      <c r="A137" s="19" t="s">
        <v>78</v>
      </c>
      <c r="B137" s="104" t="s">
        <v>246</v>
      </c>
      <c r="C137" s="26">
        <f t="shared" si="2"/>
        <v>0</v>
      </c>
      <c r="D137" s="33"/>
      <c r="E137" s="33"/>
      <c r="F137" s="33"/>
    </row>
    <row r="138" spans="1:6" ht="12" customHeight="1">
      <c r="A138" s="19" t="s">
        <v>80</v>
      </c>
      <c r="B138" s="104" t="s">
        <v>247</v>
      </c>
      <c r="C138" s="26">
        <f t="shared" si="2"/>
        <v>0</v>
      </c>
      <c r="D138" s="33"/>
      <c r="E138" s="33"/>
      <c r="F138" s="33"/>
    </row>
    <row r="139" spans="1:6" ht="12" customHeight="1" thickBot="1">
      <c r="A139" s="91" t="s">
        <v>82</v>
      </c>
      <c r="B139" s="104" t="s">
        <v>248</v>
      </c>
      <c r="C139" s="32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3" t="s">
        <v>249</v>
      </c>
      <c r="C140" s="15">
        <f t="shared" si="2"/>
        <v>35164932</v>
      </c>
      <c r="D140" s="46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4" t="s">
        <v>250</v>
      </c>
      <c r="C141" s="21">
        <f t="shared" si="2"/>
        <v>0</v>
      </c>
      <c r="D141" s="33"/>
      <c r="E141" s="33"/>
      <c r="F141" s="33"/>
    </row>
    <row r="142" spans="1:6" ht="12" customHeight="1">
      <c r="A142" s="19" t="s">
        <v>98</v>
      </c>
      <c r="B142" s="104" t="s">
        <v>251</v>
      </c>
      <c r="C142" s="26">
        <f t="shared" si="2"/>
        <v>35164932</v>
      </c>
      <c r="D142" s="33">
        <v>35164932</v>
      </c>
      <c r="E142" s="33"/>
      <c r="F142" s="33"/>
    </row>
    <row r="143" spans="1:6" ht="12" customHeight="1">
      <c r="A143" s="19" t="s">
        <v>100</v>
      </c>
      <c r="B143" s="104" t="s">
        <v>252</v>
      </c>
      <c r="C143" s="26">
        <f t="shared" si="2"/>
        <v>0</v>
      </c>
      <c r="D143" s="33"/>
      <c r="E143" s="33"/>
      <c r="F143" s="33"/>
    </row>
    <row r="144" spans="1:6" ht="12" customHeight="1" thickBot="1">
      <c r="A144" s="91" t="s">
        <v>102</v>
      </c>
      <c r="B144" s="86" t="s">
        <v>253</v>
      </c>
      <c r="C144" s="32">
        <f t="shared" si="2"/>
        <v>0</v>
      </c>
      <c r="D144" s="33"/>
      <c r="E144" s="33"/>
      <c r="F144" s="33"/>
    </row>
    <row r="145" spans="1:6" ht="12" customHeight="1" thickBot="1">
      <c r="A145" s="13" t="s">
        <v>254</v>
      </c>
      <c r="B145" s="103" t="s">
        <v>255</v>
      </c>
      <c r="C145" s="50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6" ht="12" customHeight="1">
      <c r="A146" s="19" t="s">
        <v>108</v>
      </c>
      <c r="B146" s="104" t="s">
        <v>256</v>
      </c>
      <c r="C146" s="21">
        <f t="shared" si="2"/>
        <v>0</v>
      </c>
      <c r="D146" s="33"/>
      <c r="E146" s="33"/>
      <c r="F146" s="33"/>
    </row>
    <row r="147" spans="1:6" ht="12" customHeight="1">
      <c r="A147" s="19" t="s">
        <v>110</v>
      </c>
      <c r="B147" s="104" t="s">
        <v>257</v>
      </c>
      <c r="C147" s="26">
        <f t="shared" si="2"/>
        <v>0</v>
      </c>
      <c r="D147" s="33"/>
      <c r="E147" s="33"/>
      <c r="F147" s="33"/>
    </row>
    <row r="148" spans="1:6" ht="12" customHeight="1">
      <c r="A148" s="19" t="s">
        <v>112</v>
      </c>
      <c r="B148" s="104" t="s">
        <v>258</v>
      </c>
      <c r="C148" s="26">
        <f t="shared" si="2"/>
        <v>0</v>
      </c>
      <c r="D148" s="33"/>
      <c r="E148" s="33"/>
      <c r="F148" s="33"/>
    </row>
    <row r="149" spans="1:6" ht="12" customHeight="1">
      <c r="A149" s="19" t="s">
        <v>114</v>
      </c>
      <c r="B149" s="104" t="s">
        <v>259</v>
      </c>
      <c r="C149" s="26">
        <f t="shared" si="2"/>
        <v>0</v>
      </c>
      <c r="D149" s="33"/>
      <c r="E149" s="33"/>
      <c r="F149" s="33"/>
    </row>
    <row r="150" spans="1:6" ht="12" customHeight="1" thickBot="1">
      <c r="A150" s="19" t="s">
        <v>260</v>
      </c>
      <c r="B150" s="104" t="s">
        <v>261</v>
      </c>
      <c r="C150" s="32">
        <f t="shared" si="2"/>
        <v>0</v>
      </c>
      <c r="D150" s="39"/>
      <c r="E150" s="39"/>
      <c r="F150" s="33"/>
    </row>
    <row r="151" spans="1:6" ht="12" customHeight="1" thickBot="1">
      <c r="A151" s="13" t="s">
        <v>116</v>
      </c>
      <c r="B151" s="103" t="s">
        <v>262</v>
      </c>
      <c r="C151" s="17">
        <f t="shared" si="2"/>
        <v>0</v>
      </c>
      <c r="D151" s="105"/>
      <c r="E151" s="106"/>
      <c r="F151" s="107"/>
    </row>
    <row r="152" spans="1:6" ht="12" customHeight="1" thickBot="1">
      <c r="A152" s="13" t="s">
        <v>263</v>
      </c>
      <c r="B152" s="103" t="s">
        <v>264</v>
      </c>
      <c r="C152" s="75">
        <f t="shared" si="2"/>
        <v>0</v>
      </c>
      <c r="D152" s="105"/>
      <c r="E152" s="106"/>
      <c r="F152" s="107"/>
    </row>
    <row r="153" spans="1:9" ht="15" customHeight="1" thickBot="1">
      <c r="A153" s="13" t="s">
        <v>265</v>
      </c>
      <c r="B153" s="103" t="s">
        <v>266</v>
      </c>
      <c r="C153" s="75">
        <f t="shared" si="2"/>
        <v>35164932</v>
      </c>
      <c r="D153" s="108">
        <f>+D129+D133+D140+D145+D151+D152</f>
        <v>35164932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6" s="18" customFormat="1" ht="12.75" customHeight="1" thickBot="1">
      <c r="A154" s="111" t="s">
        <v>267</v>
      </c>
      <c r="B154" s="112" t="s">
        <v>268</v>
      </c>
      <c r="C154" s="17">
        <f t="shared" si="2"/>
        <v>2160196981</v>
      </c>
      <c r="D154" s="108">
        <f>+D128+D153</f>
        <v>1269569397</v>
      </c>
      <c r="E154" s="109">
        <f>+E128+E153</f>
        <v>26260350</v>
      </c>
      <c r="F154" s="109">
        <f>+F128+F153</f>
        <v>864367234</v>
      </c>
    </row>
    <row r="155" ht="7.5" customHeight="1"/>
    <row r="156" spans="1:3" ht="15.75">
      <c r="A156" s="114" t="s">
        <v>269</v>
      </c>
      <c r="B156" s="114"/>
      <c r="C156" s="114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5" t="s">
        <v>271</v>
      </c>
      <c r="C158" s="17">
        <f>+C62-C128</f>
        <v>71317021</v>
      </c>
    </row>
    <row r="159" spans="1:3" ht="27.75" customHeight="1" thickBot="1">
      <c r="A159" s="13" t="s">
        <v>26</v>
      </c>
      <c r="B159" s="115" t="s">
        <v>272</v>
      </c>
      <c r="C159" s="17">
        <f>+C86-C153</f>
        <v>256969033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18/2017(V.26.)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2017-05-30T09:22:31Z</dcterms:created>
  <dcterms:modified xsi:type="dcterms:W3CDTF">2017-05-30T09:22:31Z</dcterms:modified>
  <cp:category/>
  <cp:version/>
  <cp:contentType/>
  <cp:contentStatus/>
</cp:coreProperties>
</file>