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830" windowHeight="4800" tabRatio="895" firstSheet="4" activeTab="11"/>
  </bookViews>
  <sheets>
    <sheet name="1. bevételek" sheetId="1" r:id="rId1"/>
    <sheet name="2. kiadások 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 létszámok" sheetId="7" r:id="rId7"/>
    <sheet name="8.felhki" sheetId="8" r:id="rId8"/>
    <sheet name="9.tart" sheetId="9" r:id="rId9"/>
    <sheet name="10. Stab.tv.saját bev" sheetId="10" r:id="rId10"/>
    <sheet name="11.normatívák" sheetId="11" r:id="rId11"/>
    <sheet name="12. Eu projektek" sheetId="12" r:id="rId12"/>
  </sheets>
  <definedNames>
    <definedName name="_xlnm.Print_Titles" localSheetId="0">'1. bevételek'!$5:$6</definedName>
    <definedName name="_xlnm.Print_Titles" localSheetId="1">'2. kiadások 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 létszámok'!$7:$7</definedName>
    <definedName name="_xlnm.Print_Titles" localSheetId="7">'8.felhki'!$6:$7</definedName>
    <definedName name="_xlnm.Print_Titles" localSheetId="8">'9.tart'!$7:$7</definedName>
    <definedName name="_xlnm.Print_Area" localSheetId="0">'1. bevételek'!$A$1:$I$198</definedName>
    <definedName name="_xlnm.Print_Area" localSheetId="9">'10. Stab.tv.saját bev'!$A$1:$I$14</definedName>
    <definedName name="_xlnm.Print_Area" localSheetId="10">'11.normatívák'!$A$1:$L$55</definedName>
    <definedName name="_xlnm.Print_Area" localSheetId="11">'12. Eu projektek'!$A$1:$K$48</definedName>
    <definedName name="_xlnm.Print_Area" localSheetId="1">'2. kiadások '!$A$1:$I$75</definedName>
    <definedName name="_xlnm.Print_Area" localSheetId="3">'4.önkorm.szakf. '!$D$1:$Z$57</definedName>
    <definedName name="_xlnm.Print_Area" localSheetId="4">'5. kiadások megbontása'!$A$1:$M$82</definedName>
    <definedName name="_xlnm.Print_Area" localSheetId="5">'6. források sz. bontás'!$A$1:$AC$62</definedName>
    <definedName name="_xlnm.Print_Area" localSheetId="6">'7. létszámok'!$A$1:$M$72</definedName>
    <definedName name="_xlnm.Print_Area" localSheetId="7">'8.felhki'!$A$1:$D$70</definedName>
  </definedNames>
  <calcPr fullCalcOnLoad="1"/>
</workbook>
</file>

<file path=xl/sharedStrings.xml><?xml version="1.0" encoding="utf-8"?>
<sst xmlns="http://schemas.openxmlformats.org/spreadsheetml/2006/main" count="1699" uniqueCount="1087">
  <si>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</si>
  <si>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</si>
  <si>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</si>
  <si>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</si>
  <si>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</si>
  <si>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</si>
  <si>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</si>
  <si>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</si>
  <si>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</si>
  <si>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</si>
  <si>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</si>
  <si>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</si>
  <si>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</si>
  <si>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</si>
  <si>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</si>
  <si>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</si>
  <si>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</si>
  <si>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</si>
  <si>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</si>
  <si>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</si>
  <si>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</si>
  <si>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</si>
  <si>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</si>
  <si>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</si>
  <si>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</si>
  <si>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</si>
  <si>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</si>
  <si>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</si>
  <si>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</si>
  <si>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</si>
  <si>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</si>
  <si>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</si>
  <si>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</si>
  <si>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</si>
  <si>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</si>
  <si>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</si>
  <si>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</si>
  <si>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</si>
  <si>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</si>
  <si>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</si>
  <si>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</si>
  <si>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</si>
  <si>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</si>
  <si>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</si>
  <si>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5.4. Tartalékok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</si>
  <si>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</si>
  <si>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</si>
  <si>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</si>
  <si>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</si>
  <si>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</si>
  <si>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</si>
  <si>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</si>
  <si>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</si>
  <si>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</si>
  <si>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</si>
  <si>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</si>
  <si>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</si>
  <si>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</si>
  <si>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</si>
  <si>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</si>
  <si>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</si>
  <si>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</si>
  <si>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</si>
  <si>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</si>
  <si>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</si>
  <si>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</si>
  <si>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</si>
  <si>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</si>
  <si>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</si>
  <si>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</si>
  <si>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</si>
  <si>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</si>
  <si>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</si>
  <si>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</si>
  <si>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</si>
  <si>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</si>
  <si>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</si>
  <si>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</si>
  <si>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</si>
  <si>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</si>
  <si>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</si>
  <si>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</si>
  <si>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</si>
  <si>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102030</t>
  </si>
  <si>
    <t>104042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</si>
  <si>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</si>
  <si>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</si>
  <si>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</si>
  <si>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</si>
  <si>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</si>
  <si>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</si>
  <si>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</si>
  <si>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</si>
  <si>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</si>
  <si>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</si>
  <si>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</si>
  <si>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</si>
  <si>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</si>
  <si>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</si>
  <si>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 xml:space="preserve">Hajléktalanok átmeneti ellátása 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</si>
  <si>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</si>
  <si>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</si>
  <si>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</si>
  <si>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</si>
  <si>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</si>
  <si>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</si>
  <si>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</si>
  <si>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</si>
  <si>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</si>
  <si>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 xml:space="preserve"> 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</si>
  <si>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</si>
  <si>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</si>
  <si>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</si>
  <si>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</si>
  <si>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</si>
  <si>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</si>
  <si>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</si>
  <si>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</si>
  <si>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</si>
  <si>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</si>
  <si>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</si>
  <si>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</si>
  <si>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</si>
  <si>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</si>
  <si>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</si>
  <si>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</si>
  <si>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</si>
  <si>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</si>
  <si>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</si>
  <si>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</si>
  <si>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</si>
  <si>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</si>
  <si>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</si>
  <si>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</si>
  <si>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</si>
  <si>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</si>
  <si>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</si>
  <si>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</si>
  <si>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</si>
  <si>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</si>
  <si>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</si>
  <si>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</si>
  <si>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</si>
  <si>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</si>
  <si>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</si>
  <si>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</si>
  <si>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</si>
  <si>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</si>
  <si>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</si>
  <si>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</si>
  <si>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</si>
  <si>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</si>
  <si>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</si>
  <si>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</si>
  <si>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353/2011. (XII. 30.) Korm. rendelet 2.§ (1) bek. szerinti saját bevétel összege az adósságot keletkeztető ügyletek (viziközmű-társulati hitel kapcsán vállalt készfizető kezesség)  futamidejének végéig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</si>
  <si>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</si>
  <si>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</si>
  <si>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</si>
  <si>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</si>
  <si>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</si>
  <si>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</si>
  <si>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</si>
  <si>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</si>
  <si>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</si>
  <si>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</si>
  <si>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</si>
  <si>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</si>
  <si>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</si>
  <si>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</si>
  <si>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</si>
  <si>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</si>
  <si>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</si>
  <si>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</si>
  <si>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</si>
  <si>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</si>
  <si>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</si>
  <si>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</si>
  <si>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</si>
  <si>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</si>
  <si>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</si>
  <si>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</si>
  <si>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</si>
  <si>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</si>
  <si>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</si>
  <si>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</si>
  <si>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</si>
  <si>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</si>
  <si>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</si>
  <si>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</si>
  <si>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</si>
  <si>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</si>
  <si>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</si>
  <si>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</si>
  <si>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</si>
  <si>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</si>
  <si>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</si>
  <si>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</si>
  <si>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</si>
  <si>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</si>
  <si>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</si>
  <si>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</si>
  <si>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</si>
  <si>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</si>
  <si>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</si>
  <si>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</si>
  <si>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</si>
  <si>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</si>
  <si>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</si>
  <si>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</si>
  <si>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</si>
  <si>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</si>
  <si>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</si>
  <si>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</si>
  <si>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</si>
  <si>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</si>
  <si>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</si>
  <si>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</si>
  <si>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</si>
  <si>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</si>
  <si>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</si>
  <si>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</si>
  <si>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</si>
  <si>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</si>
  <si>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</si>
  <si>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</si>
  <si>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</si>
  <si>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</si>
  <si>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</si>
  <si>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</si>
  <si>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</si>
  <si>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</si>
  <si>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</si>
  <si>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</si>
  <si>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</si>
  <si>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</si>
  <si>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</si>
  <si>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</si>
  <si>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</si>
  <si>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</si>
  <si>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</si>
  <si>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</si>
  <si>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</si>
  <si>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</si>
  <si>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</si>
  <si>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</si>
  <si>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</si>
  <si>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</si>
  <si>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</si>
  <si>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</si>
  <si>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</si>
  <si>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</si>
  <si>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</si>
  <si>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</si>
  <si>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</si>
  <si>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</si>
  <si>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</si>
  <si>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</si>
  <si>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</si>
  <si>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</si>
  <si>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</si>
  <si>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</si>
  <si>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</si>
  <si>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</si>
  <si>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</si>
  <si>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</si>
  <si>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</si>
  <si>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</si>
  <si>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</si>
  <si>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</si>
  <si>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</si>
  <si>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</si>
  <si>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</si>
  <si>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</si>
  <si>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</si>
  <si>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</si>
  <si>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</si>
  <si>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</si>
  <si>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</si>
  <si>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</si>
  <si>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</si>
  <si>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</si>
  <si>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</si>
  <si>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</si>
  <si>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</si>
  <si>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</si>
  <si>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</si>
  <si>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</si>
  <si>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</si>
  <si>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</si>
  <si>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</si>
  <si>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</si>
  <si>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</si>
  <si>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</si>
  <si>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</si>
  <si>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</si>
  <si>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</si>
  <si>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</si>
  <si>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</si>
  <si>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</si>
  <si>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</si>
  <si>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</si>
  <si>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</si>
  <si>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</si>
  <si>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</si>
  <si>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</si>
  <si>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</si>
  <si>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</si>
  <si>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</si>
  <si>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</si>
  <si>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</si>
  <si>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</si>
  <si>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</si>
  <si>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</si>
  <si>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</si>
  <si>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</si>
  <si>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</si>
  <si>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</si>
  <si>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</si>
  <si>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</si>
  <si>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</si>
  <si>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</si>
  <si>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</si>
  <si>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</si>
  <si>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</si>
  <si>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</si>
  <si>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</si>
  <si>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</si>
  <si>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</si>
  <si>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</si>
  <si>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</si>
  <si>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</si>
  <si>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</si>
  <si>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</si>
  <si>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</si>
  <si>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</si>
  <si>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</si>
  <si>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</si>
  <si>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</si>
  <si>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</si>
  <si>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</si>
  <si>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</si>
  <si>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</si>
  <si>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</si>
  <si>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</si>
  <si>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</si>
  <si>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</si>
  <si>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</si>
  <si>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</si>
  <si>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</si>
  <si>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</si>
  <si>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</si>
  <si>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</si>
  <si>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</si>
  <si>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</si>
  <si>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</si>
  <si>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</si>
  <si>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</si>
  <si>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</si>
  <si>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</si>
  <si>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</si>
  <si>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</si>
  <si>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</si>
  <si>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</si>
  <si>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</si>
  <si>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</si>
  <si>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</si>
  <si>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</si>
  <si>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</si>
  <si>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</si>
  <si>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</si>
  <si>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</si>
  <si>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</si>
  <si>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</si>
  <si>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</si>
  <si>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</si>
  <si>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</si>
  <si>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</si>
  <si>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</si>
  <si>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</si>
  <si>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</si>
  <si>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</si>
  <si>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</si>
  <si>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</si>
  <si>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</si>
  <si>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</si>
  <si>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</si>
  <si>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</si>
  <si>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</si>
  <si>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</si>
  <si>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</si>
  <si>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Diákélelmezési Konyha</t>
  </si>
  <si>
    <t>- Tűzoltók (közalkalmazottak)</t>
  </si>
  <si>
    <t xml:space="preserve">Közfoglalkoztatás </t>
  </si>
  <si>
    <t>Ügyeleti Szolgálat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</si>
  <si>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</si>
  <si>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</si>
  <si>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</si>
  <si>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</si>
  <si>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</si>
  <si>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</si>
  <si>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</si>
  <si>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</si>
  <si>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</si>
  <si>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</si>
  <si>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</si>
  <si>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</si>
  <si>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</si>
  <si>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</si>
  <si>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</si>
  <si>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</si>
  <si>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</si>
  <si>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</si>
  <si>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</si>
  <si>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</si>
  <si>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</si>
  <si>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</si>
  <si>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</si>
  <si>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</si>
  <si>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</si>
  <si>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</si>
  <si>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</si>
  <si>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</si>
  <si>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</si>
  <si>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</si>
  <si>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</si>
  <si>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</si>
  <si>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</si>
  <si>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</si>
  <si>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</si>
  <si>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</si>
  <si>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</si>
  <si>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</si>
  <si>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</si>
  <si>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</si>
  <si>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</si>
  <si>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</si>
  <si>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</si>
  <si>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</si>
  <si>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</si>
  <si>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</si>
  <si>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</si>
  <si>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</si>
  <si>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</si>
  <si>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</si>
  <si>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</si>
  <si>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</si>
  <si>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</si>
  <si>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</si>
  <si>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</si>
  <si>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</si>
  <si>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</si>
  <si>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</si>
  <si>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</si>
  <si>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</si>
  <si>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</si>
  <si>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</si>
  <si>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</si>
  <si>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</si>
  <si>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</si>
  <si>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</si>
  <si>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</si>
  <si>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</si>
  <si>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</si>
  <si>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</si>
  <si>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</si>
  <si>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</si>
  <si>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</si>
  <si>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</si>
  <si>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</si>
  <si>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Helyi önkorm. összesen:</t>
  </si>
  <si>
    <t xml:space="preserve">- Köztisztviselők                      </t>
  </si>
  <si>
    <t>HELYI ÖNKORMÁNYZAT ÉS INTÉZMÉNYEI ÖSSZESEN:</t>
  </si>
  <si>
    <t>Összesen</t>
  </si>
  <si>
    <t>3. osztalék, koncessziós díj és hozambevétel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</si>
  <si>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</si>
  <si>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</si>
  <si>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</si>
  <si>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</si>
  <si>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</si>
  <si>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</si>
  <si>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</si>
  <si>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</si>
  <si>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</si>
  <si>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</si>
  <si>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</si>
  <si>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</si>
  <si>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</si>
  <si>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</si>
  <si>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</si>
  <si>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</si>
  <si>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</si>
  <si>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</si>
  <si>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</si>
  <si>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</si>
  <si>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</si>
  <si>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</si>
  <si>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</si>
  <si>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</si>
  <si>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</si>
  <si>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</si>
  <si>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</si>
  <si>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</si>
  <si>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</si>
  <si>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</si>
  <si>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</si>
  <si>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</si>
  <si>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</si>
  <si>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</si>
  <si>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</si>
  <si>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</si>
  <si>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</si>
  <si>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</si>
  <si>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</si>
  <si>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</si>
  <si>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</si>
  <si>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</si>
  <si>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</si>
  <si>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</si>
  <si>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</si>
  <si>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</si>
  <si>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</si>
  <si>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</si>
  <si>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</si>
  <si>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</si>
  <si>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</si>
  <si>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</si>
  <si>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</si>
  <si>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</si>
  <si>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</si>
  <si>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</si>
  <si>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</si>
  <si>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</si>
  <si>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</si>
  <si>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</si>
  <si>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</si>
  <si>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</si>
  <si>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</si>
  <si>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</si>
  <si>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</si>
  <si>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</si>
  <si>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</si>
  <si>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</si>
  <si>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</si>
  <si>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</si>
  <si>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</si>
  <si>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</si>
  <si>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</si>
  <si>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</si>
  <si>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</si>
  <si>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</si>
  <si>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</si>
  <si>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</si>
  <si>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</si>
  <si>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36</t>
  </si>
  <si>
    <t>37</t>
  </si>
  <si>
    <t>38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</si>
  <si>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</si>
  <si>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</si>
  <si>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</si>
  <si>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</si>
  <si>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</si>
  <si>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</si>
  <si>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</si>
  <si>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</si>
  <si>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</si>
  <si>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</si>
  <si>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</si>
  <si>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</si>
  <si>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</si>
  <si>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</si>
  <si>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</si>
  <si>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</si>
  <si>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</si>
  <si>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</si>
  <si>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</si>
  <si>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</si>
  <si>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</si>
  <si>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Ügyeleti ellátáshoz OEP-finanszírozás</t>
  </si>
  <si>
    <t>Család- és nővédelmi eü. gondozáshoz OEP-finanszírozás</t>
  </si>
  <si>
    <t>Tűzoltóság BM támogatása</t>
  </si>
  <si>
    <t>Építéshatósági eljárási díj</t>
  </si>
  <si>
    <t>Anyakönyvi szolg. díjbevétele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</si>
  <si>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</si>
  <si>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</si>
  <si>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</si>
  <si>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</si>
  <si>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</si>
  <si>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</si>
  <si>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</si>
  <si>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</si>
  <si>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</si>
  <si>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</si>
  <si>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</si>
  <si>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</si>
  <si>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</si>
  <si>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</si>
  <si>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</si>
  <si>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</si>
  <si>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</si>
  <si>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</si>
  <si>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</si>
  <si>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</si>
  <si>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</si>
  <si>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</si>
  <si>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</si>
  <si>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</si>
  <si>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</si>
  <si>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</si>
  <si>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3.4. Tulajdonosi bevételek</t>
  </si>
  <si>
    <t>082030</t>
  </si>
  <si>
    <t>082042</t>
  </si>
  <si>
    <t>Konyha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</si>
  <si>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</si>
  <si>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</si>
  <si>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</si>
  <si>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</si>
  <si>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</si>
  <si>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Közművelődés- hagyományos közösségi kulturális értékek gondozása</t>
  </si>
  <si>
    <t>Nyitnikék Gyerekház</t>
  </si>
  <si>
    <t>Szociális feladatok egyéb támogatása</t>
  </si>
  <si>
    <t>Nyitnikék Gyerekház fejezeti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</si>
  <si>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</si>
  <si>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</si>
  <si>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</si>
  <si>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</si>
  <si>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</si>
  <si>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</si>
  <si>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</si>
  <si>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</si>
  <si>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</si>
  <si>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</si>
  <si>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</si>
  <si>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</si>
  <si>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</si>
  <si>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</si>
  <si>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</si>
  <si>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</si>
  <si>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</si>
  <si>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</si>
  <si>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</si>
  <si>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</si>
  <si>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</si>
  <si>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</si>
  <si>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</si>
  <si>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</si>
  <si>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</si>
  <si>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</si>
  <si>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</si>
  <si>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</si>
  <si>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</si>
  <si>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</si>
  <si>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</si>
  <si>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</si>
  <si>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</si>
  <si>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</si>
  <si>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</si>
  <si>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</si>
  <si>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</si>
  <si>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Család- és Gyermekjóléti Központ</t>
  </si>
  <si>
    <t>II.1 (4)</t>
  </si>
  <si>
    <t>Óvodapedagógusok pótlólagos bértámogatása</t>
  </si>
  <si>
    <t>Pedagógus szakképzettséggel rendelkező, óvodapedagógusok nevelő munkáját közvetlenül segítők pótlólagos bértámogatása</t>
  </si>
  <si>
    <t>Pedagógus szakképzettséggel rendelkező, óvodapedagógusok nevelő munkáját közvetlenül segítők bértámogatása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</si>
  <si>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</si>
  <si>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</si>
  <si>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</si>
  <si>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</si>
  <si>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</si>
  <si>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>III.5.c</t>
  </si>
  <si>
    <t>A rászoruló gyermekek intézményen kívüli szünidei étkeztetésének támog.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</si>
  <si>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</si>
  <si>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</si>
  <si>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</si>
  <si>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</si>
  <si>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</si>
  <si>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</si>
  <si>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</si>
  <si>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</si>
  <si>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</si>
  <si>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</si>
  <si>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</si>
  <si>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</si>
  <si>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</si>
  <si>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</si>
  <si>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</si>
  <si>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</si>
  <si>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Önkormányzati bérlakások felújítása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</si>
  <si>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</si>
  <si>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</si>
  <si>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</si>
  <si>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</si>
  <si>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</si>
  <si>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</si>
  <si>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</si>
  <si>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</si>
  <si>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</si>
  <si>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</si>
  <si>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</si>
  <si>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</si>
  <si>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</si>
  <si>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</si>
  <si>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</si>
  <si>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</si>
  <si>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 xml:space="preserve">- Vezető </t>
  </si>
  <si>
    <t xml:space="preserve">- Óvónő </t>
  </si>
  <si>
    <t>- Pedagógiai asszisztens</t>
  </si>
  <si>
    <t xml:space="preserve">- Óvodai dajka </t>
  </si>
  <si>
    <t>- Óvodatitkár</t>
  </si>
  <si>
    <t>- Technikai dolgozó (udvaros)</t>
  </si>
  <si>
    <t>- Óvónő</t>
  </si>
  <si>
    <t>- Kisgyermeknevelő</t>
  </si>
  <si>
    <t>- Bölcsődei gondozónő dajka</t>
  </si>
  <si>
    <t>- Óvodai dajka</t>
  </si>
  <si>
    <t>- Szakmai vezető</t>
  </si>
  <si>
    <t>- Családsegítő</t>
  </si>
  <si>
    <t>- Esetmenedzser / Tanácsadó</t>
  </si>
  <si>
    <t xml:space="preserve">Nyitnikék Gyerekház </t>
  </si>
  <si>
    <t>- Gyerekház vezető</t>
  </si>
  <si>
    <t>- Polgármester</t>
  </si>
  <si>
    <t>- Főállású alpolgármester</t>
  </si>
  <si>
    <t>Önkormányzati Tűzoltóság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</si>
  <si>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</si>
  <si>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</si>
  <si>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</si>
  <si>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</si>
  <si>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</si>
  <si>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Mesterpedagógus kategória (minősítést megszerezték 2015. december 31-ig)</t>
  </si>
  <si>
    <t>Szociális ágazati összevont pótlék</t>
  </si>
  <si>
    <t>A 2016. évről áthúzódó bérkompenzáció támogatása</t>
  </si>
  <si>
    <t>Jánoshalma Városi Önkormányzat 2017. évi költségvetésében tervezett köponti költségvetési támogatások</t>
  </si>
  <si>
    <t>Környezetvédelmi alap a 2017. évre tervezett talajterhelési díj bevételből</t>
  </si>
  <si>
    <t xml:space="preserve">Céltartalék - viziközművek 2017. évi bérleti díj bevételéből (szerződés szerint viziközművek fejlesztésére fordítandó a szolgáltatóval történő egyeztetés alapján) </t>
  </si>
  <si>
    <t>Általános tartalék (működési)</t>
  </si>
  <si>
    <t>- Ápoló</t>
  </si>
  <si>
    <t>Jánoshalma Városi Önkormányzat és költségvetési szervei 2017. évi költségvetésének bevételi előirányzatai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</si>
  <si>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</si>
  <si>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</si>
  <si>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</si>
  <si>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</si>
  <si>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Jánoshalma Városi Önkormányzat és költségvetési szervei 2017. évi költségvetésének kiadási előirányzatai</t>
  </si>
  <si>
    <t>Jánoshalma Városi Önkormányzat  2017. évi költségvetési kiadásai feladatonként</t>
  </si>
  <si>
    <t>013320</t>
  </si>
  <si>
    <t>Köztemető fenntartás és működtetés</t>
  </si>
  <si>
    <t>018020</t>
  </si>
  <si>
    <t>Központi költségvetési befizetések</t>
  </si>
  <si>
    <t>Kerékpárút építése</t>
  </si>
  <si>
    <t>045120</t>
  </si>
  <si>
    <t>Munkaadót terhelő járulékok</t>
  </si>
  <si>
    <t>Óvodai nevelés, ellátás</t>
  </si>
  <si>
    <t>102023</t>
  </si>
  <si>
    <t>102031</t>
  </si>
  <si>
    <t>Időskorúak tartós bentlakásos ellátása (Szoc. Otthon)</t>
  </si>
  <si>
    <t>Idősek nappali ellátása (Idősek Klubja)</t>
  </si>
  <si>
    <t>Hajléktalanok átmeneti ellátása (éjjeli menedékhely)</t>
  </si>
  <si>
    <t>Hajléktalanok nappali ellátása (nappali melegedő)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</si>
  <si>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</si>
  <si>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</si>
  <si>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</si>
  <si>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</si>
  <si>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</si>
  <si>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</si>
  <si>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</si>
  <si>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Céltartalék Interreg-IPA pályázathoz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</si>
  <si>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</si>
  <si>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</si>
  <si>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</si>
  <si>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</si>
  <si>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</si>
  <si>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</si>
  <si>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</si>
  <si>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</si>
  <si>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</si>
  <si>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</si>
  <si>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</si>
  <si>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</si>
  <si>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</si>
  <si>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</si>
  <si>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</si>
  <si>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</si>
  <si>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</si>
  <si>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</si>
  <si>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</si>
  <si>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</si>
  <si>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</si>
  <si>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</si>
  <si>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</si>
  <si>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</si>
  <si>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</si>
  <si>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</si>
  <si>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</si>
  <si>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</si>
  <si>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</si>
  <si>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</si>
  <si>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</si>
  <si>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</si>
  <si>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</si>
  <si>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</si>
  <si>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</si>
  <si>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</si>
  <si>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</si>
  <si>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</si>
  <si>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</si>
  <si>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</si>
  <si>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</si>
  <si>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</si>
  <si>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Fejlesztési célú tartalék - viziközművek fejlesztésére</t>
  </si>
  <si>
    <t>Működési célú tartalék - Környezetvédelmi alap</t>
  </si>
  <si>
    <t>Jánoshalma Város Önkormányzat 2017. évi költségvetése működési és felhalmozási célú bontásban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</si>
  <si>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</si>
  <si>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</si>
  <si>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</si>
  <si>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</si>
  <si>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</si>
  <si>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</si>
  <si>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</si>
  <si>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</si>
  <si>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</si>
  <si>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</si>
  <si>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</si>
  <si>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</si>
  <si>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</si>
  <si>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Jánoshalma Városi Önkormányzat és költségvetési szerveinek 2017. évi költségvetési kiadásai kötelező-, önként vállalt-, és állami (államigazgatási) feladatok szerinti bontásban</t>
  </si>
  <si>
    <t>Óvodai nevelés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</si>
  <si>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</si>
  <si>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</si>
  <si>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</si>
  <si>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</si>
  <si>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</si>
  <si>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</si>
  <si>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</si>
  <si>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</si>
  <si>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</si>
  <si>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</si>
  <si>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</si>
  <si>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</si>
  <si>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</si>
  <si>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</si>
  <si>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</si>
  <si>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</si>
  <si>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</si>
  <si>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d,</t>
  </si>
  <si>
    <t>Mötv. 13.§ (1) 10.</t>
  </si>
  <si>
    <t>Szoc. tv. 86.§ (1) b,</t>
  </si>
  <si>
    <t>Szoc. tv. 86.§ (1) c,</t>
  </si>
  <si>
    <t>Mötv. 13.§ (1)13.</t>
  </si>
  <si>
    <t>Mötv. 13.§ (1) 13.</t>
  </si>
  <si>
    <t>Mötv. 13.§ (1) 6.</t>
  </si>
  <si>
    <t>39</t>
  </si>
  <si>
    <t>40</t>
  </si>
  <si>
    <t>Család- és nővédelmi egészségügyi gondozás (Védőnői Szolg.)</t>
  </si>
  <si>
    <t>2017. évi felhalmozási kiadások feladatonként, felújítási kiadások célonként</t>
  </si>
  <si>
    <t>Redőnyfelújítás - Radnóti utcai óvodaépület</t>
  </si>
  <si>
    <t>Egyéb tárgyi eszközök beszerzése (mosógép, Panda vírusírtó) - Jánoshalmi óvoda, Nyitnikék Gyerekház</t>
  </si>
  <si>
    <t>Egyéb tárgyi eszközök beszerzése (hűtőszekrény, CD-s lejátszó) - Kéleshalmi tagóvoda</t>
  </si>
  <si>
    <t>Informatikai és egyéb tárgyi eszközök beszerzése - Család- és Gyermekjóléti Központ</t>
  </si>
  <si>
    <t>Informatikai és egyéb tárgyi eszközök beszerzése - Család- és Gyermekjóléti Szolgálat</t>
  </si>
  <si>
    <t>3.8. Kamatbevételek</t>
  </si>
  <si>
    <t>Gyvt. 21/A § (3)</t>
  </si>
  <si>
    <t xml:space="preserve">Mötv. 13.§ (1) 8a, Szoc. tv.  45.§, 48.§ </t>
  </si>
  <si>
    <t>Gyvt. 21/A.§ (3)</t>
  </si>
  <si>
    <t>Gyvt. 40. §</t>
  </si>
  <si>
    <t>Gyvt. 94. § (3a)</t>
  </si>
  <si>
    <t xml:space="preserve">Gyvt. 38/A § </t>
  </si>
  <si>
    <t>Gyvt. 21/C § (1)</t>
  </si>
  <si>
    <t>Mötv. 13.§ (1) 6., 9.</t>
  </si>
  <si>
    <t>Idősek nappali ellátása</t>
  </si>
  <si>
    <t>Jánoshalma Városi Önkormányzat  és költségvetési szerveinek 2017. évi költségvetési bevételei és  kiadásai kötelező-, önként vállalt-, és állami (államigazgatási) feladatok szerinti bontásban</t>
  </si>
  <si>
    <t>Egységes óvoda-bölcsődei csoport (Petőfi u.) 2017.08.31-ig</t>
  </si>
  <si>
    <t>Kéleshalmi tagóvoda</t>
  </si>
  <si>
    <t>Család- és Gyermekjóléti Szolg.</t>
  </si>
  <si>
    <t>199/2016.(XII.15.) Kt. hat. Jánoshalmi Közétkeztetési Kft alapítása (törzstőke)</t>
  </si>
  <si>
    <t>208/2016.(XII.15.) Kt. hat. Pályázati önerő VP6-7.2.1-7.4.2-16. kódszámú pályázathoz (közutak karbantartásához erő- és munkagépek beszerzése)</t>
  </si>
  <si>
    <t>209/2016.(XII.15.) Kt. hat. Pályázati önerő az "Innovatív vízgazdálkodási tervezés a határmenti régióban" projekthez</t>
  </si>
  <si>
    <t>Háziorvosi Ügyeleti szolgálat - üzenetrögzítős telefon beszerzése</t>
  </si>
  <si>
    <t>Védőnői Szolgálat részére eszközbeszerzések (hűtő, vércukormérő, vörös visszfénylámpa, zsámoly, tornaszőnyeg, csörgő)</t>
  </si>
  <si>
    <t xml:space="preserve">168/2015.(X.08.) Kt. hat. Pályázati önerő - Műfüves labdarúgópálya kialakítása Jánoshalma, Radnóti u. 13. sz. alatti ingatlanon </t>
  </si>
  <si>
    <t>89/2016.(V.26.) Kt. hat. Eszközbeszerzés az óvodafejlesztési projekt keretében pályázati támogatással a Batthyány utcai óvodába (zsírfogó, mosógép, 2 db villanybojler, hűtőszekrény, vízlágyító, mosogatógép állvánnyal, kamerarendszer, székek)</t>
  </si>
  <si>
    <t>Egyéb tárgyi eszköz beszerzések (szünetmentes tápegység, nyomtató, porszívó)</t>
  </si>
  <si>
    <t xml:space="preserve">2 db Notebook vásárlása </t>
  </si>
  <si>
    <t>Tűzoltó laktanya vizesblokkjának felújítása</t>
  </si>
  <si>
    <t>89/2016.(V.26.) Kt. hat. Batthyány utcai óvodaépület felújítása pályázati támogatással (tetőfelújítás, napelemes rendszer kiépítése, falak, csővezetékek festése, parkettalakkozás, csempeburkolatok javítása)</t>
  </si>
  <si>
    <t>219/2016.(XII.15.) Kt. hat. Szennyvízcsatorna beruházáshoz lehívott hitel elszámolása a Jánoshalmi Viziközmű Társulattal (elszámolási különbözet III. részletének kifizetése)</t>
  </si>
  <si>
    <t>35/2016.(III.24.) Kt. hat. Nyertes pályázat esetén a Gazdakörnek székház felújításához biztosított 1,5 millió Ft támogatás (pályázati önerő) 2017. évben átutalásra kerülő része</t>
  </si>
  <si>
    <t>Jánoshalmi tagóvodák                           (Radnóti u.,Batthyány u.,Petőfi u.)</t>
  </si>
  <si>
    <t>- Szakmai munkatárs</t>
  </si>
  <si>
    <t>- Technikai munkatárs</t>
  </si>
  <si>
    <t>2016. december havi bérkompenzáció</t>
  </si>
  <si>
    <t>RGYVK-hoz kapcs. természetbeni juttatás (Erzsébet utalvány) megtérítése</t>
  </si>
  <si>
    <t>Felhalmozási célú maradvány igénybevétele</t>
  </si>
  <si>
    <t>Ügyeleti szolg. ellenértéke (pl. vérvétel)</t>
  </si>
  <si>
    <t>Készletértékesítés (búza, kukorica stb.)</t>
  </si>
  <si>
    <t>Naperőmű által termelt többlet energia értékesítésének bevétele</t>
  </si>
  <si>
    <t>2016. dec. havi étkeztetési, szállítási tevék. bev.</t>
  </si>
  <si>
    <t>Közvetített szolgáltatások értéke</t>
  </si>
  <si>
    <t>Kamatbevétel</t>
  </si>
  <si>
    <t>Működési célú maradvány igénybevétele</t>
  </si>
  <si>
    <t xml:space="preserve">Ellátási díjak </t>
  </si>
  <si>
    <t>Intézményi gyermekétkeztetési feladatok támogatása (iskolai étkeztetés)</t>
  </si>
  <si>
    <t>Intézményi gyermekétkeztetési feladatok támogatása (óvodai étkeztetés)</t>
  </si>
  <si>
    <t>Lajtha</t>
  </si>
  <si>
    <t>Eü. Ágazat</t>
  </si>
  <si>
    <t>Céltartalék - Pályázati önerő az Interreg-IPA Magyarország - Szerbia határon átnyúló együttműködési program 3.2 prioritás keretében benyújtandó pályázathoz (2576,65 euró)</t>
  </si>
  <si>
    <t>Céltartalék - Pályázati önerő az Interreg-IPA Magyarország - Szerbia határon átnyúló együttműködési program 4.1 prioritás keretében benyújtandó pályázathoz (6681,2 euró)</t>
  </si>
  <si>
    <t>Családsegítő- és Gyermekjóléti Szolgálat, Családsegítő- és Gyermekjóléti Központ</t>
  </si>
  <si>
    <t>RK Egyházmegye hozzájárulása a műfüves labdarúgó pálya megvalósításához</t>
  </si>
  <si>
    <t>Pedagógus II. kategória - (teljes összeg, minősítést megszerezték 2015.12.31-ig)</t>
  </si>
  <si>
    <t>Műk. c. visszatérítendő támogatások, kölcsönök nyújtása államháztartáson kívülre</t>
  </si>
  <si>
    <t>Alaptevékenység maradványából képzett tartalék</t>
  </si>
  <si>
    <t>Vállalkozási tevékenység maradványából képzett tartalék</t>
  </si>
  <si>
    <t>5.5. Egyéb elvonások, befizetések</t>
  </si>
  <si>
    <t>1.4. Elvonások és befizetések bevételei</t>
  </si>
  <si>
    <t>018030</t>
  </si>
  <si>
    <t>Támogatási célú finanszírozási műveletek</t>
  </si>
  <si>
    <t>Egyéb műk. c. tám. ÁH-on belülre</t>
  </si>
  <si>
    <t>Alaptev. maradv.-ból képzett tart.</t>
  </si>
  <si>
    <t>Vállalk. tev. maradványából képzett tart.</t>
  </si>
  <si>
    <t>Önk-ok elszámolásai a központi költségvetéssel</t>
  </si>
  <si>
    <t>018010</t>
  </si>
  <si>
    <t>049010</t>
  </si>
  <si>
    <t>Máshova nem sorolt gazdasági ügyek</t>
  </si>
  <si>
    <t>041232</t>
  </si>
  <si>
    <t>Start-munka program - Téli közfoglalkoztatás</t>
  </si>
  <si>
    <t>041233</t>
  </si>
  <si>
    <t>Hosszabb időtartamú közfoglalkoztatás</t>
  </si>
  <si>
    <t>Start- munka program - Téli közfoglalkoztatás</t>
  </si>
  <si>
    <t>41</t>
  </si>
  <si>
    <t>42</t>
  </si>
  <si>
    <t>43</t>
  </si>
  <si>
    <t>44</t>
  </si>
  <si>
    <t>45</t>
  </si>
  <si>
    <t>ASP rendszerhez történő csatlakozás műköödési célú támogatása</t>
  </si>
  <si>
    <t>ASP rendszerhez történő csatlakozás felhalmozási célú támogatása</t>
  </si>
  <si>
    <t xml:space="preserve">2016. évi szabad maradvány elvonása </t>
  </si>
  <si>
    <t>2017. évi bérkompenzáció</t>
  </si>
  <si>
    <t>I. Szent István király szobor elkészítésére vissza nem térítendő támogatás</t>
  </si>
  <si>
    <t>Kéményseprő-ipari közszolgáltatás támogatása</t>
  </si>
  <si>
    <t>Hosszabb időtartamú közfogl. működési c. tám.</t>
  </si>
  <si>
    <t>Hosszabb időtartamú közfogl. felhalm. c. tám.</t>
  </si>
  <si>
    <t>Startmunka programok működési c. támogatás</t>
  </si>
  <si>
    <t>Startmunka programok felhalm. c. támogatás</t>
  </si>
  <si>
    <t>Kéleshalom önkormányzat támogatása óvodai ellátáshoz</t>
  </si>
  <si>
    <t>Egyéb működési bev.- áramdíj túlfizetés visszatérítése</t>
  </si>
  <si>
    <t>Készletértékesítés (homokbánya, konyhai készlet)</t>
  </si>
  <si>
    <t>Polgármesteri béremelés különbözetének támogatása</t>
  </si>
  <si>
    <t>2016. évi maradvány igénybevétel</t>
  </si>
  <si>
    <t>Startmunka mintaprogram - Bio- és megújuló energia felhasználás programelem (2017. 03.16-tól)</t>
  </si>
  <si>
    <t>Startmunka mintaprogram - Belterületi utak karbantartása programelem (2017. 03.16-tól)</t>
  </si>
  <si>
    <t>Startmunka mintaprogram - Belvízelvezetés programelem (2017. 03.16-tól)</t>
  </si>
  <si>
    <t>28/2017.(III.02.) Kt. hat. ASP rendszerhez történő csatlakozás - eszközbeszerzések</t>
  </si>
  <si>
    <t>38/20147.(III.23.) Kt. hat. EFOP-4.1.8-16 kódszámú "A könyvtári intézményrendszer tanulást segítő infrastrukturális fejlesztései" pályázat - előkészítési költségeinek támogatása</t>
  </si>
  <si>
    <t>72/2017.(IV.20) Kt. hat. Belterületi utak, járdák, hidak felújítása pályázat - járdafelújítás pályázati önerő</t>
  </si>
  <si>
    <t>210/2016.(XII.15.) Kt. hat. "I. Szent István szobor elkészítése és felállítása Jánoshalma főterén"                          (pályázati önerő és vissza nem térítendő támogatás)</t>
  </si>
  <si>
    <t>Hosszabb időtartamú közfoglalkoztatás eszközbeszerzései</t>
  </si>
  <si>
    <t>Startmunka mintaprogramok eszközbeszerzései</t>
  </si>
  <si>
    <t>200/2016.(XII.15.) Kt. hat. Kiskunhalas - Jánoshalma - Mélykút kerékpárút Jánoshalma közigazgatási területét érintő szakaszának tervezési munkái (VIA Futura Mérnöki Tanácsadó és Szolgáltató Kft)  és közbeszerzési eljárás költsége</t>
  </si>
  <si>
    <t>Tűzoltóság eszközbeszerzése (1 db habbekeverő)</t>
  </si>
  <si>
    <t xml:space="preserve">Fejlesztési célú tartalék - viziközművek előző évek és 2017. évi bérleti díj bevételéből (szerződés szerint viziközművek fejlesztésére fordítandó a szolgáltatóval történő egyeztetés alapján) </t>
  </si>
  <si>
    <t>Általános tartalék képzése</t>
  </si>
  <si>
    <t>43/2017. (III.23) Kt. hat. Jánoshalma- Mélykút Ivóvízminőség-javító Társulás támogatása</t>
  </si>
  <si>
    <t>45/2017. (III.23) Kt. hat. Érdekeltségi hozzájárulás adók módjára történő behajtásának költségei</t>
  </si>
  <si>
    <t>2016. évi alaptevékenység maradványából tartalék képzés</t>
  </si>
  <si>
    <t>2016. évi vállalkozási tevékenység maradványából tartalék képzés</t>
  </si>
  <si>
    <t>2016. évi maradványt terhelő kötelezettségek</t>
  </si>
  <si>
    <t>Céltartalék - viziközművek bérleti díj bevétel maradványa előző évekről</t>
  </si>
  <si>
    <t>Viziközművek céltartaléka összesen:</t>
  </si>
  <si>
    <t>Önkormányzati intézmények elvont 2016. évi szabad kv-i  maradványának tartalékba helyezése</t>
  </si>
  <si>
    <t>Kéleshalom önkormányzatának hozzájárulása az óvoda működtetési költségeihez</t>
  </si>
  <si>
    <t>Építményüzemeltetés (Béke tér 11.) előző évről áthúzódó kiadásai</t>
  </si>
  <si>
    <t>A 2015. évi állami támogatások elszámolásának felülvizsgálata alapján visszafizetendő összeg</t>
  </si>
  <si>
    <t>Kerékpárút építés - közbeszerzési eljárás költsége</t>
  </si>
  <si>
    <t>Vis maior tartalék képzése</t>
  </si>
  <si>
    <t>56/2017. (III.23) Kt. hat. Közfoglalkoztatási Nonprofit Kft. fennálló tartozásainak rendezése</t>
  </si>
  <si>
    <t>Környezetvédelmi alap (előző évek maradványa)</t>
  </si>
  <si>
    <t>Céltartalék - pályázati önerő összesen:</t>
  </si>
  <si>
    <t>Kéményseprő-ipari közszolgáltatás helyi önkormányzat általi ellátásának támogatása</t>
  </si>
  <si>
    <t>2.</t>
  </si>
  <si>
    <t>3. melléklet jogcímei mindösszesen:</t>
  </si>
  <si>
    <t>évenkénti üteme</t>
  </si>
  <si>
    <t>Saját erő</t>
  </si>
  <si>
    <t>Források összesen</t>
  </si>
  <si>
    <t>Beruházási kiadások (elszámolható)</t>
  </si>
  <si>
    <t>Dologi kiadások (elszámolható)</t>
  </si>
  <si>
    <t xml:space="preserve">Támogatási szerződés szerinti bevételek, kiadások  (Ft)     </t>
  </si>
  <si>
    <t>3.9. Biztosító által fizetett kártérítés</t>
  </si>
  <si>
    <t>3.10. Egyéb működési bevételek</t>
  </si>
  <si>
    <t>104031</t>
  </si>
  <si>
    <t>Gyermekek bölcsődében és mini bölcsődében történő ellátása</t>
  </si>
  <si>
    <t>082091</t>
  </si>
  <si>
    <t>Közművelődés - közösségi és társadalmi részvétel fejlesztése</t>
  </si>
  <si>
    <t>A gyermekek, fiatalok és családok életminőségét javító programok</t>
  </si>
  <si>
    <r>
      <t>Elvonások és befizetések (</t>
    </r>
    <r>
      <rPr>
        <sz val="9"/>
        <rFont val="Times New Roman"/>
        <family val="1"/>
      </rPr>
      <t>2016. évi szabad kv-i maradvány elvonása miatti befizetés az önkormányzat felé)</t>
    </r>
  </si>
  <si>
    <t>46</t>
  </si>
  <si>
    <t>47</t>
  </si>
  <si>
    <t>48</t>
  </si>
  <si>
    <t>Áht. 46. § (2)</t>
  </si>
  <si>
    <t>Áht.</t>
  </si>
  <si>
    <t>2011. évi CXCV. tv. az államháztartásról</t>
  </si>
  <si>
    <t>Áht. 86. § (5)</t>
  </si>
  <si>
    <t>Bethlen G. Alap- Mithras K. erdélyi vszerepl. tám.</t>
  </si>
  <si>
    <t>EFOP-1.4.2-16 Integrált térs. gyermekpr. "Együtt könnyebb" támogatása</t>
  </si>
  <si>
    <t>"Jánoshalmi Művésztelep energetikai felújítása" projekt támogatása (VP)</t>
  </si>
  <si>
    <t>Egyéb működési bevételek,  biztosítási díj visszatérítések</t>
  </si>
  <si>
    <t>Minimálbér, gar. bérmin. emelés és járulék támogatása</t>
  </si>
  <si>
    <t>Óvodákban nev.munkát segítő mkörben fogl.-ak 2017. évi illetményéhez kapcs. kieg. támogatás</t>
  </si>
  <si>
    <t>2016. dec. havi és 2017. évi bérkompenzáció</t>
  </si>
  <si>
    <t>Önk-ok rendkív. tám. - Önkormányzati tűzoltóságok támogatása</t>
  </si>
  <si>
    <t>- Közfoglalkoztatási ügyintéző</t>
  </si>
  <si>
    <t>140/2017. (VI.22.) Kt. hat. Közművelődési érdekeltségnövelő pályázat önerő</t>
  </si>
  <si>
    <t>139/2017. (VI.22) Kt. hat. Jánoshalmi Közfoglalkoztatási Kft. tartozás rendezése</t>
  </si>
  <si>
    <t>140/2017. (VI.22) Kt. hat. Közművelődési érdekeltségnövelő pályázat - önerő</t>
  </si>
  <si>
    <t>a Magyarország 2017. évi központi költségvetéséről szóló 2016. évi XC. törvény 2. sz. és 3. sz. mellékletének jogcímei szerint</t>
  </si>
  <si>
    <t>I.5.</t>
  </si>
  <si>
    <t>A településképi arculati kézikönyv elkészítésének támogatása</t>
  </si>
  <si>
    <t>A minimálbér és a garantált bérminimum emelése, valamint a szoc.hj. adó támogatása</t>
  </si>
  <si>
    <t>Pedagógus II. kategória - ( 11 havi rész, minősítést megszerezték 2016.12.31-ig)</t>
  </si>
  <si>
    <t xml:space="preserve">III. </t>
  </si>
  <si>
    <t>Önk-ok rendkívüli támogatása - önkormányzati tűzoltóságok támogatása</t>
  </si>
  <si>
    <t>Beruházási kiadások (nem elszámolható)</t>
  </si>
  <si>
    <t xml:space="preserve">Saját erő </t>
  </si>
  <si>
    <t>Felújítási kiadások (elszámolható)</t>
  </si>
  <si>
    <t>Felújítási kiadások (nem elszámolható)</t>
  </si>
  <si>
    <t>Bér+járulék kiadások (elszámolható)</t>
  </si>
  <si>
    <t>A 2017. évi költségvetésben tervezett, EU-forrásból finanszírozott  támogatással megvalósuló projektek kiadásai, a helyi önkormányzat ilyen projektekhez történő hozzájárulásai</t>
  </si>
  <si>
    <t>Jánoshalma Város Önkormányzat ASP központhoz való csatlakozása (KÖFOP-1.2.1-VEKOP-16-2017-00938)</t>
  </si>
  <si>
    <t xml:space="preserve">2017. évi költségvetésben tervezett bevételi előirányzatok (eFt)    </t>
  </si>
  <si>
    <t>Integrált térségi gyermekprogramok  - "Együtt könnyebb" komplex prevenciós és társadalmi felzárkóztató program a gyermekszegénység ellen (EFOP-1.4.2-16)</t>
  </si>
  <si>
    <t xml:space="preserve">2017. évi költségvetésben tervezett kiadási előirányzatok   </t>
  </si>
  <si>
    <t>Iparterület fejlesztése Jánoshalmán (TOP-1.1.1-15-BK1-2016-00006)</t>
  </si>
  <si>
    <t>Polgármesteri  Hivatal összesen:</t>
  </si>
  <si>
    <t>EU-s és hazai forrás együtt</t>
  </si>
  <si>
    <t>"A Jánoshalmi Művésztelep energetikai felújítása" (Vidékfejlesztési Program)</t>
  </si>
  <si>
    <t>Gyermeklánc Óvoda és Bölcsőde, Család- és Gyermekjóléti Központ</t>
  </si>
  <si>
    <t>Gyermeklánc Óvoda és Bölcsőde, Család- és Gyermekjóléti Központ összesen:</t>
  </si>
  <si>
    <t>Gyermeklánc Óvoda és Bölcsőde Család- és Gyermekjóléti Központ kiadásai összesen:</t>
  </si>
  <si>
    <t>Gyermeklánc Óvoda és Bölcsőde, Család- és Gyermekjóléti Központ  összesen:</t>
  </si>
  <si>
    <t>Gyermeklánc Óvoda és Bölcsőde, Család- és Gyermekjóléti Közp.</t>
  </si>
  <si>
    <t>-Térítési díjak beszedését végző ügyintéző</t>
  </si>
  <si>
    <t>Műk. c. vtérítendő tám., kölcsön nyújt. ÁH-on kívülre</t>
  </si>
  <si>
    <t>Q</t>
  </si>
  <si>
    <t>R</t>
  </si>
  <si>
    <t>S</t>
  </si>
  <si>
    <t>T</t>
  </si>
  <si>
    <t>U</t>
  </si>
  <si>
    <t>Rendezvények szolgáltatási bevételei</t>
  </si>
  <si>
    <t>Támogatott foglalkoztatás bevétele</t>
  </si>
  <si>
    <t>Nyári diákmunka program támogatása</t>
  </si>
  <si>
    <t xml:space="preserve">Rendszeres gyermekvédelmi kedvezményhez kapcsolódó természetbeni juttatás </t>
  </si>
  <si>
    <t xml:space="preserve">Kiegészítő gyermekvédelmi támogatás és a kieg. gyermekvédelmi támogatás pótléka Gyvt. </t>
  </si>
  <si>
    <t xml:space="preserve">Köztemetés </t>
  </si>
  <si>
    <t xml:space="preserve">Települési támogatás </t>
  </si>
  <si>
    <t>NYÁRI DIÁKMUNKÁSOK LÉTSZÁMA ÖSSZESEN:</t>
  </si>
  <si>
    <t>Bölcsődei feladatellátás létszáma 2017. szept. 1-től</t>
  </si>
  <si>
    <t>Nyári diákmunka program</t>
  </si>
  <si>
    <t>Hosszabb időtartamú közfoglalk.                        12 fő (Roma védőháló)</t>
  </si>
  <si>
    <t>Hosszabb időtartamú közfoglalk.             9 fő (Mezőgazdasági közfoglalk.)</t>
  </si>
  <si>
    <t>Hosszabb időtartamú közfoglalk.                   72 fő (Intézményes)</t>
  </si>
  <si>
    <t>Hosszabb időtartamú közfoglalk. összesen 87 fő változó időtartamban (Mg. paprika termesztés + képzések)</t>
  </si>
  <si>
    <t xml:space="preserve"> Településképi Arculati Kézikönyv elkészítése</t>
  </si>
  <si>
    <t>Az óvodákban nevelőmunkát segítő munkakörben foglalkoztatottak 2017. évi illetményéhez kapcsolódó kiegészítő támogatás</t>
  </si>
  <si>
    <t>041110</t>
  </si>
  <si>
    <t>Általános gazdasági és kereskedelmi ügyek igazgatása</t>
  </si>
  <si>
    <t>22. Egészségügyi ellátás</t>
  </si>
  <si>
    <t>27. Latha Kft f.ellát. támog.</t>
  </si>
  <si>
    <t>34. Pelikán Kft. feladatell. tám.</t>
  </si>
  <si>
    <t>49</t>
  </si>
  <si>
    <t>TOP-3.2.1.-16 Polg. Hiv. energetikai korsz. projekt, TOP-2.1.2-16 "Zöld tér felújítása projekt és TOP-2.1.3-16 "Jh. belvíz elvezetése I. ütem" c. projekt támogatása</t>
  </si>
  <si>
    <t>TOP-1.1.1-15-BK1-2016-00006 Iparter. fejl. Jh-n, TOP-1.1.2-16 Jh. térségi szerepének erősítése a mg.-ban", TOP-1.1.3-16 "Agrárlogisztikai központ építése Jh-n" c. projektek támogatása</t>
  </si>
  <si>
    <t>51/2016.(III.24.) Kt. hat. Jánoshalmi Művésztelep energetikai felújítása, közösségi terek fejlesztése pályázathoz tervezői munkarészek (Sándorfi Tervezőiroda Baja)</t>
  </si>
  <si>
    <t>51/2016.(III.24.) Kt. hat. Jánoshalmi Művésztelep energetikai felújítása, közösségi terek fejlesztése projekt  önerő és támogatás</t>
  </si>
  <si>
    <t>58/2015.(III.26) Kt. hat. TOP-2.1.2-16-BK1 - "Zöld tér felújítása Jánoshalmán" c. projekt</t>
  </si>
  <si>
    <t>58/2015.(III.26) Kt. hat.  TOP-1.1.1-15-BK1-2016-00006 - "Iparterület fejlesztése Jánoshalmán" c. projekt</t>
  </si>
  <si>
    <t>58/2015.(III.26) Kt. hat.  TOP-1.1.2-16-BK1 - "Jánoshalma térségi szerepének erősítése a mezőgazdaságban" c. projekt</t>
  </si>
  <si>
    <t>58/2015.(III.26) Kt. hat.  TOP-1.1.3-16-BK1 - "Agrárlogisztikai központ építése Jánoshalmán c. projekt</t>
  </si>
  <si>
    <t>58/2015.(III.26) Kt. hat.  TOP-2.1.3-16-BK1 - "Jánoshalma belvíz elvezetése I. ütem" c. projekt</t>
  </si>
  <si>
    <t>154/2017.(VIII.24.) Kt. hat.  TOP-3.2.1-16  - "Önkormányzati épületek energetikai korszerűsítése" c. projekt</t>
  </si>
  <si>
    <t>1. melléklet a 13/2017.(X.03.) önkormányzati rendelethez</t>
  </si>
  <si>
    <t>2. melléklet a 13/2017.(X.03.) önkormányzati rendelethez</t>
  </si>
  <si>
    <t>3. melléklet a 13/2017.(X.03.) önkormányzati rendelethez</t>
  </si>
  <si>
    <t>4. melléklet a 13/2017.(X.03.) önkormányzati rendelethez</t>
  </si>
  <si>
    <t>5. melléklet a 13/2017.(X.03.) önkormányzati rendelethez</t>
  </si>
  <si>
    <t>6. melléklet a 13/2017.(X.03.) önkormányzati rendelethez</t>
  </si>
  <si>
    <t>7. melléklet a 13/2017.(X.03.) önkormányzati rendelethez</t>
  </si>
  <si>
    <t>8. melléklet a 13/2017.(X.03.) önkormányzati rendelethez</t>
  </si>
  <si>
    <t>9. melléklet a 13/2017.(X.03.) önkormányzati rendelethez</t>
  </si>
  <si>
    <t>10. melléklet a 13/2017.(X.03.) önkormányzati rendelethez</t>
  </si>
  <si>
    <t>11. melléklet a 13/2017.(X.03.) önkormányzati rendelethez</t>
  </si>
  <si>
    <t>12. melléklet a 13/2017.(X.03.)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</si>
</sst>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1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i/>
      <sz val="14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/>
      <right style="medium"/>
      <top style="thick"/>
      <bottom style="thick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14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3" fillId="25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27" borderId="7" applyNumberFormat="0" applyFont="0" applyAlignment="0" applyProtection="0"/>
    <xf numFmtId="0" fontId="101" fillId="28" borderId="0" applyNumberFormat="0" applyBorder="0" applyAlignment="0" applyProtection="0"/>
    <xf numFmtId="0" fontId="102" fillId="29" borderId="8" applyNumberFormat="0" applyAlignment="0" applyProtection="0"/>
    <xf numFmtId="0" fontId="1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0" borderId="0" applyNumberFormat="0" applyBorder="0" applyAlignment="0" applyProtection="0"/>
    <xf numFmtId="0" fontId="106" fillId="31" borderId="0" applyNumberFormat="0" applyBorder="0" applyAlignment="0" applyProtection="0"/>
    <xf numFmtId="0" fontId="107" fillId="29" borderId="1" applyNumberFormat="0" applyAlignment="0" applyProtection="0"/>
    <xf numFmtId="9" fontId="0" fillId="0" borderId="0" applyFont="0" applyFill="0" applyBorder="0" applyAlignment="0" applyProtection="0"/>
  </cellStyleXfs>
  <cellXfs count="121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4" fillId="0" borderId="22" xfId="61" applyNumberFormat="1" applyBorder="1" applyAlignment="1">
      <alignment vertical="center"/>
      <protection/>
    </xf>
    <xf numFmtId="3" fontId="14" fillId="0" borderId="0" xfId="61" applyNumberFormat="1">
      <alignment/>
      <protection/>
    </xf>
    <xf numFmtId="0" fontId="14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4" fillId="0" borderId="0" xfId="61" applyNumberFormat="1">
      <alignment/>
      <protection/>
    </xf>
    <xf numFmtId="0" fontId="29" fillId="0" borderId="0" xfId="0" applyFont="1" applyFill="1" applyAlignment="1">
      <alignment vertical="center"/>
    </xf>
    <xf numFmtId="0" fontId="17" fillId="0" borderId="0" xfId="57" applyFont="1">
      <alignment/>
      <protection/>
    </xf>
    <xf numFmtId="0" fontId="16" fillId="0" borderId="0" xfId="57" applyFont="1" applyAlignment="1">
      <alignment vertical="center"/>
      <protection/>
    </xf>
    <xf numFmtId="0" fontId="18" fillId="0" borderId="22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>
      <alignment/>
      <protection/>
    </xf>
    <xf numFmtId="0" fontId="19" fillId="0" borderId="22" xfId="57" applyFont="1" applyBorder="1">
      <alignment/>
      <protection/>
    </xf>
    <xf numFmtId="0" fontId="19" fillId="0" borderId="0" xfId="57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3" fillId="0" borderId="22" xfId="57" applyFont="1" applyBorder="1">
      <alignment/>
      <protection/>
    </xf>
    <xf numFmtId="0" fontId="25" fillId="0" borderId="0" xfId="57" applyFont="1">
      <alignment/>
      <protection/>
    </xf>
    <xf numFmtId="0" fontId="19" fillId="0" borderId="0" xfId="57" applyFont="1" applyBorder="1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23" fillId="0" borderId="22" xfId="57" applyFont="1" applyBorder="1" applyAlignment="1">
      <alignment horizontal="left" vertical="center" indent="2"/>
      <protection/>
    </xf>
    <xf numFmtId="16" fontId="23" fillId="0" borderId="22" xfId="57" applyNumberFormat="1" applyFont="1" applyBorder="1" applyAlignment="1">
      <alignment horizontal="left" vertical="center" indent="2"/>
      <protection/>
    </xf>
    <xf numFmtId="0" fontId="23" fillId="0" borderId="22" xfId="57" applyFont="1" applyBorder="1" applyAlignment="1">
      <alignment horizontal="left" indent="2"/>
      <protection/>
    </xf>
    <xf numFmtId="3" fontId="20" fillId="0" borderId="22" xfId="48" applyNumberFormat="1" applyFont="1" applyBorder="1" applyAlignment="1">
      <alignment horizontal="right"/>
    </xf>
    <xf numFmtId="3" fontId="19" fillId="0" borderId="22" xfId="48" applyNumberFormat="1" applyFont="1" applyBorder="1" applyAlignment="1">
      <alignment horizontal="right"/>
    </xf>
    <xf numFmtId="3" fontId="23" fillId="0" borderId="22" xfId="48" applyNumberFormat="1" applyFont="1" applyBorder="1" applyAlignment="1">
      <alignment horizontal="right"/>
    </xf>
    <xf numFmtId="0" fontId="30" fillId="0" borderId="22" xfId="57" applyFont="1" applyBorder="1" applyAlignment="1">
      <alignment horizontal="left" vertical="center" wrapText="1"/>
      <protection/>
    </xf>
    <xf numFmtId="0" fontId="30" fillId="0" borderId="0" xfId="57" applyFont="1" applyAlignment="1">
      <alignment horizontal="center" vertical="center" wrapText="1"/>
      <protection/>
    </xf>
    <xf numFmtId="3" fontId="30" fillId="0" borderId="22" xfId="48" applyNumberFormat="1" applyFont="1" applyBorder="1" applyAlignment="1">
      <alignment horizontal="right"/>
    </xf>
    <xf numFmtId="0" fontId="30" fillId="0" borderId="22" xfId="57" applyFont="1" applyBorder="1">
      <alignment/>
      <protection/>
    </xf>
    <xf numFmtId="0" fontId="31" fillId="0" borderId="0" xfId="57" applyFont="1">
      <alignment/>
      <protection/>
    </xf>
    <xf numFmtId="0" fontId="32" fillId="0" borderId="22" xfId="57" applyFont="1" applyBorder="1" applyAlignment="1">
      <alignment horizontal="right"/>
      <protection/>
    </xf>
    <xf numFmtId="0" fontId="33" fillId="0" borderId="0" xfId="57" applyFont="1">
      <alignment/>
      <protection/>
    </xf>
    <xf numFmtId="0" fontId="34" fillId="0" borderId="22" xfId="57" applyFont="1" applyBorder="1" applyAlignment="1">
      <alignment vertical="center"/>
      <protection/>
    </xf>
    <xf numFmtId="3" fontId="34" fillId="0" borderId="22" xfId="48" applyNumberFormat="1" applyFont="1" applyBorder="1" applyAlignment="1">
      <alignment horizontal="right"/>
    </xf>
    <xf numFmtId="0" fontId="34" fillId="0" borderId="22" xfId="57" applyFont="1" applyBorder="1">
      <alignment/>
      <protection/>
    </xf>
    <xf numFmtId="0" fontId="34" fillId="0" borderId="0" xfId="57" applyFont="1">
      <alignment/>
      <protection/>
    </xf>
    <xf numFmtId="0" fontId="34" fillId="0" borderId="22" xfId="57" applyFont="1" applyBorder="1" applyAlignment="1">
      <alignment vertical="center" wrapText="1"/>
      <protection/>
    </xf>
    <xf numFmtId="0" fontId="34" fillId="0" borderId="22" xfId="57" applyFont="1" applyBorder="1" applyAlignment="1">
      <alignment horizontal="left" vertical="center"/>
      <protection/>
    </xf>
    <xf numFmtId="0" fontId="35" fillId="0" borderId="0" xfId="57" applyFont="1">
      <alignment/>
      <protection/>
    </xf>
    <xf numFmtId="0" fontId="34" fillId="0" borderId="22" xfId="57" applyFont="1" applyBorder="1" applyAlignment="1">
      <alignment horizontal="left" vertical="center" wrapText="1"/>
      <protection/>
    </xf>
    <xf numFmtId="0" fontId="36" fillId="0" borderId="0" xfId="57" applyFont="1">
      <alignment/>
      <protection/>
    </xf>
    <xf numFmtId="0" fontId="20" fillId="0" borderId="22" xfId="57" applyFont="1" applyBorder="1" applyAlignment="1">
      <alignment horizontal="left" vertical="center" indent="1"/>
      <protection/>
    </xf>
    <xf numFmtId="0" fontId="20" fillId="0" borderId="22" xfId="57" applyFont="1" applyBorder="1" applyAlignment="1">
      <alignment horizontal="left" indent="1"/>
      <protection/>
    </xf>
    <xf numFmtId="3" fontId="37" fillId="0" borderId="22" xfId="57" applyNumberFormat="1" applyFont="1" applyBorder="1" applyAlignment="1">
      <alignment horizontal="right" vertical="center"/>
      <protection/>
    </xf>
    <xf numFmtId="0" fontId="30" fillId="0" borderId="22" xfId="57" applyFont="1" applyBorder="1" applyAlignment="1">
      <alignment vertical="top"/>
      <protection/>
    </xf>
    <xf numFmtId="3" fontId="37" fillId="0" borderId="22" xfId="48" applyNumberFormat="1" applyFont="1" applyBorder="1" applyAlignment="1">
      <alignment horizontal="right"/>
    </xf>
    <xf numFmtId="0" fontId="20" fillId="0" borderId="22" xfId="57" applyFont="1" applyBorder="1" applyAlignment="1">
      <alignment horizontal="left" vertical="top" indent="1"/>
      <protection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right" vertical="center"/>
    </xf>
    <xf numFmtId="3" fontId="17" fillId="0" borderId="22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15" fillId="0" borderId="0" xfId="62" applyFont="1" applyAlignment="1">
      <alignment vertical="center"/>
      <protection/>
    </xf>
    <xf numFmtId="0" fontId="16" fillId="0" borderId="0" xfId="62" applyFont="1" applyAlignment="1">
      <alignment horizontal="center" vertical="center" wrapText="1"/>
      <protection/>
    </xf>
    <xf numFmtId="0" fontId="19" fillId="0" borderId="0" xfId="62" applyFont="1" applyAlignment="1">
      <alignment vertical="center" wrapText="1"/>
      <protection/>
    </xf>
    <xf numFmtId="0" fontId="20" fillId="0" borderId="22" xfId="62" applyFont="1" applyBorder="1" applyAlignment="1">
      <alignment horizontal="center" vertical="center" wrapText="1"/>
      <protection/>
    </xf>
    <xf numFmtId="0" fontId="21" fillId="0" borderId="21" xfId="62" applyFont="1" applyBorder="1" applyAlignment="1">
      <alignment horizontal="center" vertical="center"/>
      <protection/>
    </xf>
    <xf numFmtId="0" fontId="21" fillId="0" borderId="0" xfId="62" applyFont="1" applyAlignment="1">
      <alignment horizontal="center" vertical="center"/>
      <protection/>
    </xf>
    <xf numFmtId="3" fontId="21" fillId="0" borderId="22" xfId="62" applyNumberFormat="1" applyFont="1" applyBorder="1" applyAlignment="1">
      <alignment horizontal="center" vertical="center" wrapText="1"/>
      <protection/>
    </xf>
    <xf numFmtId="0" fontId="21" fillId="0" borderId="22" xfId="62" applyFont="1" applyBorder="1" applyAlignment="1">
      <alignment horizontal="center" vertical="center"/>
      <protection/>
    </xf>
    <xf numFmtId="0" fontId="16" fillId="0" borderId="22" xfId="62" applyFont="1" applyBorder="1" applyAlignment="1">
      <alignment horizontal="center" vertical="center"/>
      <protection/>
    </xf>
    <xf numFmtId="3" fontId="21" fillId="0" borderId="23" xfId="62" applyNumberFormat="1" applyFont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/>
    </xf>
    <xf numFmtId="0" fontId="22" fillId="32" borderId="22" xfId="0" applyFont="1" applyFill="1" applyBorder="1" applyAlignment="1">
      <alignment/>
    </xf>
    <xf numFmtId="0" fontId="27" fillId="0" borderId="22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4" fillId="0" borderId="22" xfId="61" applyFont="1" applyBorder="1">
      <alignment/>
      <protection/>
    </xf>
    <xf numFmtId="0" fontId="14" fillId="0" borderId="14" xfId="61" applyFont="1" applyBorder="1">
      <alignment/>
      <protection/>
    </xf>
    <xf numFmtId="49" fontId="22" fillId="0" borderId="22" xfId="61" applyNumberFormat="1" applyFont="1" applyBorder="1" applyAlignment="1">
      <alignment vertical="center"/>
      <protection/>
    </xf>
    <xf numFmtId="0" fontId="22" fillId="0" borderId="22" xfId="61" applyFont="1" applyBorder="1">
      <alignment/>
      <protection/>
    </xf>
    <xf numFmtId="0" fontId="22" fillId="0" borderId="14" xfId="61" applyFont="1" applyBorder="1" applyAlignment="1">
      <alignment wrapText="1"/>
      <protection/>
    </xf>
    <xf numFmtId="3" fontId="22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2" fillId="0" borderId="14" xfId="61" applyFont="1" applyBorder="1">
      <alignment/>
      <protection/>
    </xf>
    <xf numFmtId="3" fontId="22" fillId="0" borderId="0" xfId="61" applyNumberFormat="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49" fontId="22" fillId="0" borderId="22" xfId="61" applyNumberFormat="1" applyFont="1" applyBorder="1" applyAlignment="1">
      <alignment horizontal="center" vertical="center"/>
      <protection/>
    </xf>
    <xf numFmtId="49" fontId="22" fillId="33" borderId="22" xfId="61" applyNumberFormat="1" applyFont="1" applyFill="1" applyBorder="1" applyAlignment="1">
      <alignment horizontal="center" vertical="center"/>
      <protection/>
    </xf>
    <xf numFmtId="0" fontId="22" fillId="33" borderId="22" xfId="61" applyFont="1" applyFill="1" applyBorder="1" applyAlignment="1">
      <alignment vertical="center"/>
      <protection/>
    </xf>
    <xf numFmtId="0" fontId="22" fillId="33" borderId="14" xfId="61" applyFont="1" applyFill="1" applyBorder="1" applyAlignment="1">
      <alignment vertical="center" wrapText="1"/>
      <protection/>
    </xf>
    <xf numFmtId="3" fontId="22" fillId="33" borderId="21" xfId="61" applyNumberFormat="1" applyFont="1" applyFill="1" applyBorder="1" applyAlignment="1">
      <alignment vertical="center"/>
      <protection/>
    </xf>
    <xf numFmtId="3" fontId="22" fillId="33" borderId="22" xfId="61" applyNumberFormat="1" applyFont="1" applyFill="1" applyBorder="1" applyAlignment="1">
      <alignment vertical="center"/>
      <protection/>
    </xf>
    <xf numFmtId="3" fontId="22" fillId="33" borderId="23" xfId="61" applyNumberFormat="1" applyFont="1" applyFill="1" applyBorder="1" applyAlignment="1">
      <alignment vertical="center"/>
      <protection/>
    </xf>
    <xf numFmtId="3" fontId="22" fillId="33" borderId="17" xfId="61" applyNumberFormat="1" applyFont="1" applyFill="1" applyBorder="1" applyAlignment="1">
      <alignment vertical="center"/>
      <protection/>
    </xf>
    <xf numFmtId="0" fontId="14" fillId="33" borderId="22" xfId="61" applyFill="1" applyBorder="1">
      <alignment/>
      <protection/>
    </xf>
    <xf numFmtId="0" fontId="22" fillId="33" borderId="22" xfId="61" applyFont="1" applyFill="1" applyBorder="1">
      <alignment/>
      <protection/>
    </xf>
    <xf numFmtId="3" fontId="18" fillId="0" borderId="22" xfId="57" applyNumberFormat="1" applyFont="1" applyBorder="1" applyAlignment="1">
      <alignment vertical="center"/>
      <protection/>
    </xf>
    <xf numFmtId="0" fontId="22" fillId="32" borderId="2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center"/>
    </xf>
    <xf numFmtId="0" fontId="27" fillId="0" borderId="21" xfId="0" applyFont="1" applyBorder="1" applyAlignment="1">
      <alignment wrapText="1"/>
    </xf>
    <xf numFmtId="0" fontId="22" fillId="32" borderId="21" xfId="0" applyFont="1" applyFill="1" applyBorder="1" applyAlignment="1">
      <alignment vertical="center" wrapText="1"/>
    </xf>
    <xf numFmtId="49" fontId="27" fillId="0" borderId="21" xfId="0" applyNumberFormat="1" applyFont="1" applyBorder="1" applyAlignment="1">
      <alignment/>
    </xf>
    <xf numFmtId="49" fontId="27" fillId="0" borderId="21" xfId="0" applyNumberFormat="1" applyFont="1" applyBorder="1" applyAlignment="1">
      <alignment wrapText="1"/>
    </xf>
    <xf numFmtId="0" fontId="22" fillId="0" borderId="21" xfId="0" applyFont="1" applyFill="1" applyBorder="1" applyAlignment="1">
      <alignment/>
    </xf>
    <xf numFmtId="49" fontId="28" fillId="0" borderId="21" xfId="0" applyNumberFormat="1" applyFont="1" applyBorder="1" applyAlignment="1">
      <alignment/>
    </xf>
    <xf numFmtId="0" fontId="22" fillId="7" borderId="21" xfId="0" applyFont="1" applyFill="1" applyBorder="1" applyAlignment="1">
      <alignment wrapText="1"/>
    </xf>
    <xf numFmtId="0" fontId="38" fillId="0" borderId="30" xfId="61" applyFont="1" applyBorder="1" applyAlignment="1">
      <alignment horizontal="center" vertical="center" wrapText="1"/>
      <protection/>
    </xf>
    <xf numFmtId="3" fontId="22" fillId="33" borderId="31" xfId="61" applyNumberFormat="1" applyFont="1" applyFill="1" applyBorder="1" applyAlignment="1">
      <alignment vertical="center"/>
      <protection/>
    </xf>
    <xf numFmtId="0" fontId="17" fillId="0" borderId="0" xfId="62" applyFont="1" applyAlignment="1">
      <alignment horizontal="right" vertical="center"/>
      <protection/>
    </xf>
    <xf numFmtId="3" fontId="108" fillId="0" borderId="0" xfId="61" applyNumberFormat="1" applyFont="1">
      <alignment/>
      <protection/>
    </xf>
    <xf numFmtId="3" fontId="108" fillId="0" borderId="0" xfId="61" applyNumberFormat="1" applyFont="1" applyAlignment="1">
      <alignment vertical="center"/>
      <protection/>
    </xf>
    <xf numFmtId="0" fontId="41" fillId="0" borderId="0" xfId="0" applyFont="1" applyAlignment="1">
      <alignment/>
    </xf>
    <xf numFmtId="0" fontId="27" fillId="0" borderId="22" xfId="0" applyFont="1" applyFill="1" applyBorder="1" applyAlignment="1">
      <alignment/>
    </xf>
    <xf numFmtId="0" fontId="14" fillId="0" borderId="14" xfId="61" applyFont="1" applyBorder="1" applyAlignment="1">
      <alignment wrapText="1"/>
      <protection/>
    </xf>
    <xf numFmtId="0" fontId="21" fillId="34" borderId="21" xfId="62" applyFont="1" applyFill="1" applyBorder="1" applyAlignment="1">
      <alignment horizontal="center" vertical="center"/>
      <protection/>
    </xf>
    <xf numFmtId="0" fontId="15" fillId="34" borderId="0" xfId="62" applyFont="1" applyFill="1" applyAlignment="1">
      <alignment vertical="center"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32" borderId="21" xfId="0" applyFont="1" applyFill="1" applyBorder="1" applyAlignment="1">
      <alignment vertical="center"/>
    </xf>
    <xf numFmtId="49" fontId="14" fillId="35" borderId="21" xfId="0" applyNumberFormat="1" applyFont="1" applyFill="1" applyBorder="1" applyAlignment="1">
      <alignment vertical="center" wrapText="1"/>
    </xf>
    <xf numFmtId="0" fontId="14" fillId="35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7" fillId="0" borderId="0" xfId="0" applyFont="1" applyFill="1" applyAlignment="1">
      <alignment/>
    </xf>
    <xf numFmtId="49" fontId="27" fillId="0" borderId="21" xfId="0" applyNumberFormat="1" applyFont="1" applyBorder="1" applyAlignment="1">
      <alignment/>
    </xf>
    <xf numFmtId="0" fontId="14" fillId="35" borderId="21" xfId="0" applyFont="1" applyFill="1" applyBorder="1" applyAlignment="1">
      <alignment wrapText="1"/>
    </xf>
    <xf numFmtId="0" fontId="22" fillId="0" borderId="0" xfId="0" applyFont="1" applyFill="1" applyAlignment="1">
      <alignment vertical="center"/>
    </xf>
    <xf numFmtId="0" fontId="21" fillId="0" borderId="29" xfId="62" applyFont="1" applyBorder="1" applyAlignment="1">
      <alignment horizontal="center" vertical="center"/>
      <protection/>
    </xf>
    <xf numFmtId="0" fontId="16" fillId="0" borderId="18" xfId="62" applyFont="1" applyBorder="1" applyAlignment="1">
      <alignment horizontal="center" vertical="center"/>
      <protection/>
    </xf>
    <xf numFmtId="3" fontId="14" fillId="0" borderId="0" xfId="61" applyNumberFormat="1" applyFont="1">
      <alignment/>
      <protection/>
    </xf>
    <xf numFmtId="0" fontId="14" fillId="0" borderId="0" xfId="61" applyAlignment="1">
      <alignment/>
      <protection/>
    </xf>
    <xf numFmtId="164" fontId="17" fillId="0" borderId="22" xfId="0" applyNumberFormat="1" applyFont="1" applyBorder="1" applyAlignment="1">
      <alignment vertical="center"/>
    </xf>
    <xf numFmtId="164" fontId="18" fillId="0" borderId="22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2" fillId="0" borderId="22" xfId="58" applyFont="1" applyBorder="1">
      <alignment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3" fontId="42" fillId="0" borderId="22" xfId="58" applyNumberFormat="1" applyFont="1" applyBorder="1">
      <alignment/>
      <protection/>
    </xf>
    <xf numFmtId="3" fontId="20" fillId="0" borderId="22" xfId="58" applyNumberFormat="1" applyFont="1" applyBorder="1">
      <alignment/>
      <protection/>
    </xf>
    <xf numFmtId="0" fontId="19" fillId="0" borderId="0" xfId="0" applyFont="1" applyAlignment="1">
      <alignment/>
    </xf>
    <xf numFmtId="0" fontId="43" fillId="0" borderId="22" xfId="58" applyFont="1" applyBorder="1">
      <alignment/>
      <protection/>
    </xf>
    <xf numFmtId="3" fontId="43" fillId="0" borderId="22" xfId="58" applyNumberFormat="1" applyFont="1" applyBorder="1">
      <alignment/>
      <protection/>
    </xf>
    <xf numFmtId="0" fontId="44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42" fillId="0" borderId="0" xfId="58" applyFont="1" applyFill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20" fillId="0" borderId="22" xfId="58" applyFont="1" applyBorder="1">
      <alignment/>
      <protection/>
    </xf>
    <xf numFmtId="3" fontId="47" fillId="0" borderId="22" xfId="58" applyNumberFormat="1" applyFont="1" applyBorder="1">
      <alignment/>
      <protection/>
    </xf>
    <xf numFmtId="0" fontId="48" fillId="0" borderId="22" xfId="58" applyFont="1" applyBorder="1">
      <alignment/>
      <protection/>
    </xf>
    <xf numFmtId="0" fontId="48" fillId="0" borderId="22" xfId="58" applyFont="1" applyBorder="1" applyAlignment="1">
      <alignment horizontal="left"/>
      <protection/>
    </xf>
    <xf numFmtId="3" fontId="48" fillId="0" borderId="22" xfId="58" applyNumberFormat="1" applyFont="1" applyBorder="1">
      <alignment/>
      <protection/>
    </xf>
    <xf numFmtId="0" fontId="19" fillId="0" borderId="22" xfId="58" applyFont="1" applyBorder="1">
      <alignment/>
      <protection/>
    </xf>
    <xf numFmtId="0" fontId="48" fillId="0" borderId="22" xfId="58" applyFont="1" applyBorder="1" applyAlignment="1">
      <alignment horizontal="right"/>
      <protection/>
    </xf>
    <xf numFmtId="0" fontId="48" fillId="0" borderId="14" xfId="58" applyFont="1" applyBorder="1" applyAlignment="1">
      <alignment horizontal="left"/>
      <protection/>
    </xf>
    <xf numFmtId="0" fontId="48" fillId="0" borderId="17" xfId="58" applyFont="1" applyBorder="1" applyAlignment="1">
      <alignment horizontal="left"/>
      <protection/>
    </xf>
    <xf numFmtId="0" fontId="19" fillId="0" borderId="14" xfId="58" applyFont="1" applyBorder="1">
      <alignment/>
      <protection/>
    </xf>
    <xf numFmtId="0" fontId="19" fillId="0" borderId="0" xfId="58" applyFont="1">
      <alignment/>
      <protection/>
    </xf>
    <xf numFmtId="3" fontId="20" fillId="0" borderId="14" xfId="58" applyNumberFormat="1" applyFont="1" applyBorder="1">
      <alignment/>
      <protection/>
    </xf>
    <xf numFmtId="3" fontId="19" fillId="0" borderId="16" xfId="58" applyNumberFormat="1" applyFont="1" applyBorder="1">
      <alignment/>
      <protection/>
    </xf>
    <xf numFmtId="3" fontId="20" fillId="0" borderId="17" xfId="58" applyNumberFormat="1" applyFont="1" applyBorder="1">
      <alignment/>
      <protection/>
    </xf>
    <xf numFmtId="3" fontId="16" fillId="0" borderId="22" xfId="58" applyNumberFormat="1" applyFont="1" applyBorder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/>
    </xf>
    <xf numFmtId="3" fontId="49" fillId="0" borderId="22" xfId="0" applyNumberFormat="1" applyFont="1" applyBorder="1" applyAlignment="1">
      <alignment/>
    </xf>
    <xf numFmtId="0" fontId="50" fillId="0" borderId="0" xfId="0" applyFont="1" applyAlignment="1">
      <alignment/>
    </xf>
    <xf numFmtId="0" fontId="42" fillId="0" borderId="22" xfId="0" applyFont="1" applyBorder="1" applyAlignment="1">
      <alignment/>
    </xf>
    <xf numFmtId="3" fontId="42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43" fillId="0" borderId="22" xfId="0" applyFont="1" applyBorder="1" applyAlignment="1">
      <alignment/>
    </xf>
    <xf numFmtId="3" fontId="43" fillId="0" borderId="22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51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left"/>
    </xf>
    <xf numFmtId="3" fontId="48" fillId="0" borderId="22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22" xfId="0" applyFont="1" applyFill="1" applyBorder="1" applyAlignment="1">
      <alignment horizontal="left"/>
    </xf>
    <xf numFmtId="0" fontId="23" fillId="0" borderId="22" xfId="0" applyFont="1" applyBorder="1" applyAlignment="1">
      <alignment/>
    </xf>
    <xf numFmtId="0" fontId="48" fillId="0" borderId="22" xfId="0" applyFont="1" applyBorder="1" applyAlignment="1">
      <alignment horizontal="left" vertical="center" wrapText="1"/>
    </xf>
    <xf numFmtId="3" fontId="48" fillId="34" borderId="22" xfId="0" applyNumberFormat="1" applyFont="1" applyFill="1" applyBorder="1" applyAlignment="1">
      <alignment/>
    </xf>
    <xf numFmtId="0" fontId="48" fillId="0" borderId="22" xfId="0" applyFont="1" applyBorder="1" applyAlignment="1">
      <alignment horizontal="left" vertical="top"/>
    </xf>
    <xf numFmtId="0" fontId="48" fillId="0" borderId="22" xfId="0" applyFont="1" applyBorder="1" applyAlignment="1">
      <alignment horizontal="left" wrapText="1"/>
    </xf>
    <xf numFmtId="3" fontId="48" fillId="0" borderId="32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3" fontId="53" fillId="0" borderId="22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horizontal="right"/>
    </xf>
    <xf numFmtId="3" fontId="55" fillId="0" borderId="22" xfId="0" applyNumberFormat="1" applyFont="1" applyBorder="1" applyAlignment="1">
      <alignment/>
    </xf>
    <xf numFmtId="3" fontId="56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22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0" fontId="57" fillId="0" borderId="22" xfId="58" applyFont="1" applyBorder="1" applyAlignment="1">
      <alignment horizontal="left"/>
      <protection/>
    </xf>
    <xf numFmtId="49" fontId="42" fillId="0" borderId="0" xfId="60" applyNumberFormat="1" applyFont="1" applyFill="1" applyAlignment="1">
      <alignment horizontal="center" vertical="center"/>
      <protection/>
    </xf>
    <xf numFmtId="0" fontId="42" fillId="0" borderId="0" xfId="60" applyFont="1" applyFill="1" applyAlignment="1">
      <alignment vertical="center"/>
      <protection/>
    </xf>
    <xf numFmtId="0" fontId="58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60" applyFont="1" applyAlignment="1">
      <alignment horizontal="left"/>
      <protection/>
    </xf>
    <xf numFmtId="0" fontId="20" fillId="0" borderId="0" xfId="60" applyFont="1" applyFill="1" applyAlignment="1">
      <alignment vertical="center"/>
      <protection/>
    </xf>
    <xf numFmtId="0" fontId="20" fillId="0" borderId="0" xfId="60" applyFont="1" applyFill="1" applyAlignment="1">
      <alignment horizontal="left" vertical="center"/>
      <protection/>
    </xf>
    <xf numFmtId="0" fontId="43" fillId="0" borderId="33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34" xfId="60" applyFont="1" applyFill="1" applyBorder="1" applyAlignment="1">
      <alignment horizontal="center" vertical="center" wrapText="1"/>
      <protection/>
    </xf>
    <xf numFmtId="0" fontId="21" fillId="0" borderId="20" xfId="60" applyFont="1" applyFill="1" applyBorder="1" applyAlignment="1">
      <alignment horizontal="center" vertical="center" wrapText="1"/>
      <protection/>
    </xf>
    <xf numFmtId="49" fontId="42" fillId="0" borderId="35" xfId="60" applyNumberFormat="1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vertical="center" wrapText="1"/>
      <protection/>
    </xf>
    <xf numFmtId="3" fontId="43" fillId="0" borderId="10" xfId="60" applyNumberFormat="1" applyFont="1" applyFill="1" applyBorder="1" applyAlignment="1">
      <alignment vertical="center" wrapText="1"/>
      <protection/>
    </xf>
    <xf numFmtId="3" fontId="43" fillId="0" borderId="37" xfId="60" applyNumberFormat="1" applyFont="1" applyFill="1" applyBorder="1" applyAlignment="1">
      <alignment vertical="center" wrapText="1"/>
      <protection/>
    </xf>
    <xf numFmtId="3" fontId="43" fillId="0" borderId="38" xfId="60" applyNumberFormat="1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 wrapText="1"/>
      <protection/>
    </xf>
    <xf numFmtId="3" fontId="43" fillId="0" borderId="39" xfId="60" applyNumberFormat="1" applyFont="1" applyFill="1" applyBorder="1" applyAlignment="1">
      <alignment vertical="center" wrapText="1"/>
      <protection/>
    </xf>
    <xf numFmtId="3" fontId="42" fillId="0" borderId="39" xfId="60" applyNumberFormat="1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vertical="center"/>
      <protection/>
    </xf>
    <xf numFmtId="3" fontId="21" fillId="0" borderId="31" xfId="60" applyNumberFormat="1" applyFont="1" applyFill="1" applyBorder="1" applyAlignment="1">
      <alignment vertical="center"/>
      <protection/>
    </xf>
    <xf numFmtId="49" fontId="42" fillId="0" borderId="37" xfId="60" applyNumberFormat="1" applyFont="1" applyFill="1" applyBorder="1" applyAlignment="1">
      <alignment horizontal="center" vertical="center"/>
      <protection/>
    </xf>
    <xf numFmtId="3" fontId="43" fillId="0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vertical="center" wrapText="1"/>
      <protection/>
    </xf>
    <xf numFmtId="3" fontId="59" fillId="0" borderId="23" xfId="60" applyNumberFormat="1" applyFont="1" applyFill="1" applyBorder="1" applyAlignment="1">
      <alignment vertical="center"/>
      <protection/>
    </xf>
    <xf numFmtId="49" fontId="42" fillId="0" borderId="21" xfId="60" applyNumberFormat="1" applyFont="1" applyFill="1" applyBorder="1" applyAlignment="1">
      <alignment horizontal="center" vertical="center"/>
      <protection/>
    </xf>
    <xf numFmtId="3" fontId="43" fillId="0" borderId="21" xfId="60" applyNumberFormat="1" applyFont="1" applyFill="1" applyBorder="1" applyAlignment="1">
      <alignment vertical="center" wrapText="1"/>
      <protection/>
    </xf>
    <xf numFmtId="3" fontId="43" fillId="0" borderId="22" xfId="60" applyNumberFormat="1" applyFont="1" applyFill="1" applyBorder="1" applyAlignment="1">
      <alignment vertical="center" wrapText="1"/>
      <protection/>
    </xf>
    <xf numFmtId="3" fontId="43" fillId="0" borderId="17" xfId="60" applyNumberFormat="1" applyFont="1" applyFill="1" applyBorder="1" applyAlignment="1">
      <alignment vertical="center" wrapText="1"/>
      <protection/>
    </xf>
    <xf numFmtId="3" fontId="42" fillId="0" borderId="17" xfId="60" applyNumberFormat="1" applyFont="1" applyFill="1" applyBorder="1" applyAlignment="1">
      <alignment vertical="center"/>
      <protection/>
    </xf>
    <xf numFmtId="3" fontId="42" fillId="0" borderId="22" xfId="60" applyNumberFormat="1" applyFont="1" applyFill="1" applyBorder="1" applyAlignment="1">
      <alignment vertical="center"/>
      <protection/>
    </xf>
    <xf numFmtId="3" fontId="43" fillId="34" borderId="17" xfId="60" applyNumberFormat="1" applyFont="1" applyFill="1" applyBorder="1" applyAlignment="1">
      <alignment horizontal="right" vertical="center" wrapText="1"/>
      <protection/>
    </xf>
    <xf numFmtId="0" fontId="21" fillId="0" borderId="15" xfId="60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horizontal="right" vertical="center" wrapText="1"/>
      <protection/>
    </xf>
    <xf numFmtId="3" fontId="43" fillId="0" borderId="23" xfId="60" applyNumberFormat="1" applyFont="1" applyFill="1" applyBorder="1" applyAlignment="1">
      <alignment horizontal="left" vertical="center" wrapText="1"/>
      <protection/>
    </xf>
    <xf numFmtId="3" fontId="43" fillId="0" borderId="21" xfId="60" applyNumberFormat="1" applyFont="1" applyFill="1" applyBorder="1" applyAlignment="1">
      <alignment vertical="center"/>
      <protection/>
    </xf>
    <xf numFmtId="3" fontId="43" fillId="0" borderId="22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vertical="center"/>
      <protection/>
    </xf>
    <xf numFmtId="3" fontId="43" fillId="34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horizontal="left" vertical="center" wrapText="1"/>
      <protection/>
    </xf>
    <xf numFmtId="3" fontId="59" fillId="0" borderId="22" xfId="60" applyNumberFormat="1" applyFont="1" applyFill="1" applyBorder="1" applyAlignment="1">
      <alignment vertical="center"/>
      <protection/>
    </xf>
    <xf numFmtId="3" fontId="48" fillId="0" borderId="17" xfId="60" applyNumberFormat="1" applyFont="1" applyFill="1" applyBorder="1" applyAlignment="1">
      <alignment vertical="center" wrapText="1"/>
      <protection/>
    </xf>
    <xf numFmtId="3" fontId="57" fillId="0" borderId="17" xfId="60" applyNumberFormat="1" applyFont="1" applyFill="1" applyBorder="1" applyAlignment="1">
      <alignment vertical="center"/>
      <protection/>
    </xf>
    <xf numFmtId="3" fontId="59" fillId="0" borderId="17" xfId="60" applyNumberFormat="1" applyFont="1" applyFill="1" applyBorder="1" applyAlignment="1">
      <alignment vertical="center"/>
      <protection/>
    </xf>
    <xf numFmtId="3" fontId="53" fillId="0" borderId="34" xfId="60" applyNumberFormat="1" applyFont="1" applyFill="1" applyBorder="1" applyAlignment="1">
      <alignment vertical="center"/>
      <protection/>
    </xf>
    <xf numFmtId="3" fontId="43" fillId="0" borderId="35" xfId="60" applyNumberFormat="1" applyFont="1" applyFill="1" applyBorder="1" applyAlignment="1">
      <alignment vertical="center" wrapText="1"/>
      <protection/>
    </xf>
    <xf numFmtId="3" fontId="43" fillId="0" borderId="36" xfId="60" applyNumberFormat="1" applyFont="1" applyFill="1" applyBorder="1" applyAlignment="1">
      <alignment vertical="center" wrapText="1"/>
      <protection/>
    </xf>
    <xf numFmtId="0" fontId="21" fillId="0" borderId="22" xfId="60" applyFont="1" applyFill="1" applyBorder="1" applyAlignment="1">
      <alignment vertical="center" wrapText="1"/>
      <protection/>
    </xf>
    <xf numFmtId="3" fontId="43" fillId="0" borderId="11" xfId="60" applyNumberFormat="1" applyFont="1" applyFill="1" applyBorder="1" applyAlignment="1">
      <alignment vertical="center" wrapText="1"/>
      <protection/>
    </xf>
    <xf numFmtId="3" fontId="24" fillId="0" borderId="41" xfId="60" applyNumberFormat="1" applyFont="1" applyFill="1" applyBorder="1" applyAlignment="1">
      <alignment vertical="center"/>
      <protection/>
    </xf>
    <xf numFmtId="3" fontId="24" fillId="0" borderId="42" xfId="60" applyNumberFormat="1" applyFont="1" applyFill="1" applyBorder="1" applyAlignment="1">
      <alignment vertical="center"/>
      <protection/>
    </xf>
    <xf numFmtId="3" fontId="43" fillId="0" borderId="43" xfId="60" applyNumberFormat="1" applyFont="1" applyFill="1" applyBorder="1" applyAlignment="1">
      <alignment vertical="center" wrapText="1"/>
      <protection/>
    </xf>
    <xf numFmtId="0" fontId="21" fillId="0" borderId="44" xfId="60" applyFont="1" applyFill="1" applyBorder="1" applyAlignment="1">
      <alignment vertical="center" wrapText="1"/>
      <protection/>
    </xf>
    <xf numFmtId="3" fontId="43" fillId="0" borderId="45" xfId="60" applyNumberFormat="1" applyFont="1" applyFill="1" applyBorder="1" applyAlignment="1">
      <alignment vertical="center" wrapText="1"/>
      <protection/>
    </xf>
    <xf numFmtId="3" fontId="43" fillId="0" borderId="44" xfId="60" applyNumberFormat="1" applyFont="1" applyFill="1" applyBorder="1" applyAlignment="1">
      <alignment vertical="center" wrapText="1"/>
      <protection/>
    </xf>
    <xf numFmtId="3" fontId="24" fillId="0" borderId="46" xfId="60" applyNumberFormat="1" applyFont="1" applyFill="1" applyBorder="1" applyAlignment="1">
      <alignment horizontal="right" vertical="center"/>
      <protection/>
    </xf>
    <xf numFmtId="3" fontId="60" fillId="0" borderId="26" xfId="60" applyNumberFormat="1" applyFont="1" applyFill="1" applyBorder="1" applyAlignment="1">
      <alignment vertical="center"/>
      <protection/>
    </xf>
    <xf numFmtId="3" fontId="60" fillId="0" borderId="33" xfId="60" applyNumberFormat="1" applyFont="1" applyFill="1" applyBorder="1" applyAlignment="1">
      <alignment vertical="center"/>
      <protection/>
    </xf>
    <xf numFmtId="3" fontId="60" fillId="0" borderId="42" xfId="60" applyNumberFormat="1" applyFont="1" applyFill="1" applyBorder="1" applyAlignment="1">
      <alignment vertical="center"/>
      <protection/>
    </xf>
    <xf numFmtId="164" fontId="7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3" fontId="43" fillId="0" borderId="43" xfId="60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19" fillId="0" borderId="50" xfId="0" applyFont="1" applyBorder="1" applyAlignment="1">
      <alignment/>
    </xf>
    <xf numFmtId="0" fontId="20" fillId="0" borderId="51" xfId="59" applyFont="1" applyBorder="1" applyAlignment="1">
      <alignment horizontal="center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53" xfId="59" applyFont="1" applyBorder="1" applyAlignment="1">
      <alignment horizontal="center"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20" fillId="0" borderId="54" xfId="59" applyFont="1" applyBorder="1" applyAlignment="1">
      <alignment horizontal="center"/>
      <protection/>
    </xf>
    <xf numFmtId="0" fontId="20" fillId="0" borderId="55" xfId="60" applyFont="1" applyFill="1" applyBorder="1" applyAlignment="1">
      <alignment horizontal="center" vertical="center" wrapText="1"/>
      <protection/>
    </xf>
    <xf numFmtId="0" fontId="23" fillId="0" borderId="56" xfId="59" applyFont="1" applyBorder="1">
      <alignment/>
      <protection/>
    </xf>
    <xf numFmtId="0" fontId="23" fillId="0" borderId="0" xfId="59" applyFont="1" applyBorder="1">
      <alignment/>
      <protection/>
    </xf>
    <xf numFmtId="0" fontId="23" fillId="0" borderId="57" xfId="59" applyFont="1" applyBorder="1">
      <alignment/>
      <protection/>
    </xf>
    <xf numFmtId="0" fontId="23" fillId="0" borderId="58" xfId="59" applyFont="1" applyBorder="1">
      <alignment/>
      <protection/>
    </xf>
    <xf numFmtId="0" fontId="23" fillId="0" borderId="59" xfId="59" applyFont="1" applyBorder="1">
      <alignment/>
      <protection/>
    </xf>
    <xf numFmtId="3" fontId="23" fillId="0" borderId="0" xfId="59" applyNumberFormat="1" applyFont="1" applyBorder="1">
      <alignment/>
      <protection/>
    </xf>
    <xf numFmtId="3" fontId="23" fillId="0" borderId="60" xfId="59" applyNumberFormat="1" applyFont="1" applyBorder="1">
      <alignment/>
      <protection/>
    </xf>
    <xf numFmtId="0" fontId="23" fillId="0" borderId="61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3" fontId="16" fillId="0" borderId="62" xfId="59" applyNumberFormat="1" applyFont="1" applyBorder="1" applyAlignment="1">
      <alignment horizontal="right" vertical="center"/>
      <protection/>
    </xf>
    <xf numFmtId="3" fontId="16" fillId="0" borderId="32" xfId="59" applyNumberFormat="1" applyFont="1" applyBorder="1" applyAlignment="1">
      <alignment horizontal="right" vertical="center"/>
      <protection/>
    </xf>
    <xf numFmtId="3" fontId="16" fillId="0" borderId="0" xfId="59" applyNumberFormat="1" applyFont="1" applyBorder="1" applyAlignment="1">
      <alignment horizontal="right" vertical="center"/>
      <protection/>
    </xf>
    <xf numFmtId="0" fontId="16" fillId="0" borderId="62" xfId="60" applyFont="1" applyFill="1" applyBorder="1" applyAlignment="1">
      <alignment horizontal="center" vertical="center" wrapText="1"/>
      <protection/>
    </xf>
    <xf numFmtId="0" fontId="16" fillId="0" borderId="32" xfId="60" applyFont="1" applyFill="1" applyBorder="1" applyAlignment="1">
      <alignment horizontal="center" vertical="center" wrapText="1"/>
      <protection/>
    </xf>
    <xf numFmtId="0" fontId="16" fillId="0" borderId="63" xfId="6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3" fontId="16" fillId="0" borderId="56" xfId="59" applyNumberFormat="1" applyFont="1" applyBorder="1" applyAlignment="1">
      <alignment horizontal="right" vertical="center"/>
      <protection/>
    </xf>
    <xf numFmtId="3" fontId="23" fillId="0" borderId="64" xfId="59" applyNumberFormat="1" applyFont="1" applyBorder="1">
      <alignment/>
      <protection/>
    </xf>
    <xf numFmtId="0" fontId="23" fillId="0" borderId="32" xfId="59" applyFont="1" applyBorder="1">
      <alignment/>
      <protection/>
    </xf>
    <xf numFmtId="0" fontId="60" fillId="0" borderId="59" xfId="59" applyFont="1" applyBorder="1" applyAlignment="1">
      <alignment horizontal="right" vertical="center"/>
      <protection/>
    </xf>
    <xf numFmtId="0" fontId="24" fillId="0" borderId="56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8" xfId="59" applyFont="1" applyBorder="1" applyAlignment="1">
      <alignment horizontal="right"/>
      <protection/>
    </xf>
    <xf numFmtId="3" fontId="20" fillId="0" borderId="58" xfId="59" applyNumberFormat="1" applyFont="1" applyBorder="1" applyAlignment="1">
      <alignment horizontal="right"/>
      <protection/>
    </xf>
    <xf numFmtId="3" fontId="20" fillId="0" borderId="0" xfId="59" applyNumberFormat="1" applyFont="1" applyBorder="1">
      <alignment/>
      <protection/>
    </xf>
    <xf numFmtId="3" fontId="20" fillId="0" borderId="59" xfId="59" applyNumberFormat="1" applyFont="1" applyBorder="1">
      <alignment/>
      <protection/>
    </xf>
    <xf numFmtId="3" fontId="60" fillId="0" borderId="56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23" fillId="0" borderId="56" xfId="59" applyNumberFormat="1" applyFont="1" applyBorder="1">
      <alignment/>
      <protection/>
    </xf>
    <xf numFmtId="3" fontId="23" fillId="0" borderId="32" xfId="59" applyNumberFormat="1" applyFont="1" applyBorder="1">
      <alignment/>
      <protection/>
    </xf>
    <xf numFmtId="3" fontId="60" fillId="0" borderId="59" xfId="59" applyNumberFormat="1" applyFont="1" applyBorder="1" applyAlignment="1">
      <alignment horizontal="right" vertical="center"/>
      <protection/>
    </xf>
    <xf numFmtId="0" fontId="23" fillId="0" borderId="56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8" xfId="59" applyFont="1" applyBorder="1" applyAlignment="1">
      <alignment horizontal="right"/>
      <protection/>
    </xf>
    <xf numFmtId="3" fontId="23" fillId="0" borderId="49" xfId="59" applyNumberFormat="1" applyFont="1" applyFill="1" applyBorder="1">
      <alignment/>
      <protection/>
    </xf>
    <xf numFmtId="0" fontId="60" fillId="0" borderId="59" xfId="59" applyFont="1" applyBorder="1">
      <alignment/>
      <protection/>
    </xf>
    <xf numFmtId="3" fontId="23" fillId="0" borderId="49" xfId="59" applyNumberFormat="1" applyFont="1" applyBorder="1">
      <alignment/>
      <protection/>
    </xf>
    <xf numFmtId="3" fontId="60" fillId="0" borderId="56" xfId="59" applyNumberFormat="1" applyFont="1" applyBorder="1">
      <alignment/>
      <protection/>
    </xf>
    <xf numFmtId="3" fontId="60" fillId="0" borderId="32" xfId="59" applyNumberFormat="1" applyFont="1" applyBorder="1">
      <alignment/>
      <protection/>
    </xf>
    <xf numFmtId="3" fontId="60" fillId="0" borderId="64" xfId="59" applyNumberFormat="1" applyFont="1" applyBorder="1">
      <alignment/>
      <protection/>
    </xf>
    <xf numFmtId="3" fontId="60" fillId="0" borderId="59" xfId="59" applyNumberFormat="1" applyFont="1" applyBorder="1">
      <alignment/>
      <protection/>
    </xf>
    <xf numFmtId="0" fontId="19" fillId="0" borderId="56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58" xfId="59" applyFont="1" applyBorder="1" applyAlignment="1">
      <alignment horizontal="right"/>
      <protection/>
    </xf>
    <xf numFmtId="0" fontId="19" fillId="0" borderId="0" xfId="59" applyFont="1" applyBorder="1">
      <alignment/>
      <protection/>
    </xf>
    <xf numFmtId="0" fontId="19" fillId="0" borderId="59" xfId="59" applyFont="1" applyBorder="1">
      <alignment/>
      <protection/>
    </xf>
    <xf numFmtId="3" fontId="23" fillId="0" borderId="0" xfId="59" applyNumberFormat="1" applyFont="1" applyFill="1" applyBorder="1">
      <alignment/>
      <protection/>
    </xf>
    <xf numFmtId="3" fontId="61" fillId="0" borderId="0" xfId="59" applyNumberFormat="1" applyFont="1" applyBorder="1">
      <alignment/>
      <protection/>
    </xf>
    <xf numFmtId="0" fontId="61" fillId="0" borderId="56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61" fillId="0" borderId="60" xfId="59" applyFont="1" applyBorder="1">
      <alignment/>
      <protection/>
    </xf>
    <xf numFmtId="3" fontId="23" fillId="0" borderId="65" xfId="59" applyNumberFormat="1" applyFont="1" applyBorder="1">
      <alignment/>
      <protection/>
    </xf>
    <xf numFmtId="0" fontId="61" fillId="0" borderId="0" xfId="59" applyFont="1" applyBorder="1">
      <alignment/>
      <protection/>
    </xf>
    <xf numFmtId="0" fontId="19" fillId="0" borderId="50" xfId="59" applyFont="1" applyBorder="1" applyAlignment="1">
      <alignment horizontal="right"/>
      <protection/>
    </xf>
    <xf numFmtId="0" fontId="19" fillId="0" borderId="66" xfId="59" applyFont="1" applyBorder="1" applyAlignment="1">
      <alignment horizontal="right"/>
      <protection/>
    </xf>
    <xf numFmtId="0" fontId="19" fillId="0" borderId="50" xfId="59" applyFont="1" applyBorder="1">
      <alignment/>
      <protection/>
    </xf>
    <xf numFmtId="0" fontId="19" fillId="0" borderId="67" xfId="59" applyFont="1" applyBorder="1">
      <alignment/>
      <protection/>
    </xf>
    <xf numFmtId="0" fontId="23" fillId="0" borderId="50" xfId="59" applyFont="1" applyBorder="1" applyAlignment="1">
      <alignment horizontal="left"/>
      <protection/>
    </xf>
    <xf numFmtId="3" fontId="60" fillId="0" borderId="68" xfId="59" applyNumberFormat="1" applyFont="1" applyBorder="1" applyAlignment="1">
      <alignment horizontal="right" vertical="center"/>
      <protection/>
    </xf>
    <xf numFmtId="3" fontId="60" fillId="0" borderId="69" xfId="59" applyNumberFormat="1" applyFont="1" applyBorder="1" applyAlignment="1">
      <alignment horizontal="right" vertical="center"/>
      <protection/>
    </xf>
    <xf numFmtId="3" fontId="23" fillId="0" borderId="70" xfId="59" applyNumberFormat="1" applyFont="1" applyBorder="1">
      <alignment/>
      <protection/>
    </xf>
    <xf numFmtId="3" fontId="23" fillId="0" borderId="68" xfId="59" applyNumberFormat="1" applyFont="1" applyBorder="1">
      <alignment/>
      <protection/>
    </xf>
    <xf numFmtId="3" fontId="23" fillId="0" borderId="69" xfId="59" applyNumberFormat="1" applyFont="1" applyBorder="1">
      <alignment/>
      <protection/>
    </xf>
    <xf numFmtId="3" fontId="60" fillId="0" borderId="67" xfId="59" applyNumberFormat="1" applyFont="1" applyBorder="1" applyAlignment="1">
      <alignment horizontal="right" vertical="center"/>
      <protection/>
    </xf>
    <xf numFmtId="3" fontId="20" fillId="0" borderId="71" xfId="59" applyNumberFormat="1" applyFont="1" applyBorder="1" applyAlignment="1">
      <alignment horizontal="right"/>
      <protection/>
    </xf>
    <xf numFmtId="3" fontId="20" fillId="0" borderId="72" xfId="59" applyNumberFormat="1" applyFont="1" applyBorder="1">
      <alignment/>
      <protection/>
    </xf>
    <xf numFmtId="3" fontId="20" fillId="0" borderId="73" xfId="59" applyNumberFormat="1" applyFont="1" applyBorder="1">
      <alignment/>
      <protection/>
    </xf>
    <xf numFmtId="3" fontId="24" fillId="0" borderId="72" xfId="59" applyNumberFormat="1" applyFont="1" applyFill="1" applyBorder="1">
      <alignment/>
      <protection/>
    </xf>
    <xf numFmtId="3" fontId="60" fillId="0" borderId="74" xfId="59" applyNumberFormat="1" applyFont="1" applyBorder="1">
      <alignment/>
      <protection/>
    </xf>
    <xf numFmtId="3" fontId="60" fillId="0" borderId="71" xfId="59" applyNumberFormat="1" applyFont="1" applyBorder="1">
      <alignment/>
      <protection/>
    </xf>
    <xf numFmtId="3" fontId="60" fillId="0" borderId="75" xfId="59" applyNumberFormat="1" applyFont="1" applyBorder="1">
      <alignment/>
      <protection/>
    </xf>
    <xf numFmtId="3" fontId="60" fillId="0" borderId="73" xfId="59" applyNumberFormat="1" applyFont="1" applyBorder="1" applyAlignment="1">
      <alignment horizontal="right" vertical="center"/>
      <protection/>
    </xf>
    <xf numFmtId="0" fontId="19" fillId="0" borderId="61" xfId="59" applyFont="1" applyBorder="1">
      <alignment/>
      <protection/>
    </xf>
    <xf numFmtId="0" fontId="19" fillId="0" borderId="58" xfId="59" applyFont="1" applyBorder="1">
      <alignment/>
      <protection/>
    </xf>
    <xf numFmtId="0" fontId="19" fillId="0" borderId="32" xfId="59" applyFont="1" applyBorder="1">
      <alignment/>
      <protection/>
    </xf>
    <xf numFmtId="3" fontId="61" fillId="0" borderId="49" xfId="59" applyNumberFormat="1" applyFont="1" applyBorder="1" applyAlignment="1">
      <alignment/>
      <protection/>
    </xf>
    <xf numFmtId="0" fontId="19" fillId="0" borderId="76" xfId="59" applyFont="1" applyBorder="1">
      <alignment/>
      <protection/>
    </xf>
    <xf numFmtId="0" fontId="19" fillId="0" borderId="69" xfId="59" applyFont="1" applyBorder="1">
      <alignment/>
      <protection/>
    </xf>
    <xf numFmtId="0" fontId="19" fillId="0" borderId="77" xfId="59" applyFont="1" applyBorder="1">
      <alignment/>
      <protection/>
    </xf>
    <xf numFmtId="3" fontId="20" fillId="0" borderId="32" xfId="59" applyNumberFormat="1" applyFont="1" applyBorder="1" applyAlignment="1">
      <alignment horizontal="right"/>
      <protection/>
    </xf>
    <xf numFmtId="0" fontId="23" fillId="0" borderId="56" xfId="59" applyFont="1" applyBorder="1" applyAlignment="1">
      <alignment horizontal="left"/>
      <protection/>
    </xf>
    <xf numFmtId="3" fontId="60" fillId="0" borderId="78" xfId="59" applyNumberFormat="1" applyFont="1" applyBorder="1" applyAlignment="1">
      <alignment horizontal="right"/>
      <protection/>
    </xf>
    <xf numFmtId="3" fontId="60" fillId="0" borderId="56" xfId="59" applyNumberFormat="1" applyFont="1" applyBorder="1" applyAlignment="1">
      <alignment horizontal="right"/>
      <protection/>
    </xf>
    <xf numFmtId="3" fontId="60" fillId="0" borderId="32" xfId="59" applyNumberFormat="1" applyFont="1" applyBorder="1" applyAlignment="1">
      <alignment horizontal="right"/>
      <protection/>
    </xf>
    <xf numFmtId="3" fontId="20" fillId="36" borderId="79" xfId="59" applyNumberFormat="1" applyFont="1" applyFill="1" applyBorder="1" applyAlignment="1">
      <alignment horizontal="right"/>
      <protection/>
    </xf>
    <xf numFmtId="0" fontId="19" fillId="36" borderId="80" xfId="59" applyFont="1" applyFill="1" applyBorder="1">
      <alignment/>
      <protection/>
    </xf>
    <xf numFmtId="3" fontId="60" fillId="36" borderId="81" xfId="59" applyNumberFormat="1" applyFont="1" applyFill="1" applyBorder="1" applyAlignment="1">
      <alignment horizontal="right"/>
      <protection/>
    </xf>
    <xf numFmtId="3" fontId="60" fillId="36" borderId="82" xfId="59" applyNumberFormat="1" applyFont="1" applyFill="1" applyBorder="1" applyAlignment="1">
      <alignment horizontal="right"/>
      <protection/>
    </xf>
    <xf numFmtId="3" fontId="60" fillId="36" borderId="83" xfId="59" applyNumberFormat="1" applyFont="1" applyFill="1" applyBorder="1">
      <alignment/>
      <protection/>
    </xf>
    <xf numFmtId="3" fontId="60" fillId="36" borderId="81" xfId="59" applyNumberFormat="1" applyFont="1" applyFill="1" applyBorder="1">
      <alignment/>
      <protection/>
    </xf>
    <xf numFmtId="3" fontId="60" fillId="36" borderId="82" xfId="59" applyNumberFormat="1" applyFont="1" applyFill="1" applyBorder="1">
      <alignment/>
      <protection/>
    </xf>
    <xf numFmtId="3" fontId="60" fillId="36" borderId="84" xfId="59" applyNumberFormat="1" applyFont="1" applyFill="1" applyBorder="1">
      <alignment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20" fillId="0" borderId="33" xfId="59" applyFont="1" applyBorder="1" applyAlignment="1">
      <alignment horizontal="center"/>
      <protection/>
    </xf>
    <xf numFmtId="0" fontId="19" fillId="0" borderId="85" xfId="0" applyFont="1" applyBorder="1" applyAlignment="1">
      <alignment/>
    </xf>
    <xf numFmtId="0" fontId="16" fillId="0" borderId="0" xfId="59" applyFont="1" applyBorder="1" applyAlignment="1">
      <alignment horizontal="right" vertical="center"/>
      <protection/>
    </xf>
    <xf numFmtId="0" fontId="16" fillId="0" borderId="86" xfId="59" applyFont="1" applyBorder="1" applyAlignment="1">
      <alignment horizontal="right" vertical="center"/>
      <protection/>
    </xf>
    <xf numFmtId="0" fontId="23" fillId="0" borderId="64" xfId="59" applyFont="1" applyBorder="1">
      <alignment/>
      <protection/>
    </xf>
    <xf numFmtId="0" fontId="19" fillId="0" borderId="56" xfId="59" applyFont="1" applyBorder="1">
      <alignment/>
      <protection/>
    </xf>
    <xf numFmtId="0" fontId="19" fillId="0" borderId="32" xfId="59" applyFont="1" applyBorder="1" applyAlignment="1">
      <alignment horizontal="right"/>
      <protection/>
    </xf>
    <xf numFmtId="3" fontId="60" fillId="0" borderId="0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9" xfId="59" applyNumberFormat="1" applyFont="1" applyBorder="1">
      <alignment/>
      <protection/>
    </xf>
    <xf numFmtId="0" fontId="23" fillId="0" borderId="0" xfId="0" applyFont="1" applyFill="1" applyBorder="1" applyAlignment="1">
      <alignment/>
    </xf>
    <xf numFmtId="3" fontId="60" fillId="0" borderId="87" xfId="59" applyNumberFormat="1" applyFont="1" applyBorder="1">
      <alignment/>
      <protection/>
    </xf>
    <xf numFmtId="0" fontId="19" fillId="0" borderId="74" xfId="59" applyFont="1" applyBorder="1">
      <alignment/>
      <protection/>
    </xf>
    <xf numFmtId="0" fontId="19" fillId="0" borderId="72" xfId="59" applyFont="1" applyBorder="1" applyAlignment="1">
      <alignment horizontal="right"/>
      <protection/>
    </xf>
    <xf numFmtId="0" fontId="19" fillId="0" borderId="71" xfId="59" applyFont="1" applyBorder="1" applyAlignment="1">
      <alignment horizontal="right"/>
      <protection/>
    </xf>
    <xf numFmtId="0" fontId="19" fillId="0" borderId="72" xfId="59" applyFont="1" applyBorder="1">
      <alignment/>
      <protection/>
    </xf>
    <xf numFmtId="0" fontId="19" fillId="0" borderId="73" xfId="59" applyFont="1" applyBorder="1">
      <alignment/>
      <protection/>
    </xf>
    <xf numFmtId="0" fontId="19" fillId="0" borderId="72" xfId="59" applyFont="1" applyBorder="1" applyAlignment="1">
      <alignment/>
      <protection/>
    </xf>
    <xf numFmtId="0" fontId="16" fillId="0" borderId="88" xfId="59" applyFont="1" applyBorder="1" applyAlignment="1">
      <alignment horizontal="right"/>
      <protection/>
    </xf>
    <xf numFmtId="0" fontId="19" fillId="0" borderId="89" xfId="59" applyFont="1" applyBorder="1">
      <alignment/>
      <protection/>
    </xf>
    <xf numFmtId="3" fontId="16" fillId="0" borderId="90" xfId="59" applyNumberFormat="1" applyFont="1" applyBorder="1" applyAlignment="1">
      <alignment horizontal="right"/>
      <protection/>
    </xf>
    <xf numFmtId="0" fontId="16" fillId="0" borderId="72" xfId="59" applyFont="1" applyBorder="1" applyAlignment="1">
      <alignment horizontal="right"/>
      <protection/>
    </xf>
    <xf numFmtId="0" fontId="16" fillId="0" borderId="71" xfId="59" applyFont="1" applyBorder="1" applyAlignment="1">
      <alignment horizontal="right"/>
      <protection/>
    </xf>
    <xf numFmtId="0" fontId="19" fillId="0" borderId="75" xfId="59" applyFont="1" applyBorder="1">
      <alignment/>
      <protection/>
    </xf>
    <xf numFmtId="0" fontId="19" fillId="0" borderId="71" xfId="59" applyFont="1" applyBorder="1">
      <alignment/>
      <protection/>
    </xf>
    <xf numFmtId="0" fontId="60" fillId="0" borderId="91" xfId="59" applyFont="1" applyBorder="1" applyAlignment="1">
      <alignment horizontal="right" vertical="center"/>
      <protection/>
    </xf>
    <xf numFmtId="0" fontId="19" fillId="0" borderId="0" xfId="59" applyFont="1">
      <alignment/>
      <protection/>
    </xf>
    <xf numFmtId="0" fontId="19" fillId="0" borderId="92" xfId="59" applyFont="1" applyBorder="1">
      <alignment/>
      <protection/>
    </xf>
    <xf numFmtId="0" fontId="19" fillId="0" borderId="93" xfId="59" applyFont="1" applyBorder="1">
      <alignment/>
      <protection/>
    </xf>
    <xf numFmtId="0" fontId="19" fillId="0" borderId="64" xfId="59" applyFont="1" applyBorder="1">
      <alignment/>
      <protection/>
    </xf>
    <xf numFmtId="3" fontId="23" fillId="0" borderId="0" xfId="59" applyNumberFormat="1" applyFont="1">
      <alignment/>
      <protection/>
    </xf>
    <xf numFmtId="0" fontId="19" fillId="0" borderId="0" xfId="0" applyFont="1" applyAlignment="1">
      <alignment horizontal="right"/>
    </xf>
    <xf numFmtId="0" fontId="23" fillId="0" borderId="49" xfId="59" applyFont="1" applyBorder="1">
      <alignment/>
      <protection/>
    </xf>
    <xf numFmtId="3" fontId="60" fillId="0" borderId="0" xfId="59" applyNumberFormat="1" applyFont="1" applyBorder="1">
      <alignment/>
      <protection/>
    </xf>
    <xf numFmtId="3" fontId="60" fillId="0" borderId="78" xfId="59" applyNumberFormat="1" applyFont="1" applyBorder="1">
      <alignment/>
      <protection/>
    </xf>
    <xf numFmtId="0" fontId="19" fillId="0" borderId="0" xfId="0" applyFont="1" applyBorder="1" applyAlignment="1">
      <alignment horizontal="right"/>
    </xf>
    <xf numFmtId="0" fontId="19" fillId="0" borderId="49" xfId="59" applyFont="1" applyBorder="1">
      <alignment/>
      <protection/>
    </xf>
    <xf numFmtId="3" fontId="23" fillId="0" borderId="0" xfId="59" applyNumberFormat="1" applyFont="1" applyBorder="1" applyAlignment="1">
      <alignment/>
      <protection/>
    </xf>
    <xf numFmtId="0" fontId="19" fillId="0" borderId="94" xfId="59" applyFont="1" applyBorder="1">
      <alignment/>
      <protection/>
    </xf>
    <xf numFmtId="0" fontId="19" fillId="0" borderId="33" xfId="59" applyFont="1" applyBorder="1">
      <alignment/>
      <protection/>
    </xf>
    <xf numFmtId="0" fontId="19" fillId="0" borderId="48" xfId="59" applyFont="1" applyBorder="1">
      <alignment/>
      <protection/>
    </xf>
    <xf numFmtId="0" fontId="61" fillId="0" borderId="49" xfId="59" applyFont="1" applyBorder="1">
      <alignment/>
      <protection/>
    </xf>
    <xf numFmtId="0" fontId="24" fillId="0" borderId="62" xfId="59" applyFont="1" applyBorder="1" applyAlignment="1">
      <alignment horizontal="right"/>
      <protection/>
    </xf>
    <xf numFmtId="0" fontId="19" fillId="0" borderId="60" xfId="0" applyFont="1" applyBorder="1" applyAlignment="1">
      <alignment horizontal="right"/>
    </xf>
    <xf numFmtId="3" fontId="20" fillId="0" borderId="86" xfId="59" applyNumberFormat="1" applyFont="1" applyBorder="1" applyAlignment="1">
      <alignment horizontal="right"/>
      <protection/>
    </xf>
    <xf numFmtId="3" fontId="20" fillId="0" borderId="60" xfId="59" applyNumberFormat="1" applyFont="1" applyBorder="1">
      <alignment/>
      <protection/>
    </xf>
    <xf numFmtId="3" fontId="20" fillId="0" borderId="63" xfId="59" applyNumberFormat="1" applyFont="1" applyBorder="1">
      <alignment/>
      <protection/>
    </xf>
    <xf numFmtId="3" fontId="23" fillId="0" borderId="65" xfId="59" applyNumberFormat="1" applyFont="1" applyBorder="1" applyAlignment="1">
      <alignment/>
      <protection/>
    </xf>
    <xf numFmtId="0" fontId="19" fillId="0" borderId="95" xfId="59" applyFont="1" applyBorder="1">
      <alignment/>
      <protection/>
    </xf>
    <xf numFmtId="0" fontId="19" fillId="0" borderId="60" xfId="59" applyFont="1" applyBorder="1">
      <alignment/>
      <protection/>
    </xf>
    <xf numFmtId="0" fontId="19" fillId="0" borderId="65" xfId="59" applyFont="1" applyBorder="1">
      <alignment/>
      <protection/>
    </xf>
    <xf numFmtId="3" fontId="16" fillId="0" borderId="93" xfId="59" applyNumberFormat="1" applyFont="1" applyBorder="1" applyAlignment="1">
      <alignment vertical="center"/>
      <protection/>
    </xf>
    <xf numFmtId="3" fontId="60" fillId="0" borderId="62" xfId="59" applyNumberFormat="1" applyFont="1" applyBorder="1" applyAlignment="1">
      <alignment horizontal="right" vertical="center"/>
      <protection/>
    </xf>
    <xf numFmtId="3" fontId="60" fillId="0" borderId="86" xfId="59" applyNumberFormat="1" applyFont="1" applyBorder="1" applyAlignment="1">
      <alignment horizontal="right" vertical="center"/>
      <protection/>
    </xf>
    <xf numFmtId="3" fontId="60" fillId="0" borderId="96" xfId="59" applyNumberFormat="1" applyFont="1" applyBorder="1">
      <alignment/>
      <protection/>
    </xf>
    <xf numFmtId="3" fontId="60" fillId="0" borderId="62" xfId="59" applyNumberFormat="1" applyFont="1" applyBorder="1">
      <alignment/>
      <protection/>
    </xf>
    <xf numFmtId="3" fontId="60" fillId="0" borderId="86" xfId="59" applyNumberFormat="1" applyFont="1" applyBorder="1">
      <alignment/>
      <protection/>
    </xf>
    <xf numFmtId="3" fontId="60" fillId="0" borderId="63" xfId="59" applyNumberFormat="1" applyFont="1" applyBorder="1" applyAlignment="1">
      <alignment horizontal="right" vertical="center"/>
      <protection/>
    </xf>
    <xf numFmtId="3" fontId="61" fillId="0" borderId="0" xfId="59" applyNumberFormat="1" applyFont="1" applyBorder="1" applyAlignment="1">
      <alignment/>
      <protection/>
    </xf>
    <xf numFmtId="3" fontId="61" fillId="0" borderId="0" xfId="59" applyNumberFormat="1" applyFont="1">
      <alignment/>
      <protection/>
    </xf>
    <xf numFmtId="3" fontId="16" fillId="0" borderId="52" xfId="59" applyNumberFormat="1" applyFont="1" applyBorder="1">
      <alignment/>
      <protection/>
    </xf>
    <xf numFmtId="0" fontId="62" fillId="0" borderId="53" xfId="59" applyFont="1" applyBorder="1">
      <alignment/>
      <protection/>
    </xf>
    <xf numFmtId="0" fontId="62" fillId="0" borderId="33" xfId="59" applyFont="1" applyBorder="1">
      <alignment/>
      <protection/>
    </xf>
    <xf numFmtId="0" fontId="62" fillId="0" borderId="48" xfId="59" applyFont="1" applyBorder="1">
      <alignment/>
      <protection/>
    </xf>
    <xf numFmtId="3" fontId="16" fillId="0" borderId="97" xfId="59" applyNumberFormat="1" applyFont="1" applyBorder="1" applyAlignment="1">
      <alignment vertical="center"/>
      <protection/>
    </xf>
    <xf numFmtId="3" fontId="60" fillId="0" borderId="53" xfId="59" applyNumberFormat="1" applyFont="1" applyBorder="1" applyAlignment="1">
      <alignment horizontal="right" vertical="center"/>
      <protection/>
    </xf>
    <xf numFmtId="3" fontId="60" fillId="0" borderId="51" xfId="59" applyNumberFormat="1" applyFont="1" applyBorder="1" applyAlignment="1">
      <alignment horizontal="right" vertical="center"/>
      <protection/>
    </xf>
    <xf numFmtId="3" fontId="60" fillId="0" borderId="53" xfId="59" applyNumberFormat="1" applyFont="1" applyBorder="1">
      <alignment/>
      <protection/>
    </xf>
    <xf numFmtId="3" fontId="60" fillId="0" borderId="51" xfId="59" applyNumberFormat="1" applyFont="1" applyBorder="1">
      <alignment/>
      <protection/>
    </xf>
    <xf numFmtId="3" fontId="60" fillId="0" borderId="52" xfId="59" applyNumberFormat="1" applyFont="1" applyBorder="1" applyAlignment="1">
      <alignment horizontal="right" vertical="center"/>
      <protection/>
    </xf>
    <xf numFmtId="0" fontId="19" fillId="36" borderId="98" xfId="59" applyFont="1" applyFill="1" applyBorder="1">
      <alignment/>
      <protection/>
    </xf>
    <xf numFmtId="3" fontId="46" fillId="0" borderId="99" xfId="59" applyNumberFormat="1" applyFont="1" applyBorder="1" applyAlignment="1">
      <alignment horizontal="center"/>
      <protection/>
    </xf>
    <xf numFmtId="3" fontId="46" fillId="0" borderId="100" xfId="59" applyNumberFormat="1" applyFont="1" applyBorder="1" applyAlignment="1">
      <alignment horizontal="center"/>
      <protection/>
    </xf>
    <xf numFmtId="3" fontId="46" fillId="0" borderId="101" xfId="59" applyNumberFormat="1" applyFont="1" applyBorder="1">
      <alignment/>
      <protection/>
    </xf>
    <xf numFmtId="0" fontId="23" fillId="0" borderId="102" xfId="59" applyFont="1" applyBorder="1" applyAlignment="1">
      <alignment horizontal="left"/>
      <protection/>
    </xf>
    <xf numFmtId="3" fontId="16" fillId="0" borderId="102" xfId="59" applyNumberFormat="1" applyFont="1" applyBorder="1" applyAlignment="1">
      <alignment horizontal="right" vertical="center"/>
      <protection/>
    </xf>
    <xf numFmtId="0" fontId="19" fillId="0" borderId="102" xfId="59" applyFont="1" applyBorder="1">
      <alignment/>
      <protection/>
    </xf>
    <xf numFmtId="3" fontId="16" fillId="0" borderId="103" xfId="59" applyNumberFormat="1" applyFont="1" applyBorder="1">
      <alignment/>
      <protection/>
    </xf>
    <xf numFmtId="0" fontId="19" fillId="0" borderId="85" xfId="59" applyFont="1" applyBorder="1">
      <alignment/>
      <protection/>
    </xf>
    <xf numFmtId="3" fontId="16" fillId="0" borderId="102" xfId="59" applyNumberFormat="1" applyFont="1" applyBorder="1">
      <alignment/>
      <protection/>
    </xf>
    <xf numFmtId="3" fontId="46" fillId="0" borderId="104" xfId="59" applyNumberFormat="1" applyFont="1" applyBorder="1">
      <alignment/>
      <protection/>
    </xf>
    <xf numFmtId="3" fontId="46" fillId="0" borderId="99" xfId="59" applyNumberFormat="1" applyFont="1" applyBorder="1">
      <alignment/>
      <protection/>
    </xf>
    <xf numFmtId="3" fontId="46" fillId="0" borderId="105" xfId="59" applyNumberFormat="1" applyFont="1" applyBorder="1">
      <alignment/>
      <protection/>
    </xf>
    <xf numFmtId="3" fontId="63" fillId="0" borderId="85" xfId="59" applyNumberFormat="1" applyFont="1" applyBorder="1">
      <alignment/>
      <protection/>
    </xf>
    <xf numFmtId="3" fontId="63" fillId="0" borderId="99" xfId="59" applyNumberFormat="1" applyFont="1" applyBorder="1">
      <alignment/>
      <protection/>
    </xf>
    <xf numFmtId="3" fontId="63" fillId="0" borderId="91" xfId="59" applyNumberFormat="1" applyFont="1" applyBorder="1">
      <alignment/>
      <protection/>
    </xf>
    <xf numFmtId="0" fontId="23" fillId="0" borderId="50" xfId="59" applyFont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0" fontId="15" fillId="0" borderId="0" xfId="59" applyFont="1">
      <alignment/>
      <protection/>
    </xf>
    <xf numFmtId="0" fontId="20" fillId="0" borderId="0" xfId="59" applyFont="1" applyAlignment="1">
      <alignment horizontal="left"/>
      <protection/>
    </xf>
    <xf numFmtId="3" fontId="19" fillId="0" borderId="0" xfId="59" applyNumberFormat="1" applyFont="1">
      <alignment/>
      <protection/>
    </xf>
    <xf numFmtId="0" fontId="23" fillId="0" borderId="0" xfId="59" applyFont="1" applyFill="1" applyBorder="1">
      <alignment/>
      <protection/>
    </xf>
    <xf numFmtId="0" fontId="42" fillId="0" borderId="27" xfId="59" applyFont="1" applyBorder="1">
      <alignment/>
      <protection/>
    </xf>
    <xf numFmtId="3" fontId="19" fillId="0" borderId="27" xfId="59" applyNumberFormat="1" applyFont="1" applyBorder="1">
      <alignment/>
      <protection/>
    </xf>
    <xf numFmtId="0" fontId="19" fillId="0" borderId="27" xfId="59" applyFont="1" applyBorder="1">
      <alignment/>
      <protection/>
    </xf>
    <xf numFmtId="0" fontId="19" fillId="0" borderId="0" xfId="59" applyFont="1" applyAlignment="1">
      <alignment horizontal="right"/>
      <protection/>
    </xf>
    <xf numFmtId="0" fontId="19" fillId="0" borderId="0" xfId="59" applyFont="1" applyAlignment="1">
      <alignment/>
      <protection/>
    </xf>
    <xf numFmtId="0" fontId="19" fillId="0" borderId="0" xfId="0" applyFont="1" applyAlignment="1">
      <alignment horizontal="left"/>
    </xf>
    <xf numFmtId="0" fontId="20" fillId="0" borderId="0" xfId="59" applyFont="1">
      <alignment/>
      <protection/>
    </xf>
    <xf numFmtId="3" fontId="20" fillId="0" borderId="0" xfId="59" applyNumberFormat="1" applyFont="1">
      <alignment/>
      <protection/>
    </xf>
    <xf numFmtId="0" fontId="20" fillId="0" borderId="18" xfId="59" applyFont="1" applyBorder="1" applyAlignment="1">
      <alignment horizontal="center"/>
      <protection/>
    </xf>
    <xf numFmtId="0" fontId="20" fillId="0" borderId="106" xfId="59" applyFont="1" applyBorder="1" applyAlignment="1">
      <alignment horizontal="center"/>
      <protection/>
    </xf>
    <xf numFmtId="0" fontId="20" fillId="0" borderId="51" xfId="59" applyFont="1" applyBorder="1" applyAlignment="1">
      <alignment horizontal="center" vertical="center"/>
      <protection/>
    </xf>
    <xf numFmtId="0" fontId="20" fillId="0" borderId="33" xfId="59" applyFont="1" applyBorder="1" applyAlignment="1">
      <alignment horizontal="center" vertical="center"/>
      <protection/>
    </xf>
    <xf numFmtId="0" fontId="20" fillId="0" borderId="94" xfId="59" applyFont="1" applyBorder="1" applyAlignment="1">
      <alignment horizontal="center" vertical="center"/>
      <protection/>
    </xf>
    <xf numFmtId="0" fontId="20" fillId="0" borderId="18" xfId="59" applyFont="1" applyBorder="1" applyAlignment="1">
      <alignment vertical="center"/>
      <protection/>
    </xf>
    <xf numFmtId="0" fontId="20" fillId="0" borderId="53" xfId="59" applyFont="1" applyBorder="1" applyAlignment="1">
      <alignment horizontal="center" vertical="center"/>
      <protection/>
    </xf>
    <xf numFmtId="0" fontId="20" fillId="0" borderId="106" xfId="59" applyFont="1" applyBorder="1" applyAlignment="1">
      <alignment vertical="center"/>
      <protection/>
    </xf>
    <xf numFmtId="0" fontId="20" fillId="0" borderId="107" xfId="59" applyFont="1" applyBorder="1" applyAlignment="1">
      <alignment horizontal="center" vertical="center"/>
      <protection/>
    </xf>
    <xf numFmtId="0" fontId="20" fillId="0" borderId="106" xfId="59" applyFont="1" applyBorder="1" applyAlignment="1">
      <alignment horizontal="center" vertical="center"/>
      <protection/>
    </xf>
    <xf numFmtId="49" fontId="27" fillId="0" borderId="21" xfId="0" applyNumberFormat="1" applyFont="1" applyBorder="1" applyAlignment="1">
      <alignment vertical="center" wrapText="1"/>
    </xf>
    <xf numFmtId="0" fontId="27" fillId="0" borderId="22" xfId="0" applyFont="1" applyBorder="1" applyAlignment="1">
      <alignment vertical="center"/>
    </xf>
    <xf numFmtId="0" fontId="22" fillId="7" borderId="22" xfId="0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164" fontId="15" fillId="34" borderId="22" xfId="62" applyNumberFormat="1" applyFont="1" applyFill="1" applyBorder="1" applyAlignment="1">
      <alignment horizontal="right" vertical="center"/>
      <protection/>
    </xf>
    <xf numFmtId="164" fontId="15" fillId="34" borderId="22" xfId="62" applyNumberFormat="1" applyFont="1" applyFill="1" applyBorder="1" applyAlignment="1">
      <alignment horizontal="right" vertical="center" wrapText="1"/>
      <protection/>
    </xf>
    <xf numFmtId="164" fontId="16" fillId="34" borderId="23" xfId="62" applyNumberFormat="1" applyFont="1" applyFill="1" applyBorder="1" applyAlignment="1">
      <alignment horizontal="right" vertical="center" wrapText="1"/>
      <protection/>
    </xf>
    <xf numFmtId="164" fontId="15" fillId="0" borderId="22" xfId="62" applyNumberFormat="1" applyFont="1" applyFill="1" applyBorder="1" applyAlignment="1">
      <alignment horizontal="right" vertical="center"/>
      <protection/>
    </xf>
    <xf numFmtId="164" fontId="15" fillId="0" borderId="22" xfId="62" applyNumberFormat="1" applyFont="1" applyFill="1" applyBorder="1" applyAlignment="1">
      <alignment horizontal="right" vertical="center" wrapText="1"/>
      <protection/>
    </xf>
    <xf numFmtId="164" fontId="16" fillId="0" borderId="23" xfId="62" applyNumberFormat="1" applyFont="1" applyBorder="1" applyAlignment="1">
      <alignment horizontal="right" vertical="center" wrapText="1"/>
      <protection/>
    </xf>
    <xf numFmtId="164" fontId="15" fillId="0" borderId="18" xfId="62" applyNumberFormat="1" applyFont="1" applyFill="1" applyBorder="1" applyAlignment="1">
      <alignment horizontal="right" vertical="center"/>
      <protection/>
    </xf>
    <xf numFmtId="164" fontId="15" fillId="0" borderId="18" xfId="62" applyNumberFormat="1" applyFont="1" applyFill="1" applyBorder="1" applyAlignment="1">
      <alignment horizontal="right" vertical="center" wrapText="1"/>
      <protection/>
    </xf>
    <xf numFmtId="164" fontId="16" fillId="0" borderId="34" xfId="62" applyNumberFormat="1" applyFont="1" applyBorder="1" applyAlignment="1">
      <alignment horizontal="right" vertical="center" wrapText="1"/>
      <protection/>
    </xf>
    <xf numFmtId="0" fontId="19" fillId="0" borderId="0" xfId="0" applyFont="1" applyAlignment="1">
      <alignment vertical="center"/>
    </xf>
    <xf numFmtId="0" fontId="23" fillId="0" borderId="61" xfId="59" applyFont="1" applyBorder="1" applyAlignment="1">
      <alignment horizontal="left" wrapText="1"/>
      <protection/>
    </xf>
    <xf numFmtId="0" fontId="61" fillId="0" borderId="61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0" fontId="23" fillId="0" borderId="0" xfId="59" applyFont="1" applyAlignment="1">
      <alignment horizontal="left" wrapText="1"/>
      <protection/>
    </xf>
    <xf numFmtId="3" fontId="20" fillId="36" borderId="82" xfId="59" applyNumberFormat="1" applyFont="1" applyFill="1" applyBorder="1" applyAlignment="1">
      <alignment horizontal="right"/>
      <protection/>
    </xf>
    <xf numFmtId="3" fontId="20" fillId="36" borderId="98" xfId="59" applyNumberFormat="1" applyFont="1" applyFill="1" applyBorder="1">
      <alignment/>
      <protection/>
    </xf>
    <xf numFmtId="3" fontId="20" fillId="36" borderId="84" xfId="59" applyNumberFormat="1" applyFont="1" applyFill="1" applyBorder="1">
      <alignment/>
      <protection/>
    </xf>
    <xf numFmtId="3" fontId="23" fillId="0" borderId="65" xfId="0" applyNumberFormat="1" applyFont="1" applyBorder="1" applyAlignment="1">
      <alignment/>
    </xf>
    <xf numFmtId="3" fontId="23" fillId="0" borderId="49" xfId="0" applyNumberFormat="1" applyFont="1" applyBorder="1" applyAlignment="1">
      <alignment/>
    </xf>
    <xf numFmtId="0" fontId="23" fillId="36" borderId="81" xfId="59" applyFont="1" applyFill="1" applyBorder="1" applyAlignment="1">
      <alignment horizontal="left"/>
      <protection/>
    </xf>
    <xf numFmtId="3" fontId="16" fillId="36" borderId="79" xfId="59" applyNumberFormat="1" applyFont="1" applyFill="1" applyBorder="1" applyAlignment="1">
      <alignment horizontal="right"/>
      <protection/>
    </xf>
    <xf numFmtId="3" fontId="16" fillId="36" borderId="108" xfId="59" applyNumberFormat="1" applyFont="1" applyFill="1" applyBorder="1" applyAlignment="1">
      <alignment horizontal="right"/>
      <protection/>
    </xf>
    <xf numFmtId="3" fontId="60" fillId="36" borderId="98" xfId="59" applyNumberFormat="1" applyFont="1" applyFill="1" applyBorder="1" applyAlignment="1">
      <alignment horizontal="right"/>
      <protection/>
    </xf>
    <xf numFmtId="3" fontId="60" fillId="36" borderId="84" xfId="59" applyNumberFormat="1" applyFont="1" applyFill="1" applyBorder="1" applyAlignment="1">
      <alignment horizontal="right" vertical="center"/>
      <protection/>
    </xf>
    <xf numFmtId="0" fontId="19" fillId="0" borderId="57" xfId="0" applyFont="1" applyBorder="1" applyAlignment="1">
      <alignment horizontal="right"/>
    </xf>
    <xf numFmtId="3" fontId="20" fillId="36" borderId="82" xfId="59" applyNumberFormat="1" applyFont="1" applyFill="1" applyBorder="1" applyAlignment="1">
      <alignment vertical="center"/>
      <protection/>
    </xf>
    <xf numFmtId="3" fontId="20" fillId="36" borderId="109" xfId="59" applyNumberFormat="1" applyFont="1" applyFill="1" applyBorder="1" applyAlignment="1">
      <alignment vertical="center"/>
      <protection/>
    </xf>
    <xf numFmtId="3" fontId="20" fillId="36" borderId="110" xfId="59" applyNumberFormat="1" applyFont="1" applyFill="1" applyBorder="1" applyAlignment="1">
      <alignment vertical="center"/>
      <protection/>
    </xf>
    <xf numFmtId="0" fontId="23" fillId="36" borderId="0" xfId="59" applyFont="1" applyFill="1" applyBorder="1" applyAlignment="1">
      <alignment horizontal="left" vertical="center" wrapText="1"/>
      <protection/>
    </xf>
    <xf numFmtId="3" fontId="16" fillId="36" borderId="92" xfId="59" applyNumberFormat="1" applyFont="1" applyFill="1" applyBorder="1" applyAlignment="1">
      <alignment vertical="center"/>
      <protection/>
    </xf>
    <xf numFmtId="0" fontId="19" fillId="36" borderId="80" xfId="59" applyFont="1" applyFill="1" applyBorder="1" applyAlignment="1">
      <alignment vertical="center"/>
      <protection/>
    </xf>
    <xf numFmtId="3" fontId="16" fillId="36" borderId="79" xfId="59" applyNumberFormat="1" applyFont="1" applyFill="1" applyBorder="1" applyAlignment="1">
      <alignment vertical="center"/>
      <protection/>
    </xf>
    <xf numFmtId="0" fontId="19" fillId="36" borderId="98" xfId="59" applyFont="1" applyFill="1" applyBorder="1" applyAlignment="1">
      <alignment vertical="center"/>
      <protection/>
    </xf>
    <xf numFmtId="3" fontId="16" fillId="36" borderId="89" xfId="59" applyNumberFormat="1" applyFont="1" applyFill="1" applyBorder="1" applyAlignment="1">
      <alignment vertical="center"/>
      <protection/>
    </xf>
    <xf numFmtId="3" fontId="60" fillId="36" borderId="111" xfId="59" applyNumberFormat="1" applyFont="1" applyFill="1" applyBorder="1" applyAlignment="1">
      <alignment vertical="center"/>
      <protection/>
    </xf>
    <xf numFmtId="3" fontId="60" fillId="36" borderId="99" xfId="59" applyNumberFormat="1" applyFont="1" applyFill="1" applyBorder="1" applyAlignment="1">
      <alignment vertical="center"/>
      <protection/>
    </xf>
    <xf numFmtId="3" fontId="60" fillId="36" borderId="91" xfId="59" applyNumberFormat="1" applyFont="1" applyFill="1" applyBorder="1" applyAlignment="1">
      <alignment vertical="center"/>
      <protection/>
    </xf>
    <xf numFmtId="3" fontId="60" fillId="36" borderId="112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3" fontId="23" fillId="0" borderId="0" xfId="59" applyNumberFormat="1" applyFont="1" applyBorder="1" applyAlignment="1">
      <alignment horizontal="right" vertical="center"/>
      <protection/>
    </xf>
    <xf numFmtId="3" fontId="23" fillId="0" borderId="49" xfId="59" applyNumberFormat="1" applyFont="1" applyBorder="1" applyAlignment="1">
      <alignment/>
      <protection/>
    </xf>
    <xf numFmtId="3" fontId="23" fillId="0" borderId="49" xfId="59" applyNumberFormat="1" applyFont="1" applyBorder="1" applyAlignment="1">
      <alignment vertical="center"/>
      <protection/>
    </xf>
    <xf numFmtId="3" fontId="23" fillId="0" borderId="113" xfId="59" applyNumberFormat="1" applyFont="1" applyBorder="1">
      <alignment/>
      <protection/>
    </xf>
    <xf numFmtId="3" fontId="23" fillId="0" borderId="114" xfId="59" applyNumberFormat="1" applyFont="1" applyBorder="1">
      <alignment/>
      <protection/>
    </xf>
    <xf numFmtId="3" fontId="23" fillId="0" borderId="48" xfId="59" applyNumberFormat="1" applyFont="1" applyFill="1" applyBorder="1" applyAlignment="1">
      <alignment vertical="center"/>
      <protection/>
    </xf>
    <xf numFmtId="3" fontId="23" fillId="0" borderId="65" xfId="59" applyNumberFormat="1" applyFont="1" applyBorder="1" applyAlignment="1">
      <alignment vertical="center"/>
      <protection/>
    </xf>
    <xf numFmtId="3" fontId="23" fillId="0" borderId="49" xfId="59" applyNumberFormat="1" applyFont="1" applyFill="1" applyBorder="1" applyAlignment="1">
      <alignment vertical="center"/>
      <protection/>
    </xf>
    <xf numFmtId="3" fontId="23" fillId="0" borderId="0" xfId="59" applyNumberFormat="1" applyFont="1" applyBorder="1" applyAlignment="1">
      <alignment vertical="center"/>
      <protection/>
    </xf>
    <xf numFmtId="3" fontId="23" fillId="0" borderId="65" xfId="59" applyNumberFormat="1" applyFont="1" applyFill="1" applyBorder="1" applyAlignment="1">
      <alignment vertical="center"/>
      <protection/>
    </xf>
    <xf numFmtId="0" fontId="45" fillId="0" borderId="0" xfId="60" applyFont="1" applyFill="1" applyAlignment="1">
      <alignment vertical="center" wrapText="1"/>
      <protection/>
    </xf>
    <xf numFmtId="0" fontId="45" fillId="0" borderId="72" xfId="60" applyFont="1" applyFill="1" applyBorder="1" applyAlignment="1">
      <alignment vertical="center" wrapText="1"/>
      <protection/>
    </xf>
    <xf numFmtId="0" fontId="19" fillId="0" borderId="74" xfId="59" applyFont="1" applyBorder="1" applyAlignment="1">
      <alignment horizontal="right"/>
      <protection/>
    </xf>
    <xf numFmtId="0" fontId="19" fillId="0" borderId="68" xfId="59" applyFont="1" applyBorder="1" applyAlignment="1">
      <alignment horizontal="right"/>
      <protection/>
    </xf>
    <xf numFmtId="0" fontId="24" fillId="0" borderId="74" xfId="59" applyFont="1" applyBorder="1" applyAlignment="1">
      <alignment horizontal="right"/>
      <protection/>
    </xf>
    <xf numFmtId="3" fontId="23" fillId="0" borderId="113" xfId="0" applyNumberFormat="1" applyFont="1" applyBorder="1" applyAlignment="1">
      <alignment/>
    </xf>
    <xf numFmtId="3" fontId="24" fillId="0" borderId="115" xfId="60" applyNumberFormat="1" applyFont="1" applyFill="1" applyBorder="1" applyAlignment="1">
      <alignment horizontal="right" vertical="center"/>
      <protection/>
    </xf>
    <xf numFmtId="3" fontId="24" fillId="0" borderId="106" xfId="60" applyNumberFormat="1" applyFont="1" applyFill="1" applyBorder="1" applyAlignment="1">
      <alignment horizontal="right" vertical="center"/>
      <protection/>
    </xf>
    <xf numFmtId="3" fontId="60" fillId="0" borderId="41" xfId="60" applyNumberFormat="1" applyFont="1" applyFill="1" applyBorder="1" applyAlignment="1">
      <alignment vertical="center"/>
      <protection/>
    </xf>
    <xf numFmtId="3" fontId="2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3" fontId="43" fillId="0" borderId="38" xfId="0" applyNumberFormat="1" applyFont="1" applyFill="1" applyBorder="1" applyAlignment="1">
      <alignment horizontal="center" vertical="center"/>
    </xf>
    <xf numFmtId="0" fontId="43" fillId="0" borderId="11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 wrapText="1"/>
    </xf>
    <xf numFmtId="3" fontId="58" fillId="0" borderId="24" xfId="0" applyNumberFormat="1" applyFont="1" applyFill="1" applyBorder="1" applyAlignment="1">
      <alignment vertical="center"/>
    </xf>
    <xf numFmtId="3" fontId="43" fillId="0" borderId="39" xfId="0" applyNumberFormat="1" applyFont="1" applyFill="1" applyBorder="1" applyAlignment="1">
      <alignment vertical="center"/>
    </xf>
    <xf numFmtId="3" fontId="43" fillId="0" borderId="38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9" fontId="42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3" fontId="58" fillId="0" borderId="11" xfId="0" applyNumberFormat="1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3" fontId="42" fillId="0" borderId="0" xfId="0" applyNumberFormat="1" applyFont="1" applyFill="1" applyAlignment="1">
      <alignment vertical="center"/>
    </xf>
    <xf numFmtId="3" fontId="58" fillId="0" borderId="22" xfId="0" applyNumberFormat="1" applyFont="1" applyFill="1" applyBorder="1" applyAlignment="1">
      <alignment vertical="center"/>
    </xf>
    <xf numFmtId="3" fontId="58" fillId="0" borderId="22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3" fontId="43" fillId="0" borderId="22" xfId="0" applyNumberFormat="1" applyFont="1" applyFill="1" applyBorder="1" applyAlignment="1">
      <alignment horizontal="right" vertical="center"/>
    </xf>
    <xf numFmtId="49" fontId="42" fillId="0" borderId="45" xfId="0" applyNumberFormat="1" applyFont="1" applyFill="1" applyBorder="1" applyAlignment="1">
      <alignment horizontal="center" vertical="center"/>
    </xf>
    <xf numFmtId="3" fontId="43" fillId="0" borderId="44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1" fillId="0" borderId="44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3" fontId="66" fillId="0" borderId="34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6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58" fillId="0" borderId="0" xfId="0" applyNumberFormat="1" applyFont="1" applyFill="1" applyAlignment="1">
      <alignment vertical="center"/>
    </xf>
    <xf numFmtId="0" fontId="19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2" fillId="0" borderId="21" xfId="61" applyNumberFormat="1" applyFont="1" applyBorder="1" applyAlignment="1">
      <alignment vertical="center"/>
      <protection/>
    </xf>
    <xf numFmtId="3" fontId="22" fillId="0" borderId="22" xfId="61" applyNumberFormat="1" applyFont="1" applyBorder="1" applyAlignment="1">
      <alignment vertical="center"/>
      <protection/>
    </xf>
    <xf numFmtId="3" fontId="22" fillId="0" borderId="23" xfId="61" applyNumberFormat="1" applyFont="1" applyBorder="1" applyAlignment="1">
      <alignment vertical="center"/>
      <protection/>
    </xf>
    <xf numFmtId="3" fontId="22" fillId="0" borderId="21" xfId="61" applyNumberFormat="1" applyFont="1" applyBorder="1" applyAlignment="1">
      <alignment vertical="center"/>
      <protection/>
    </xf>
    <xf numFmtId="3" fontId="22" fillId="0" borderId="17" xfId="61" applyNumberFormat="1" applyFont="1" applyBorder="1" applyAlignment="1">
      <alignment vertical="center"/>
      <protection/>
    </xf>
    <xf numFmtId="3" fontId="22" fillId="0" borderId="31" xfId="61" applyNumberFormat="1" applyFont="1" applyBorder="1" applyAlignment="1">
      <alignment vertical="center"/>
      <protection/>
    </xf>
    <xf numFmtId="3" fontId="14" fillId="0" borderId="21" xfId="61" applyNumberFormat="1" applyBorder="1" applyAlignment="1">
      <alignment vertical="center"/>
      <protection/>
    </xf>
    <xf numFmtId="3" fontId="14" fillId="0" borderId="22" xfId="61" applyNumberFormat="1" applyBorder="1" applyAlignment="1">
      <alignment vertical="center"/>
      <protection/>
    </xf>
    <xf numFmtId="3" fontId="14" fillId="0" borderId="23" xfId="61" applyNumberFormat="1" applyBorder="1" applyAlignment="1">
      <alignment vertical="center"/>
      <protection/>
    </xf>
    <xf numFmtId="3" fontId="14" fillId="0" borderId="17" xfId="61" applyNumberFormat="1" applyBorder="1" applyAlignment="1">
      <alignment vertical="center"/>
      <protection/>
    </xf>
    <xf numFmtId="3" fontId="14" fillId="0" borderId="31" xfId="61" applyNumberFormat="1" applyBorder="1" applyAlignment="1">
      <alignment vertical="center"/>
      <protection/>
    </xf>
    <xf numFmtId="3" fontId="14" fillId="33" borderId="21" xfId="61" applyNumberFormat="1" applyFill="1" applyBorder="1" applyAlignment="1">
      <alignment vertical="center"/>
      <protection/>
    </xf>
    <xf numFmtId="3" fontId="14" fillId="33" borderId="22" xfId="61" applyNumberFormat="1" applyFill="1" applyBorder="1" applyAlignment="1">
      <alignment vertical="center"/>
      <protection/>
    </xf>
    <xf numFmtId="3" fontId="14" fillId="33" borderId="17" xfId="61" applyNumberFormat="1" applyFill="1" applyBorder="1" applyAlignment="1">
      <alignment vertical="center"/>
      <protection/>
    </xf>
    <xf numFmtId="169" fontId="14" fillId="0" borderId="21" xfId="61" applyNumberFormat="1" applyBorder="1" applyAlignment="1">
      <alignment vertical="center"/>
      <protection/>
    </xf>
    <xf numFmtId="169" fontId="14" fillId="0" borderId="17" xfId="61" applyNumberForma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vertical="center"/>
      <protection/>
    </xf>
    <xf numFmtId="3" fontId="22" fillId="0" borderId="22" xfId="61" applyNumberFormat="1" applyFont="1" applyFill="1" applyBorder="1" applyAlignment="1">
      <alignment vertical="center"/>
      <protection/>
    </xf>
    <xf numFmtId="169" fontId="22" fillId="0" borderId="21" xfId="61" applyNumberFormat="1" applyFont="1" applyBorder="1" applyAlignment="1">
      <alignment vertical="center"/>
      <protection/>
    </xf>
    <xf numFmtId="169" fontId="22" fillId="0" borderId="17" xfId="61" applyNumberFormat="1" applyFon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horizontal="center" vertical="center"/>
      <protection/>
    </xf>
    <xf numFmtId="3" fontId="22" fillId="0" borderId="22" xfId="61" applyNumberFormat="1" applyFont="1" applyFill="1" applyBorder="1" applyAlignment="1">
      <alignment horizontal="center" vertical="center"/>
      <protection/>
    </xf>
    <xf numFmtId="4" fontId="22" fillId="33" borderId="21" xfId="61" applyNumberFormat="1" applyFont="1" applyFill="1" applyBorder="1" applyAlignment="1">
      <alignment vertical="center"/>
      <protection/>
    </xf>
    <xf numFmtId="4" fontId="22" fillId="33" borderId="17" xfId="61" applyNumberFormat="1" applyFont="1" applyFill="1" applyBorder="1" applyAlignment="1">
      <alignment vertical="center"/>
      <protection/>
    </xf>
    <xf numFmtId="2" fontId="14" fillId="0" borderId="21" xfId="61" applyNumberFormat="1" applyBorder="1" applyAlignment="1">
      <alignment vertical="center"/>
      <protection/>
    </xf>
    <xf numFmtId="2" fontId="14" fillId="0" borderId="17" xfId="61" applyNumberFormat="1" applyBorder="1" applyAlignment="1">
      <alignment vertical="center"/>
      <protection/>
    </xf>
    <xf numFmtId="4" fontId="14" fillId="0" borderId="21" xfId="61" applyNumberFormat="1" applyBorder="1" applyAlignment="1">
      <alignment vertical="center"/>
      <protection/>
    </xf>
    <xf numFmtId="3" fontId="14" fillId="0" borderId="22" xfId="61" applyNumberFormat="1" applyFill="1" applyBorder="1" applyAlignment="1">
      <alignment vertical="center"/>
      <protection/>
    </xf>
    <xf numFmtId="3" fontId="14" fillId="0" borderId="31" xfId="61" applyNumberFormat="1" applyFont="1" applyBorder="1" applyAlignment="1">
      <alignment vertical="center"/>
      <protection/>
    </xf>
    <xf numFmtId="4" fontId="14" fillId="0" borderId="21" xfId="61" applyNumberFormat="1" applyFill="1" applyBorder="1" applyAlignment="1">
      <alignment vertical="center"/>
      <protection/>
    </xf>
    <xf numFmtId="3" fontId="14" fillId="0" borderId="17" xfId="61" applyNumberFormat="1" applyFill="1" applyBorder="1" applyAlignment="1">
      <alignment vertical="center"/>
      <protection/>
    </xf>
    <xf numFmtId="3" fontId="2" fillId="33" borderId="21" xfId="61" applyNumberFormat="1" applyFont="1" applyFill="1" applyBorder="1" applyAlignment="1">
      <alignment horizontal="center" vertical="center"/>
      <protection/>
    </xf>
    <xf numFmtId="3" fontId="2" fillId="33" borderId="22" xfId="61" applyNumberFormat="1" applyFont="1" applyFill="1" applyBorder="1" applyAlignment="1">
      <alignment horizontal="center" vertical="center"/>
      <protection/>
    </xf>
    <xf numFmtId="3" fontId="1" fillId="33" borderId="23" xfId="61" applyNumberFormat="1" applyFont="1" applyFill="1" applyBorder="1" applyAlignment="1">
      <alignment vertical="center"/>
      <protection/>
    </xf>
    <xf numFmtId="3" fontId="2" fillId="33" borderId="17" xfId="61" applyNumberFormat="1" applyFont="1" applyFill="1" applyBorder="1" applyAlignment="1">
      <alignment horizontal="center" vertical="center"/>
      <protection/>
    </xf>
    <xf numFmtId="3" fontId="22" fillId="33" borderId="31" xfId="61" applyNumberFormat="1" applyFont="1" applyFill="1" applyBorder="1" applyAlignment="1">
      <alignment vertical="center"/>
      <protection/>
    </xf>
    <xf numFmtId="0" fontId="14" fillId="0" borderId="0" xfId="61" applyAlignment="1">
      <alignment vertical="center"/>
      <protection/>
    </xf>
    <xf numFmtId="3" fontId="40" fillId="33" borderId="21" xfId="61" applyNumberFormat="1" applyFont="1" applyFill="1" applyBorder="1" applyAlignment="1">
      <alignment horizontal="center" vertical="center"/>
      <protection/>
    </xf>
    <xf numFmtId="3" fontId="40" fillId="33" borderId="22" xfId="61" applyNumberFormat="1" applyFont="1" applyFill="1" applyBorder="1" applyAlignment="1">
      <alignment horizontal="center" vertical="center"/>
      <protection/>
    </xf>
    <xf numFmtId="3" fontId="40" fillId="33" borderId="23" xfId="61" applyNumberFormat="1" applyFont="1" applyFill="1" applyBorder="1" applyAlignment="1">
      <alignment vertical="center"/>
      <protection/>
    </xf>
    <xf numFmtId="3" fontId="40" fillId="33" borderId="17" xfId="61" applyNumberFormat="1" applyFont="1" applyFill="1" applyBorder="1" applyAlignment="1">
      <alignment horizontal="center" vertical="center"/>
      <protection/>
    </xf>
    <xf numFmtId="0" fontId="47" fillId="0" borderId="19" xfId="0" applyFont="1" applyFill="1" applyBorder="1" applyAlignment="1">
      <alignment horizontal="center" vertical="center" wrapText="1"/>
    </xf>
    <xf numFmtId="0" fontId="24" fillId="0" borderId="61" xfId="59" applyFont="1" applyBorder="1" applyAlignment="1">
      <alignment horizontal="right"/>
      <protection/>
    </xf>
    <xf numFmtId="0" fontId="23" fillId="0" borderId="62" xfId="59" applyFont="1" applyBorder="1" applyAlignment="1">
      <alignment horizontal="left"/>
      <protection/>
    </xf>
    <xf numFmtId="0" fontId="23" fillId="0" borderId="60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 wrapText="1"/>
      <protection/>
    </xf>
    <xf numFmtId="3" fontId="21" fillId="0" borderId="22" xfId="0" applyNumberFormat="1" applyFont="1" applyFill="1" applyBorder="1" applyAlignment="1">
      <alignment vertical="center"/>
    </xf>
    <xf numFmtId="3" fontId="43" fillId="0" borderId="45" xfId="60" applyNumberFormat="1" applyFont="1" applyFill="1" applyBorder="1" applyAlignment="1">
      <alignment vertical="center"/>
      <protection/>
    </xf>
    <xf numFmtId="3" fontId="43" fillId="0" borderId="44" xfId="60" applyNumberFormat="1" applyFont="1" applyFill="1" applyBorder="1" applyAlignment="1">
      <alignment vertical="center"/>
      <protection/>
    </xf>
    <xf numFmtId="3" fontId="43" fillId="0" borderId="25" xfId="60" applyNumberFormat="1" applyFont="1" applyFill="1" applyBorder="1" applyAlignment="1">
      <alignment vertical="center"/>
      <protection/>
    </xf>
    <xf numFmtId="3" fontId="59" fillId="0" borderId="44" xfId="60" applyNumberFormat="1" applyFont="1" applyFill="1" applyBorder="1" applyAlignment="1">
      <alignment vertical="center"/>
      <protection/>
    </xf>
    <xf numFmtId="3" fontId="42" fillId="0" borderId="25" xfId="60" applyNumberFormat="1" applyFont="1" applyFill="1" applyBorder="1" applyAlignment="1">
      <alignment vertical="center"/>
      <protection/>
    </xf>
    <xf numFmtId="3" fontId="21" fillId="0" borderId="117" xfId="60" applyNumberFormat="1" applyFont="1" applyFill="1" applyBorder="1" applyAlignment="1">
      <alignment vertical="center"/>
      <protection/>
    </xf>
    <xf numFmtId="3" fontId="24" fillId="0" borderId="118" xfId="60" applyNumberFormat="1" applyFont="1" applyFill="1" applyBorder="1" applyAlignment="1">
      <alignment vertical="center"/>
      <protection/>
    </xf>
    <xf numFmtId="3" fontId="24" fillId="0" borderId="119" xfId="60" applyNumberFormat="1" applyFont="1" applyFill="1" applyBorder="1" applyAlignment="1">
      <alignment vertical="center"/>
      <protection/>
    </xf>
    <xf numFmtId="3" fontId="21" fillId="0" borderId="18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3" fontId="19" fillId="0" borderId="22" xfId="58" applyNumberFormat="1" applyFont="1" applyBorder="1">
      <alignment/>
      <protection/>
    </xf>
    <xf numFmtId="3" fontId="61" fillId="0" borderId="48" xfId="59" applyNumberFormat="1" applyFont="1" applyBorder="1">
      <alignment/>
      <protection/>
    </xf>
    <xf numFmtId="3" fontId="23" fillId="0" borderId="48" xfId="59" applyNumberFormat="1" applyFont="1" applyBorder="1" applyAlignment="1">
      <alignment vertical="center"/>
      <protection/>
    </xf>
    <xf numFmtId="3" fontId="23" fillId="0" borderId="48" xfId="59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109" fillId="0" borderId="22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164" fontId="21" fillId="0" borderId="22" xfId="0" applyNumberFormat="1" applyFont="1" applyBorder="1" applyAlignment="1">
      <alignment vertical="center"/>
    </xf>
    <xf numFmtId="49" fontId="14" fillId="0" borderId="22" xfId="61" applyNumberFormat="1" applyBorder="1">
      <alignment/>
      <protection/>
    </xf>
    <xf numFmtId="0" fontId="14" fillId="0" borderId="22" xfId="61" applyBorder="1">
      <alignment/>
      <protection/>
    </xf>
    <xf numFmtId="0" fontId="14" fillId="0" borderId="22" xfId="61" applyBorder="1" applyAlignment="1">
      <alignment vertical="center"/>
      <protection/>
    </xf>
    <xf numFmtId="0" fontId="14" fillId="0" borderId="14" xfId="61" applyBorder="1">
      <alignment/>
      <protection/>
    </xf>
    <xf numFmtId="0" fontId="14" fillId="0" borderId="17" xfId="61" applyBorder="1" applyAlignment="1">
      <alignment vertical="center"/>
      <protection/>
    </xf>
    <xf numFmtId="0" fontId="14" fillId="0" borderId="21" xfId="61" applyBorder="1" applyAlignment="1">
      <alignment vertical="center"/>
      <protection/>
    </xf>
    <xf numFmtId="0" fontId="14" fillId="0" borderId="14" xfId="61" applyBorder="1" applyAlignment="1">
      <alignment vertical="center"/>
      <protection/>
    </xf>
    <xf numFmtId="3" fontId="2" fillId="33" borderId="14" xfId="61" applyNumberFormat="1" applyFont="1" applyFill="1" applyBorder="1" applyAlignment="1">
      <alignment horizontal="center" vertical="center"/>
      <protection/>
    </xf>
    <xf numFmtId="3" fontId="1" fillId="33" borderId="31" xfId="61" applyNumberFormat="1" applyFont="1" applyFill="1" applyBorder="1" applyAlignment="1">
      <alignment vertical="center"/>
      <protection/>
    </xf>
    <xf numFmtId="0" fontId="19" fillId="0" borderId="0" xfId="0" applyFont="1" applyAlignment="1">
      <alignment horizontal="center"/>
    </xf>
    <xf numFmtId="0" fontId="20" fillId="0" borderId="9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 wrapText="1"/>
    </xf>
    <xf numFmtId="0" fontId="20" fillId="0" borderId="124" xfId="0" applyFont="1" applyBorder="1" applyAlignment="1">
      <alignment horizontal="center" vertical="center" wrapText="1"/>
    </xf>
    <xf numFmtId="0" fontId="19" fillId="0" borderId="10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49" xfId="0" applyBorder="1" applyAlignment="1">
      <alignment/>
    </xf>
    <xf numFmtId="0" fontId="19" fillId="0" borderId="31" xfId="0" applyFont="1" applyBorder="1" applyAlignment="1">
      <alignment horizontal="center"/>
    </xf>
    <xf numFmtId="0" fontId="0" fillId="0" borderId="125" xfId="0" applyBorder="1" applyAlignment="1">
      <alignment/>
    </xf>
    <xf numFmtId="3" fontId="0" fillId="0" borderId="36" xfId="0" applyNumberFormat="1" applyBorder="1" applyAlignment="1">
      <alignment/>
    </xf>
    <xf numFmtId="3" fontId="0" fillId="6" borderId="126" xfId="0" applyNumberFormat="1" applyFill="1" applyBorder="1" applyAlignment="1">
      <alignment/>
    </xf>
    <xf numFmtId="0" fontId="0" fillId="0" borderId="12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6" borderId="31" xfId="0" applyNumberFormat="1" applyFill="1" applyBorder="1" applyAlignment="1">
      <alignment/>
    </xf>
    <xf numFmtId="0" fontId="22" fillId="0" borderId="42" xfId="0" applyFont="1" applyBorder="1" applyAlignment="1">
      <alignment/>
    </xf>
    <xf numFmtId="3" fontId="22" fillId="37" borderId="106" xfId="0" applyNumberFormat="1" applyFont="1" applyFill="1" applyBorder="1" applyAlignment="1">
      <alignment/>
    </xf>
    <xf numFmtId="3" fontId="22" fillId="6" borderId="41" xfId="0" applyNumberFormat="1" applyFont="1" applyFill="1" applyBorder="1" applyAlignment="1">
      <alignment/>
    </xf>
    <xf numFmtId="0" fontId="19" fillId="0" borderId="117" xfId="0" applyFont="1" applyBorder="1" applyAlignment="1">
      <alignment horizontal="center"/>
    </xf>
    <xf numFmtId="0" fontId="0" fillId="0" borderId="37" xfId="0" applyBorder="1" applyAlignment="1">
      <alignment horizontal="left"/>
    </xf>
    <xf numFmtId="3" fontId="0" fillId="6" borderId="35" xfId="0" applyNumberFormat="1" applyFill="1" applyBorder="1" applyAlignment="1">
      <alignment/>
    </xf>
    <xf numFmtId="3" fontId="0" fillId="6" borderId="21" xfId="0" applyNumberFormat="1" applyFill="1" applyBorder="1" applyAlignment="1">
      <alignment/>
    </xf>
    <xf numFmtId="0" fontId="0" fillId="0" borderId="45" xfId="0" applyBorder="1" applyAlignment="1">
      <alignment horizontal="left"/>
    </xf>
    <xf numFmtId="0" fontId="19" fillId="0" borderId="123" xfId="0" applyFont="1" applyBorder="1" applyAlignment="1">
      <alignment horizontal="center" vertical="center"/>
    </xf>
    <xf numFmtId="0" fontId="22" fillId="0" borderId="80" xfId="0" applyFont="1" applyBorder="1" applyAlignment="1">
      <alignment/>
    </xf>
    <xf numFmtId="3" fontId="22" fillId="6" borderId="80" xfId="0" applyNumberFormat="1" applyFont="1" applyFill="1" applyBorder="1" applyAlignment="1">
      <alignment/>
    </xf>
    <xf numFmtId="3" fontId="22" fillId="6" borderId="79" xfId="0" applyNumberFormat="1" applyFont="1" applyFill="1" applyBorder="1" applyAlignment="1">
      <alignment/>
    </xf>
    <xf numFmtId="3" fontId="43" fillId="0" borderId="40" xfId="60" applyNumberFormat="1" applyFont="1" applyFill="1" applyBorder="1" applyAlignment="1">
      <alignment horizontal="left" vertical="center" wrapText="1"/>
      <protection/>
    </xf>
    <xf numFmtId="3" fontId="43" fillId="0" borderId="40" xfId="60" applyNumberFormat="1" applyFont="1" applyFill="1" applyBorder="1" applyAlignment="1">
      <alignment vertical="center"/>
      <protection/>
    </xf>
    <xf numFmtId="49" fontId="42" fillId="0" borderId="29" xfId="60" applyNumberFormat="1" applyFont="1" applyFill="1" applyBorder="1" applyAlignment="1">
      <alignment horizontal="center" vertical="center"/>
      <protection/>
    </xf>
    <xf numFmtId="0" fontId="19" fillId="0" borderId="78" xfId="59" applyFont="1" applyBorder="1">
      <alignment/>
      <protection/>
    </xf>
    <xf numFmtId="3" fontId="23" fillId="0" borderId="72" xfId="59" applyNumberFormat="1" applyFont="1" applyBorder="1">
      <alignment/>
      <protection/>
    </xf>
    <xf numFmtId="3" fontId="23" fillId="0" borderId="65" xfId="59" applyNumberFormat="1" applyFont="1" applyFill="1" applyBorder="1">
      <alignment/>
      <protection/>
    </xf>
    <xf numFmtId="3" fontId="23" fillId="0" borderId="65" xfId="59" applyNumberFormat="1" applyFont="1" applyFill="1" applyBorder="1" applyAlignment="1">
      <alignment horizontal="right" vertical="center"/>
      <protection/>
    </xf>
    <xf numFmtId="0" fontId="19" fillId="0" borderId="50" xfId="0" applyFont="1" applyBorder="1" applyAlignment="1">
      <alignment horizontal="center"/>
    </xf>
    <xf numFmtId="0" fontId="6" fillId="0" borderId="44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3" fontId="22" fillId="6" borderId="125" xfId="0" applyNumberFormat="1" applyFont="1" applyFill="1" applyBorder="1" applyAlignment="1">
      <alignment/>
    </xf>
    <xf numFmtId="3" fontId="22" fillId="6" borderId="128" xfId="0" applyNumberFormat="1" applyFont="1" applyFill="1" applyBorder="1" applyAlignment="1">
      <alignment/>
    </xf>
    <xf numFmtId="3" fontId="22" fillId="6" borderId="46" xfId="0" applyNumberFormat="1" applyFont="1" applyFill="1" applyBorder="1" applyAlignment="1">
      <alignment/>
    </xf>
    <xf numFmtId="0" fontId="0" fillId="0" borderId="129" xfId="0" applyBorder="1" applyAlignment="1">
      <alignment horizontal="left"/>
    </xf>
    <xf numFmtId="3" fontId="0" fillId="6" borderId="29" xfId="0" applyNumberFormat="1" applyFill="1" applyBorder="1" applyAlignment="1">
      <alignment/>
    </xf>
    <xf numFmtId="3" fontId="22" fillId="37" borderId="82" xfId="0" applyNumberFormat="1" applyFont="1" applyFill="1" applyBorder="1" applyAlignment="1">
      <alignment/>
    </xf>
    <xf numFmtId="0" fontId="19" fillId="0" borderId="92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/>
    </xf>
    <xf numFmtId="0" fontId="0" fillId="0" borderId="113" xfId="0" applyBorder="1" applyAlignment="1">
      <alignment/>
    </xf>
    <xf numFmtId="3" fontId="14" fillId="6" borderId="35" xfId="0" applyNumberFormat="1" applyFont="1" applyFill="1" applyBorder="1" applyAlignment="1">
      <alignment horizontal="right"/>
    </xf>
    <xf numFmtId="0" fontId="19" fillId="0" borderId="31" xfId="0" applyFont="1" applyBorder="1" applyAlignment="1">
      <alignment horizontal="center" vertical="center"/>
    </xf>
    <xf numFmtId="3" fontId="14" fillId="6" borderId="45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35" xfId="0" applyBorder="1" applyAlignment="1">
      <alignment horizontal="left"/>
    </xf>
    <xf numFmtId="0" fontId="19" fillId="0" borderId="123" xfId="0" applyFont="1" applyBorder="1" applyAlignment="1">
      <alignment horizontal="center"/>
    </xf>
    <xf numFmtId="0" fontId="22" fillId="0" borderId="79" xfId="0" applyFont="1" applyBorder="1" applyAlignment="1">
      <alignment/>
    </xf>
    <xf numFmtId="0" fontId="19" fillId="0" borderId="92" xfId="0" applyFont="1" applyBorder="1" applyAlignment="1">
      <alignment horizontal="center"/>
    </xf>
    <xf numFmtId="3" fontId="0" fillId="0" borderId="131" xfId="0" applyNumberFormat="1" applyBorder="1" applyAlignment="1">
      <alignment/>
    </xf>
    <xf numFmtId="0" fontId="110" fillId="0" borderId="0" xfId="0" applyFont="1" applyAlignment="1">
      <alignment/>
    </xf>
    <xf numFmtId="0" fontId="0" fillId="0" borderId="132" xfId="0" applyBorder="1" applyAlignment="1">
      <alignment/>
    </xf>
    <xf numFmtId="0" fontId="19" fillId="0" borderId="21" xfId="0" applyFont="1" applyBorder="1" applyAlignment="1">
      <alignment horizontal="center"/>
    </xf>
    <xf numFmtId="3" fontId="0" fillId="38" borderId="36" xfId="0" applyNumberFormat="1" applyFill="1" applyBorder="1" applyAlignment="1">
      <alignment/>
    </xf>
    <xf numFmtId="3" fontId="0" fillId="38" borderId="22" xfId="0" applyNumberFormat="1" applyFill="1" applyBorder="1" applyAlignment="1">
      <alignment/>
    </xf>
    <xf numFmtId="3" fontId="22" fillId="38" borderId="106" xfId="0" applyNumberFormat="1" applyFont="1" applyFill="1" applyBorder="1" applyAlignment="1">
      <alignment/>
    </xf>
    <xf numFmtId="3" fontId="22" fillId="38" borderId="133" xfId="0" applyNumberFormat="1" applyFont="1" applyFill="1" applyBorder="1" applyAlignment="1">
      <alignment/>
    </xf>
    <xf numFmtId="3" fontId="22" fillId="38" borderId="119" xfId="0" applyNumberFormat="1" applyFont="1" applyFill="1" applyBorder="1" applyAlignment="1">
      <alignment/>
    </xf>
    <xf numFmtId="3" fontId="0" fillId="0" borderId="36" xfId="0" applyNumberFormat="1" applyBorder="1" applyAlignment="1">
      <alignment horizontal="right" vertical="center"/>
    </xf>
    <xf numFmtId="3" fontId="0" fillId="38" borderId="86" xfId="0" applyNumberFormat="1" applyFill="1" applyBorder="1" applyAlignment="1">
      <alignment/>
    </xf>
    <xf numFmtId="3" fontId="0" fillId="38" borderId="18" xfId="0" applyNumberFormat="1" applyFill="1" applyBorder="1" applyAlignment="1">
      <alignment/>
    </xf>
    <xf numFmtId="3" fontId="0" fillId="38" borderId="34" xfId="0" applyNumberFormat="1" applyFill="1" applyBorder="1" applyAlignment="1">
      <alignment/>
    </xf>
    <xf numFmtId="3" fontId="0" fillId="38" borderId="82" xfId="0" applyNumberFormat="1" applyFill="1" applyBorder="1" applyAlignment="1">
      <alignment/>
    </xf>
    <xf numFmtId="3" fontId="0" fillId="38" borderId="134" xfId="0" applyNumberFormat="1" applyFill="1" applyBorder="1" applyAlignment="1">
      <alignment/>
    </xf>
    <xf numFmtId="3" fontId="0" fillId="38" borderId="106" xfId="0" applyNumberFormat="1" applyFill="1" applyBorder="1" applyAlignment="1">
      <alignment/>
    </xf>
    <xf numFmtId="3" fontId="0" fillId="38" borderId="119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22" fillId="0" borderId="50" xfId="0" applyFont="1" applyBorder="1" applyAlignment="1">
      <alignment/>
    </xf>
    <xf numFmtId="3" fontId="22" fillId="0" borderId="50" xfId="0" applyNumberFormat="1" applyFont="1" applyFill="1" applyBorder="1" applyAlignment="1">
      <alignment/>
    </xf>
    <xf numFmtId="3" fontId="22" fillId="37" borderId="50" xfId="0" applyNumberFormat="1" applyFont="1" applyFill="1" applyBorder="1" applyAlignment="1">
      <alignment/>
    </xf>
    <xf numFmtId="3" fontId="22" fillId="37" borderId="135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3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34" borderId="0" xfId="0" applyFill="1" applyAlignment="1">
      <alignment/>
    </xf>
    <xf numFmtId="0" fontId="14" fillId="35" borderId="21" xfId="0" applyFont="1" applyFill="1" applyBorder="1" applyAlignment="1">
      <alignment vertical="center" wrapText="1"/>
    </xf>
    <xf numFmtId="0" fontId="42" fillId="0" borderId="22" xfId="0" applyFont="1" applyBorder="1" applyAlignment="1">
      <alignment horizontal="left"/>
    </xf>
    <xf numFmtId="0" fontId="46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2" fillId="0" borderId="22" xfId="0" applyFont="1" applyBorder="1" applyAlignment="1">
      <alignment horizontal="left" wrapText="1"/>
    </xf>
    <xf numFmtId="0" fontId="43" fillId="0" borderId="22" xfId="0" applyFont="1" applyBorder="1" applyAlignment="1">
      <alignment horizontal="left" wrapText="1"/>
    </xf>
    <xf numFmtId="0" fontId="16" fillId="0" borderId="22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2" fillId="0" borderId="22" xfId="58" applyFont="1" applyBorder="1" applyAlignment="1">
      <alignment horizontal="left"/>
      <protection/>
    </xf>
    <xf numFmtId="0" fontId="20" fillId="0" borderId="14" xfId="58" applyFont="1" applyBorder="1" applyAlignment="1">
      <alignment horizontal="left"/>
      <protection/>
    </xf>
    <xf numFmtId="0" fontId="20" fillId="0" borderId="16" xfId="58" applyFont="1" applyBorder="1" applyAlignment="1">
      <alignment horizontal="left"/>
      <protection/>
    </xf>
    <xf numFmtId="0" fontId="20" fillId="0" borderId="17" xfId="58" applyFont="1" applyBorder="1" applyAlignment="1">
      <alignment horizontal="left"/>
      <protection/>
    </xf>
    <xf numFmtId="0" fontId="16" fillId="0" borderId="14" xfId="58" applyFont="1" applyBorder="1" applyAlignment="1">
      <alignment horizontal="left"/>
      <protection/>
    </xf>
    <xf numFmtId="0" fontId="16" fillId="0" borderId="16" xfId="58" applyFont="1" applyBorder="1" applyAlignment="1">
      <alignment horizontal="left"/>
      <protection/>
    </xf>
    <xf numFmtId="0" fontId="16" fillId="0" borderId="17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 wrapText="1"/>
      <protection/>
    </xf>
    <xf numFmtId="0" fontId="42" fillId="0" borderId="17" xfId="58" applyFont="1" applyBorder="1" applyAlignment="1">
      <alignment horizontal="left" wrapText="1"/>
      <protection/>
    </xf>
    <xf numFmtId="0" fontId="43" fillId="0" borderId="14" xfId="58" applyFont="1" applyBorder="1" applyAlignment="1">
      <alignment horizontal="left" wrapText="1"/>
      <protection/>
    </xf>
    <xf numFmtId="0" fontId="43" fillId="0" borderId="17" xfId="58" applyFont="1" applyBorder="1" applyAlignment="1">
      <alignment horizontal="left" wrapText="1"/>
      <protection/>
    </xf>
    <xf numFmtId="0" fontId="20" fillId="0" borderId="22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 vertical="center" wrapText="1"/>
      <protection/>
    </xf>
    <xf numFmtId="0" fontId="42" fillId="0" borderId="17" xfId="58" applyFont="1" applyBorder="1" applyAlignment="1">
      <alignment horizontal="left" vertical="center" wrapText="1"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0" fontId="19" fillId="0" borderId="0" xfId="58" applyFont="1" applyAlignment="1">
      <alignment horizontal="right" vertical="center"/>
      <protection/>
    </xf>
    <xf numFmtId="0" fontId="45" fillId="0" borderId="0" xfId="58" applyFont="1" applyFill="1" applyAlignment="1">
      <alignment horizontal="center" vertical="center"/>
      <protection/>
    </xf>
    <xf numFmtId="0" fontId="46" fillId="0" borderId="14" xfId="58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42" fillId="0" borderId="16" xfId="58" applyFont="1" applyBorder="1" applyAlignment="1">
      <alignment horizontal="left"/>
      <protection/>
    </xf>
    <xf numFmtId="0" fontId="21" fillId="0" borderId="14" xfId="57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/>
    </xf>
    <xf numFmtId="0" fontId="16" fillId="0" borderId="0" xfId="57" applyFont="1" applyAlignment="1">
      <alignment horizontal="center"/>
      <protection/>
    </xf>
    <xf numFmtId="0" fontId="16" fillId="0" borderId="22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18" fillId="0" borderId="14" xfId="57" applyFont="1" applyBorder="1" applyAlignment="1">
      <alignment horizontal="right" vertical="center"/>
      <protection/>
    </xf>
    <xf numFmtId="0" fontId="18" fillId="0" borderId="16" xfId="57" applyFont="1" applyBorder="1" applyAlignment="1">
      <alignment horizontal="right" vertical="center"/>
      <protection/>
    </xf>
    <xf numFmtId="49" fontId="43" fillId="0" borderId="21" xfId="0" applyNumberFormat="1" applyFont="1" applyFill="1" applyBorder="1" applyAlignment="1">
      <alignment horizontal="center" textRotation="90"/>
    </xf>
    <xf numFmtId="49" fontId="42" fillId="0" borderId="45" xfId="0" applyNumberFormat="1" applyFont="1" applyFill="1" applyBorder="1" applyAlignment="1">
      <alignment horizontal="center" vertical="center" textRotation="90"/>
    </xf>
    <xf numFmtId="49" fontId="42" fillId="0" borderId="129" xfId="0" applyNumberFormat="1" applyFont="1" applyFill="1" applyBorder="1" applyAlignment="1">
      <alignment horizontal="center" vertical="center" textRotation="90"/>
    </xf>
    <xf numFmtId="49" fontId="42" fillId="0" borderId="37" xfId="0" applyNumberFormat="1" applyFont="1" applyFill="1" applyBorder="1" applyAlignment="1">
      <alignment horizontal="center" vertical="center" textRotation="90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49" fontId="43" fillId="0" borderId="45" xfId="0" applyNumberFormat="1" applyFont="1" applyFill="1" applyBorder="1" applyAlignment="1">
      <alignment horizontal="center" vertical="center" textRotation="90"/>
    </xf>
    <xf numFmtId="49" fontId="43" fillId="0" borderId="129" xfId="0" applyNumberFormat="1" applyFont="1" applyFill="1" applyBorder="1" applyAlignment="1">
      <alignment horizontal="center" vertical="center" textRotation="90"/>
    </xf>
    <xf numFmtId="49" fontId="43" fillId="0" borderId="37" xfId="0" applyNumberFormat="1" applyFont="1" applyFill="1" applyBorder="1" applyAlignment="1">
      <alignment horizontal="center" vertical="center" textRotation="90"/>
    </xf>
    <xf numFmtId="0" fontId="4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20" fillId="0" borderId="0" xfId="0" applyFont="1" applyFill="1" applyAlignment="1">
      <alignment horizontal="center" vertical="center"/>
    </xf>
    <xf numFmtId="49" fontId="21" fillId="0" borderId="136" xfId="0" applyNumberFormat="1" applyFont="1" applyFill="1" applyBorder="1" applyAlignment="1">
      <alignment horizontal="center" vertical="center"/>
    </xf>
    <xf numFmtId="49" fontId="21" fillId="0" borderId="129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65" fillId="0" borderId="137" xfId="0" applyFont="1" applyFill="1" applyBorder="1" applyAlignment="1">
      <alignment horizontal="center" vertical="center" wrapText="1"/>
    </xf>
    <xf numFmtId="0" fontId="65" fillId="0" borderId="138" xfId="0" applyFont="1" applyFill="1" applyBorder="1" applyAlignment="1">
      <alignment horizontal="center" vertical="center" wrapText="1"/>
    </xf>
    <xf numFmtId="0" fontId="65" fillId="0" borderId="116" xfId="0" applyFont="1" applyFill="1" applyBorder="1" applyAlignment="1">
      <alignment horizontal="center" vertical="center" wrapText="1"/>
    </xf>
    <xf numFmtId="0" fontId="21" fillId="0" borderId="139" xfId="0" applyFont="1" applyFill="1" applyBorder="1" applyAlignment="1">
      <alignment horizontal="center" vertical="center"/>
    </xf>
    <xf numFmtId="0" fontId="21" fillId="0" borderId="140" xfId="0" applyFont="1" applyFill="1" applyBorder="1" applyAlignment="1">
      <alignment horizontal="center" vertical="center"/>
    </xf>
    <xf numFmtId="0" fontId="21" fillId="0" borderId="131" xfId="0" applyFont="1" applyFill="1" applyBorder="1" applyAlignment="1">
      <alignment horizontal="center" vertical="center"/>
    </xf>
    <xf numFmtId="0" fontId="21" fillId="0" borderId="141" xfId="0" applyFont="1" applyFill="1" applyBorder="1" applyAlignment="1">
      <alignment horizontal="center" vertical="center" wrapText="1"/>
    </xf>
    <xf numFmtId="0" fontId="21" fillId="0" borderId="142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Alignment="1">
      <alignment horizontal="right"/>
      <protection/>
    </xf>
    <xf numFmtId="0" fontId="18" fillId="0" borderId="143" xfId="60" applyFont="1" applyFill="1" applyBorder="1" applyAlignment="1">
      <alignment horizontal="center" vertical="center" wrapText="1"/>
      <protection/>
    </xf>
    <xf numFmtId="0" fontId="18" fillId="0" borderId="92" xfId="60" applyFont="1" applyFill="1" applyBorder="1" applyAlignment="1">
      <alignment horizontal="center" vertical="center" wrapText="1"/>
      <protection/>
    </xf>
    <xf numFmtId="0" fontId="18" fillId="0" borderId="144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21" fillId="0" borderId="65" xfId="60" applyFont="1" applyFill="1" applyBorder="1" applyAlignment="1">
      <alignment horizontal="center" vertical="center" wrapText="1"/>
      <protection/>
    </xf>
    <xf numFmtId="0" fontId="21" fillId="0" borderId="49" xfId="60" applyFont="1" applyFill="1" applyBorder="1" applyAlignment="1">
      <alignment horizontal="center" vertical="center" wrapText="1"/>
      <protection/>
    </xf>
    <xf numFmtId="0" fontId="21" fillId="0" borderId="48" xfId="60" applyFont="1" applyFill="1" applyBorder="1" applyAlignment="1">
      <alignment horizontal="center" vertical="center" wrapText="1"/>
      <protection/>
    </xf>
    <xf numFmtId="0" fontId="21" fillId="0" borderId="39" xfId="60" applyFont="1" applyFill="1" applyBorder="1" applyAlignment="1">
      <alignment horizontal="center" vertical="center" wrapText="1"/>
      <protection/>
    </xf>
    <xf numFmtId="0" fontId="21" fillId="0" borderId="38" xfId="60" applyFont="1" applyFill="1" applyBorder="1" applyAlignment="1">
      <alignment horizontal="center" vertical="center" wrapText="1"/>
      <protection/>
    </xf>
    <xf numFmtId="0" fontId="21" fillId="0" borderId="40" xfId="60" applyFont="1" applyFill="1" applyBorder="1" applyAlignment="1">
      <alignment horizontal="center" vertical="center" wrapText="1"/>
      <protection/>
    </xf>
    <xf numFmtId="0" fontId="21" fillId="0" borderId="17" xfId="60" applyFont="1" applyFill="1" applyBorder="1" applyAlignment="1">
      <alignment horizontal="center" vertical="center" wrapText="1"/>
      <protection/>
    </xf>
    <xf numFmtId="0" fontId="21" fillId="0" borderId="22" xfId="60" applyFont="1" applyFill="1" applyBorder="1" applyAlignment="1">
      <alignment horizontal="center" vertical="center" wrapText="1"/>
      <protection/>
    </xf>
    <xf numFmtId="0" fontId="21" fillId="0" borderId="23" xfId="60" applyFont="1" applyFill="1" applyBorder="1" applyAlignment="1">
      <alignment horizontal="center" vertical="center" wrapText="1"/>
      <protection/>
    </xf>
    <xf numFmtId="0" fontId="60" fillId="0" borderId="128" xfId="60" applyFont="1" applyFill="1" applyBorder="1" applyAlignment="1">
      <alignment horizontal="left" vertical="center"/>
      <protection/>
    </xf>
    <xf numFmtId="0" fontId="60" fillId="0" borderId="28" xfId="60" applyFont="1" applyFill="1" applyBorder="1" applyAlignment="1">
      <alignment horizontal="left" vertical="center"/>
      <protection/>
    </xf>
    <xf numFmtId="0" fontId="60" fillId="0" borderId="13" xfId="60" applyFont="1" applyFill="1" applyBorder="1" applyAlignment="1">
      <alignment horizontal="left" vertical="center"/>
      <protection/>
    </xf>
    <xf numFmtId="0" fontId="24" fillId="0" borderId="46" xfId="60" applyFont="1" applyFill="1" applyBorder="1" applyAlignment="1">
      <alignment horizontal="left" vertical="center"/>
      <protection/>
    </xf>
    <xf numFmtId="0" fontId="24" fillId="0" borderId="115" xfId="60" applyFont="1" applyFill="1" applyBorder="1" applyAlignment="1">
      <alignment horizontal="left" vertical="center"/>
      <protection/>
    </xf>
    <xf numFmtId="0" fontId="24" fillId="0" borderId="145" xfId="60" applyFont="1" applyFill="1" applyBorder="1" applyAlignment="1">
      <alignment horizontal="left" vertical="center"/>
      <protection/>
    </xf>
    <xf numFmtId="0" fontId="24" fillId="0" borderId="46" xfId="60" applyFont="1" applyFill="1" applyBorder="1" applyAlignment="1">
      <alignment horizontal="left" vertical="center" wrapText="1"/>
      <protection/>
    </xf>
    <xf numFmtId="0" fontId="24" fillId="0" borderId="115" xfId="60" applyFont="1" applyFill="1" applyBorder="1" applyAlignment="1">
      <alignment horizontal="left" vertical="center" wrapText="1"/>
      <protection/>
    </xf>
    <xf numFmtId="0" fontId="24" fillId="0" borderId="145" xfId="60" applyFont="1" applyFill="1" applyBorder="1" applyAlignment="1">
      <alignment horizontal="left" vertical="center" wrapText="1"/>
      <protection/>
    </xf>
    <xf numFmtId="0" fontId="21" fillId="0" borderId="86" xfId="60" applyFont="1" applyFill="1" applyBorder="1" applyAlignment="1">
      <alignment horizontal="center" vertical="center"/>
      <protection/>
    </xf>
    <xf numFmtId="0" fontId="21" fillId="0" borderId="32" xfId="60" applyFont="1" applyFill="1" applyBorder="1" applyAlignment="1">
      <alignment horizontal="center" vertical="center"/>
      <protection/>
    </xf>
    <xf numFmtId="0" fontId="21" fillId="0" borderId="51" xfId="60" applyFont="1" applyFill="1" applyBorder="1" applyAlignment="1">
      <alignment horizontal="center" vertical="center"/>
      <protection/>
    </xf>
    <xf numFmtId="49" fontId="21" fillId="0" borderId="136" xfId="60" applyNumberFormat="1" applyFont="1" applyFill="1" applyBorder="1" applyAlignment="1">
      <alignment horizontal="center" vertical="center"/>
      <protection/>
    </xf>
    <xf numFmtId="49" fontId="21" fillId="0" borderId="129" xfId="60" applyNumberFormat="1" applyFont="1" applyFill="1" applyBorder="1" applyAlignment="1">
      <alignment horizontal="center" vertical="center"/>
      <protection/>
    </xf>
    <xf numFmtId="49" fontId="21" fillId="0" borderId="146" xfId="60" applyNumberFormat="1" applyFont="1" applyFill="1" applyBorder="1" applyAlignment="1">
      <alignment horizontal="center" vertical="center"/>
      <protection/>
    </xf>
    <xf numFmtId="0" fontId="16" fillId="0" borderId="115" xfId="60" applyFont="1" applyFill="1" applyBorder="1" applyAlignment="1">
      <alignment horizontal="center" vertical="center"/>
      <protection/>
    </xf>
    <xf numFmtId="0" fontId="16" fillId="0" borderId="145" xfId="60" applyFont="1" applyFill="1" applyBorder="1" applyAlignment="1">
      <alignment horizontal="center" vertical="center"/>
      <protection/>
    </xf>
    <xf numFmtId="0" fontId="23" fillId="0" borderId="61" xfId="59" applyFont="1" applyBorder="1" applyAlignment="1">
      <alignment horizontal="left" wrapText="1"/>
      <protection/>
    </xf>
    <xf numFmtId="0" fontId="23" fillId="0" borderId="0" xfId="59" applyFont="1" applyBorder="1" applyAlignment="1">
      <alignment horizontal="left" wrapText="1"/>
      <protection/>
    </xf>
    <xf numFmtId="0" fontId="23" fillId="0" borderId="61" xfId="59" applyFont="1" applyBorder="1" applyAlignment="1">
      <alignment horizontal="left" vertical="center" wrapText="1"/>
      <protection/>
    </xf>
    <xf numFmtId="0" fontId="23" fillId="0" borderId="0" xfId="59" applyFont="1" applyBorder="1" applyAlignment="1">
      <alignment horizontal="left" vertical="center" wrapText="1"/>
      <protection/>
    </xf>
    <xf numFmtId="0" fontId="23" fillId="0" borderId="95" xfId="59" applyFont="1" applyBorder="1" applyAlignment="1">
      <alignment horizontal="left"/>
      <protection/>
    </xf>
    <xf numFmtId="0" fontId="23" fillId="0" borderId="60" xfId="59" applyFont="1" applyBorder="1" applyAlignment="1">
      <alignment horizontal="left"/>
      <protection/>
    </xf>
    <xf numFmtId="3" fontId="16" fillId="0" borderId="147" xfId="59" applyNumberFormat="1" applyFont="1" applyBorder="1" applyAlignment="1">
      <alignment horizontal="right" vertical="center"/>
      <protection/>
    </xf>
    <xf numFmtId="3" fontId="16" fillId="0" borderId="90" xfId="59" applyNumberFormat="1" applyFont="1" applyBorder="1" applyAlignment="1">
      <alignment horizontal="right" vertical="center"/>
      <protection/>
    </xf>
    <xf numFmtId="3" fontId="16" fillId="0" borderId="148" xfId="59" applyNumberFormat="1" applyFont="1" applyBorder="1" applyAlignment="1">
      <alignment horizontal="right" vertical="center"/>
      <protection/>
    </xf>
    <xf numFmtId="3" fontId="16" fillId="0" borderId="93" xfId="59" applyNumberFormat="1" applyFont="1" applyBorder="1" applyAlignment="1">
      <alignment horizontal="right" vertical="center"/>
      <protection/>
    </xf>
    <xf numFmtId="3" fontId="16" fillId="0" borderId="97" xfId="59" applyNumberFormat="1" applyFont="1" applyBorder="1" applyAlignment="1">
      <alignment horizontal="right" vertical="center"/>
      <protection/>
    </xf>
    <xf numFmtId="0" fontId="23" fillId="0" borderId="61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3" fontId="16" fillId="0" borderId="149" xfId="59" applyNumberFormat="1" applyFont="1" applyBorder="1" applyAlignment="1">
      <alignment horizontal="right" vertical="center"/>
      <protection/>
    </xf>
    <xf numFmtId="3" fontId="16" fillId="0" borderId="92" xfId="59" applyNumberFormat="1" applyFont="1" applyBorder="1" applyAlignment="1">
      <alignment horizontal="right" vertical="center"/>
      <protection/>
    </xf>
    <xf numFmtId="3" fontId="16" fillId="0" borderId="144" xfId="59" applyNumberFormat="1" applyFont="1" applyBorder="1" applyAlignment="1">
      <alignment horizontal="right" vertical="center"/>
      <protection/>
    </xf>
    <xf numFmtId="0" fontId="23" fillId="0" borderId="95" xfId="59" applyFont="1" applyBorder="1" applyAlignment="1">
      <alignment horizontal="left" vertical="center" wrapText="1"/>
      <protection/>
    </xf>
    <xf numFmtId="0" fontId="23" fillId="0" borderId="60" xfId="59" applyFont="1" applyBorder="1" applyAlignment="1">
      <alignment horizontal="left" vertical="center" wrapText="1"/>
      <protection/>
    </xf>
    <xf numFmtId="0" fontId="23" fillId="0" borderId="56" xfId="59" applyFont="1" applyBorder="1" applyAlignment="1">
      <alignment horizontal="left" wrapText="1"/>
      <protection/>
    </xf>
    <xf numFmtId="0" fontId="23" fillId="0" borderId="61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0" fontId="23" fillId="0" borderId="95" xfId="59" applyFont="1" applyBorder="1" applyAlignment="1">
      <alignment horizontal="left" wrapText="1"/>
      <protection/>
    </xf>
    <xf numFmtId="0" fontId="23" fillId="0" borderId="60" xfId="59" applyFont="1" applyBorder="1" applyAlignment="1">
      <alignment horizontal="left" wrapText="1"/>
      <protection/>
    </xf>
    <xf numFmtId="3" fontId="16" fillId="0" borderId="143" xfId="59" applyNumberFormat="1" applyFont="1" applyBorder="1" applyAlignment="1">
      <alignment horizontal="right" vertical="center"/>
      <protection/>
    </xf>
    <xf numFmtId="0" fontId="23" fillId="0" borderId="89" xfId="59" applyFont="1" applyBorder="1" applyAlignment="1">
      <alignment horizontal="left"/>
      <protection/>
    </xf>
    <xf numFmtId="0" fontId="23" fillId="0" borderId="72" xfId="59" applyFont="1" applyBorder="1" applyAlignment="1">
      <alignment horizontal="left"/>
      <protection/>
    </xf>
    <xf numFmtId="0" fontId="20" fillId="0" borderId="0" xfId="59" applyFont="1" applyAlignment="1">
      <alignment horizontal="center"/>
      <protection/>
    </xf>
    <xf numFmtId="0" fontId="19" fillId="0" borderId="0" xfId="0" applyFont="1" applyAlignment="1">
      <alignment/>
    </xf>
    <xf numFmtId="0" fontId="60" fillId="36" borderId="98" xfId="59" applyFont="1" applyFill="1" applyBorder="1" applyAlignment="1">
      <alignment/>
      <protection/>
    </xf>
    <xf numFmtId="0" fontId="60" fillId="36" borderId="150" xfId="59" applyFont="1" applyFill="1" applyBorder="1" applyAlignment="1">
      <alignment/>
      <protection/>
    </xf>
    <xf numFmtId="0" fontId="60" fillId="0" borderId="151" xfId="60" applyFont="1" applyFill="1" applyBorder="1" applyAlignment="1">
      <alignment horizontal="center" vertical="center" wrapText="1"/>
      <protection/>
    </xf>
    <xf numFmtId="0" fontId="60" fillId="0" borderId="50" xfId="60" applyFont="1" applyFill="1" applyBorder="1" applyAlignment="1">
      <alignment horizontal="center" vertical="center" wrapText="1"/>
      <protection/>
    </xf>
    <xf numFmtId="0" fontId="60" fillId="0" borderId="70" xfId="60" applyFont="1" applyFill="1" applyBorder="1" applyAlignment="1">
      <alignment horizontal="center" vertical="center" wrapText="1"/>
      <protection/>
    </xf>
    <xf numFmtId="0" fontId="60" fillId="0" borderId="94" xfId="60" applyFont="1" applyFill="1" applyBorder="1" applyAlignment="1">
      <alignment horizontal="center" vertical="center" wrapText="1"/>
      <protection/>
    </xf>
    <xf numFmtId="0" fontId="60" fillId="0" borderId="33" xfId="60" applyFont="1" applyFill="1" applyBorder="1" applyAlignment="1">
      <alignment horizontal="center" vertical="center" wrapText="1"/>
      <protection/>
    </xf>
    <xf numFmtId="0" fontId="60" fillId="0" borderId="87" xfId="60" applyFont="1" applyFill="1" applyBorder="1" applyAlignment="1">
      <alignment horizontal="center" vertical="center" wrapText="1"/>
      <protection/>
    </xf>
    <xf numFmtId="0" fontId="23" fillId="0" borderId="94" xfId="59" applyFont="1" applyBorder="1" applyAlignment="1">
      <alignment horizontal="left" wrapText="1"/>
      <protection/>
    </xf>
    <xf numFmtId="0" fontId="23" fillId="0" borderId="33" xfId="59" applyFont="1" applyBorder="1" applyAlignment="1">
      <alignment horizontal="left" wrapText="1"/>
      <protection/>
    </xf>
    <xf numFmtId="0" fontId="23" fillId="0" borderId="56" xfId="59" applyFont="1" applyBorder="1" applyAlignment="1">
      <alignment horizontal="left"/>
      <protection/>
    </xf>
    <xf numFmtId="0" fontId="61" fillId="0" borderId="61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60" fillId="0" borderId="72" xfId="59" applyFont="1" applyBorder="1" applyAlignment="1">
      <alignment/>
      <protection/>
    </xf>
    <xf numFmtId="0" fontId="60" fillId="0" borderId="114" xfId="59" applyFont="1" applyBorder="1" applyAlignment="1">
      <alignment/>
      <protection/>
    </xf>
    <xf numFmtId="0" fontId="46" fillId="0" borderId="50" xfId="59" applyFont="1" applyBorder="1" applyAlignment="1">
      <alignment horizontal="center"/>
      <protection/>
    </xf>
    <xf numFmtId="0" fontId="19" fillId="0" borderId="50" xfId="0" applyFont="1" applyBorder="1" applyAlignment="1">
      <alignment horizontal="center"/>
    </xf>
    <xf numFmtId="0" fontId="16" fillId="0" borderId="72" xfId="59" applyFont="1" applyBorder="1" applyAlignment="1">
      <alignment/>
      <protection/>
    </xf>
    <xf numFmtId="0" fontId="16" fillId="0" borderId="72" xfId="0" applyFont="1" applyBorder="1" applyAlignment="1">
      <alignment/>
    </xf>
    <xf numFmtId="0" fontId="16" fillId="0" borderId="114" xfId="0" applyFont="1" applyBorder="1" applyAlignment="1">
      <alignment/>
    </xf>
    <xf numFmtId="0" fontId="16" fillId="36" borderId="72" xfId="59" applyFont="1" applyFill="1" applyBorder="1" applyAlignment="1">
      <alignment vertical="center"/>
      <protection/>
    </xf>
    <xf numFmtId="0" fontId="16" fillId="36" borderId="72" xfId="0" applyFont="1" applyFill="1" applyBorder="1" applyAlignment="1">
      <alignment vertical="center"/>
    </xf>
    <xf numFmtId="0" fontId="16" fillId="36" borderId="114" xfId="0" applyFont="1" applyFill="1" applyBorder="1" applyAlignment="1">
      <alignment vertical="center"/>
    </xf>
    <xf numFmtId="0" fontId="60" fillId="36" borderId="98" xfId="59" applyFont="1" applyFill="1" applyBorder="1" applyAlignment="1">
      <alignment vertical="center"/>
      <protection/>
    </xf>
    <xf numFmtId="0" fontId="60" fillId="36" borderId="150" xfId="59" applyFont="1" applyFill="1" applyBorder="1" applyAlignment="1">
      <alignment vertical="center"/>
      <protection/>
    </xf>
    <xf numFmtId="0" fontId="60" fillId="0" borderId="68" xfId="59" applyFont="1" applyBorder="1" applyAlignment="1">
      <alignment horizontal="center" vertical="center" wrapText="1"/>
      <protection/>
    </xf>
    <xf numFmtId="0" fontId="60" fillId="0" borderId="50" xfId="59" applyFont="1" applyBorder="1" applyAlignment="1">
      <alignment horizontal="center" vertical="center" wrapText="1"/>
      <protection/>
    </xf>
    <xf numFmtId="0" fontId="60" fillId="0" borderId="53" xfId="59" applyFont="1" applyBorder="1" applyAlignment="1">
      <alignment horizontal="center" vertical="center" wrapText="1"/>
      <protection/>
    </xf>
    <xf numFmtId="0" fontId="60" fillId="0" borderId="33" xfId="59" applyFont="1" applyBorder="1" applyAlignment="1">
      <alignment horizontal="center" vertical="center" wrapText="1"/>
      <protection/>
    </xf>
    <xf numFmtId="0" fontId="24" fillId="0" borderId="61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8" xfId="59" applyFont="1" applyBorder="1" applyAlignment="1">
      <alignment horizontal="right"/>
      <protection/>
    </xf>
    <xf numFmtId="0" fontId="23" fillId="0" borderId="62" xfId="59" applyFont="1" applyBorder="1" applyAlignment="1">
      <alignment horizontal="left"/>
      <protection/>
    </xf>
    <xf numFmtId="0" fontId="24" fillId="0" borderId="56" xfId="59" applyFont="1" applyBorder="1" applyAlignment="1">
      <alignment horizontal="right"/>
      <protection/>
    </xf>
    <xf numFmtId="0" fontId="19" fillId="0" borderId="0" xfId="0" applyFont="1" applyAlignment="1">
      <alignment horizontal="right"/>
    </xf>
    <xf numFmtId="0" fontId="19" fillId="0" borderId="58" xfId="0" applyFont="1" applyBorder="1" applyAlignment="1">
      <alignment horizontal="right"/>
    </xf>
    <xf numFmtId="0" fontId="16" fillId="0" borderId="152" xfId="60" applyFont="1" applyFill="1" applyBorder="1" applyAlignment="1">
      <alignment horizontal="center" vertical="center" wrapText="1"/>
      <protection/>
    </xf>
    <xf numFmtId="0" fontId="19" fillId="0" borderId="153" xfId="0" applyFont="1" applyBorder="1" applyAlignment="1">
      <alignment/>
    </xf>
    <xf numFmtId="0" fontId="19" fillId="0" borderId="154" xfId="0" applyFont="1" applyBorder="1" applyAlignment="1">
      <alignment/>
    </xf>
    <xf numFmtId="0" fontId="60" fillId="0" borderId="68" xfId="59" applyFont="1" applyBorder="1" applyAlignment="1">
      <alignment horizontal="center" vertical="center"/>
      <protection/>
    </xf>
    <xf numFmtId="0" fontId="60" fillId="0" borderId="50" xfId="59" applyFont="1" applyBorder="1" applyAlignment="1">
      <alignment horizontal="center" vertical="center"/>
      <protection/>
    </xf>
    <xf numFmtId="0" fontId="60" fillId="0" borderId="113" xfId="59" applyFont="1" applyBorder="1" applyAlignment="1">
      <alignment horizontal="center" vertical="center"/>
      <protection/>
    </xf>
    <xf numFmtId="0" fontId="60" fillId="0" borderId="53" xfId="59" applyFont="1" applyBorder="1" applyAlignment="1">
      <alignment horizontal="center" vertical="center"/>
      <protection/>
    </xf>
    <xf numFmtId="0" fontId="60" fillId="0" borderId="33" xfId="59" applyFont="1" applyBorder="1" applyAlignment="1">
      <alignment horizontal="center" vertical="center"/>
      <protection/>
    </xf>
    <xf numFmtId="0" fontId="60" fillId="0" borderId="48" xfId="59" applyFont="1" applyBorder="1" applyAlignment="1">
      <alignment horizontal="center" vertical="center"/>
      <protection/>
    </xf>
    <xf numFmtId="0" fontId="23" fillId="0" borderId="53" xfId="59" applyFont="1" applyBorder="1" applyAlignment="1">
      <alignment horizontal="left" vertical="center" wrapText="1"/>
      <protection/>
    </xf>
    <xf numFmtId="0" fontId="23" fillId="0" borderId="33" xfId="59" applyFont="1" applyBorder="1" applyAlignment="1">
      <alignment horizontal="left" vertical="center" wrapText="1"/>
      <protection/>
    </xf>
    <xf numFmtId="0" fontId="23" fillId="0" borderId="26" xfId="59" applyFont="1" applyBorder="1" applyAlignment="1">
      <alignment horizontal="left" vertical="center" wrapText="1"/>
      <protection/>
    </xf>
    <xf numFmtId="0" fontId="60" fillId="36" borderId="104" xfId="59" applyFont="1" applyFill="1" applyBorder="1" applyAlignment="1">
      <alignment vertical="center" wrapText="1"/>
      <protection/>
    </xf>
    <xf numFmtId="0" fontId="15" fillId="36" borderId="85" xfId="0" applyFont="1" applyFill="1" applyBorder="1" applyAlignment="1">
      <alignment vertical="center" wrapText="1"/>
    </xf>
    <xf numFmtId="0" fontId="15" fillId="36" borderId="112" xfId="0" applyFont="1" applyFill="1" applyBorder="1" applyAlignment="1">
      <alignment vertical="center" wrapText="1"/>
    </xf>
    <xf numFmtId="0" fontId="46" fillId="0" borderId="104" xfId="59" applyFont="1" applyBorder="1" applyAlignment="1">
      <alignment horizontal="center"/>
      <protection/>
    </xf>
    <xf numFmtId="0" fontId="19" fillId="0" borderId="85" xfId="0" applyFont="1" applyBorder="1" applyAlignment="1">
      <alignment horizontal="center"/>
    </xf>
    <xf numFmtId="0" fontId="19" fillId="0" borderId="112" xfId="0" applyFont="1" applyBorder="1" applyAlignment="1">
      <alignment horizontal="center"/>
    </xf>
    <xf numFmtId="0" fontId="19" fillId="0" borderId="0" xfId="59" applyFont="1" applyAlignment="1">
      <alignment horizontal="center"/>
      <protection/>
    </xf>
    <xf numFmtId="3" fontId="16" fillId="0" borderId="143" xfId="59" applyNumberFormat="1" applyFont="1" applyBorder="1" applyAlignment="1">
      <alignment horizontal="center" vertical="center"/>
      <protection/>
    </xf>
    <xf numFmtId="3" fontId="16" fillId="0" borderId="92" xfId="59" applyNumberFormat="1" applyFont="1" applyBorder="1" applyAlignment="1">
      <alignment horizontal="center" vertical="center"/>
      <protection/>
    </xf>
    <xf numFmtId="3" fontId="16" fillId="0" borderId="144" xfId="59" applyNumberFormat="1" applyFont="1" applyBorder="1" applyAlignment="1">
      <alignment horizontal="center" vertical="center"/>
      <protection/>
    </xf>
    <xf numFmtId="0" fontId="23" fillId="0" borderId="56" xfId="59" applyFont="1" applyBorder="1" applyAlignment="1">
      <alignment horizontal="left" vertical="center" wrapText="1"/>
      <protection/>
    </xf>
    <xf numFmtId="0" fontId="16" fillId="36" borderId="81" xfId="59" applyFont="1" applyFill="1" applyBorder="1" applyAlignment="1">
      <alignment horizontal="right"/>
      <protection/>
    </xf>
    <xf numFmtId="0" fontId="19" fillId="36" borderId="98" xfId="0" applyFont="1" applyFill="1" applyBorder="1" applyAlignment="1">
      <alignment horizontal="right"/>
    </xf>
    <xf numFmtId="0" fontId="19" fillId="36" borderId="109" xfId="0" applyFont="1" applyFill="1" applyBorder="1" applyAlignment="1">
      <alignment horizontal="right"/>
    </xf>
    <xf numFmtId="0" fontId="16" fillId="36" borderId="98" xfId="59" applyFont="1" applyFill="1" applyBorder="1" applyAlignment="1">
      <alignment/>
      <protection/>
    </xf>
    <xf numFmtId="0" fontId="16" fillId="36" borderId="98" xfId="0" applyFont="1" applyFill="1" applyBorder="1" applyAlignment="1">
      <alignment/>
    </xf>
    <xf numFmtId="0" fontId="16" fillId="36" borderId="150" xfId="0" applyFont="1" applyFill="1" applyBorder="1" applyAlignment="1">
      <alignment/>
    </xf>
    <xf numFmtId="0" fontId="60" fillId="0" borderId="113" xfId="60" applyFont="1" applyFill="1" applyBorder="1" applyAlignment="1">
      <alignment horizontal="center" vertical="center" wrapText="1"/>
      <protection/>
    </xf>
    <xf numFmtId="0" fontId="60" fillId="0" borderId="48" xfId="60" applyFont="1" applyFill="1" applyBorder="1" applyAlignment="1">
      <alignment horizontal="center" vertical="center" wrapText="1"/>
      <protection/>
    </xf>
    <xf numFmtId="0" fontId="16" fillId="0" borderId="155" xfId="60" applyFont="1" applyFill="1" applyBorder="1" applyAlignment="1">
      <alignment horizontal="center" vertical="center" wrapText="1"/>
      <protection/>
    </xf>
    <xf numFmtId="0" fontId="19" fillId="0" borderId="156" xfId="0" applyFont="1" applyBorder="1" applyAlignment="1">
      <alignment horizontal="center" vertical="center" wrapText="1"/>
    </xf>
    <xf numFmtId="0" fontId="19" fillId="0" borderId="157" xfId="0" applyFont="1" applyBorder="1" applyAlignment="1">
      <alignment horizontal="center" vertical="center" wrapText="1"/>
    </xf>
    <xf numFmtId="0" fontId="61" fillId="0" borderId="61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0" fontId="23" fillId="0" borderId="0" xfId="59" applyFont="1" applyAlignment="1">
      <alignment horizontal="left" wrapText="1"/>
      <protection/>
    </xf>
    <xf numFmtId="0" fontId="16" fillId="0" borderId="158" xfId="60" applyFont="1" applyFill="1" applyBorder="1" applyAlignment="1">
      <alignment horizontal="center" vertical="center" wrapText="1"/>
      <protection/>
    </xf>
    <xf numFmtId="0" fontId="19" fillId="0" borderId="153" xfId="0" applyFont="1" applyBorder="1" applyAlignment="1">
      <alignment horizontal="center" vertical="center" wrapText="1"/>
    </xf>
    <xf numFmtId="0" fontId="23" fillId="0" borderId="96" xfId="59" applyFont="1" applyBorder="1" applyAlignment="1">
      <alignment horizontal="left"/>
      <protection/>
    </xf>
    <xf numFmtId="0" fontId="19" fillId="0" borderId="50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50" xfId="0" applyFont="1" applyBorder="1" applyAlignment="1">
      <alignment/>
    </xf>
    <xf numFmtId="0" fontId="19" fillId="0" borderId="113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48" xfId="0" applyFont="1" applyBorder="1" applyAlignment="1">
      <alignment/>
    </xf>
    <xf numFmtId="0" fontId="19" fillId="0" borderId="94" xfId="0" applyFont="1" applyBorder="1" applyAlignment="1">
      <alignment/>
    </xf>
    <xf numFmtId="3" fontId="16" fillId="0" borderId="65" xfId="59" applyNumberFormat="1" applyFont="1" applyBorder="1" applyAlignment="1">
      <alignment horizontal="right" vertical="center"/>
      <protection/>
    </xf>
    <xf numFmtId="3" fontId="23" fillId="0" borderId="65" xfId="59" applyNumberFormat="1" applyFont="1" applyBorder="1" applyAlignment="1">
      <alignment horizontal="right" vertical="center"/>
      <protection/>
    </xf>
    <xf numFmtId="3" fontId="23" fillId="0" borderId="49" xfId="59" applyNumberFormat="1" applyFont="1" applyBorder="1" applyAlignment="1">
      <alignment horizontal="right" vertical="center"/>
      <protection/>
    </xf>
    <xf numFmtId="0" fontId="24" fillId="0" borderId="72" xfId="59" applyFont="1" applyBorder="1" applyAlignment="1">
      <alignment horizontal="right"/>
      <protection/>
    </xf>
    <xf numFmtId="0" fontId="24" fillId="0" borderId="159" xfId="59" applyFont="1" applyBorder="1" applyAlignment="1">
      <alignment horizontal="right"/>
      <protection/>
    </xf>
    <xf numFmtId="0" fontId="16" fillId="36" borderId="114" xfId="0" applyFont="1" applyFill="1" applyBorder="1" applyAlignment="1">
      <alignment/>
    </xf>
    <xf numFmtId="0" fontId="61" fillId="0" borderId="62" xfId="59" applyFont="1" applyBorder="1" applyAlignment="1">
      <alignment horizontal="left"/>
      <protection/>
    </xf>
    <xf numFmtId="0" fontId="61" fillId="0" borderId="60" xfId="59" applyFont="1" applyBorder="1" applyAlignment="1">
      <alignment horizontal="left"/>
      <protection/>
    </xf>
    <xf numFmtId="0" fontId="23" fillId="0" borderId="151" xfId="59" applyFont="1" applyBorder="1" applyAlignment="1">
      <alignment horizontal="left"/>
      <protection/>
    </xf>
    <xf numFmtId="0" fontId="23" fillId="0" borderId="50" xfId="59" applyFont="1" applyBorder="1" applyAlignment="1">
      <alignment horizontal="left"/>
      <protection/>
    </xf>
    <xf numFmtId="0" fontId="23" fillId="0" borderId="62" xfId="59" applyFont="1" applyBorder="1" applyAlignment="1">
      <alignment horizontal="left" wrapText="1"/>
      <protection/>
    </xf>
    <xf numFmtId="0" fontId="16" fillId="0" borderId="160" xfId="60" applyFont="1" applyFill="1" applyBorder="1" applyAlignment="1">
      <alignment horizontal="center" vertical="center" wrapText="1"/>
      <protection/>
    </xf>
    <xf numFmtId="0" fontId="19" fillId="0" borderId="70" xfId="0" applyFont="1" applyBorder="1" applyAlignment="1">
      <alignment/>
    </xf>
    <xf numFmtId="0" fontId="19" fillId="0" borderId="87" xfId="0" applyFont="1" applyBorder="1" applyAlignment="1">
      <alignment/>
    </xf>
    <xf numFmtId="0" fontId="19" fillId="0" borderId="161" xfId="0" applyFont="1" applyBorder="1" applyAlignment="1">
      <alignment horizontal="center" vertical="center" wrapText="1"/>
    </xf>
    <xf numFmtId="0" fontId="17" fillId="0" borderId="0" xfId="60" applyFont="1" applyFill="1" applyAlignment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17" fillId="0" borderId="0" xfId="0" applyFont="1" applyAlignment="1">
      <alignment/>
    </xf>
    <xf numFmtId="0" fontId="16" fillId="0" borderId="162" xfId="60" applyFont="1" applyFill="1" applyBorder="1" applyAlignment="1">
      <alignment horizontal="center" vertical="center" wrapText="1"/>
      <protection/>
    </xf>
    <xf numFmtId="0" fontId="60" fillId="0" borderId="68" xfId="59" applyFont="1" applyBorder="1" applyAlignment="1">
      <alignment horizontal="center" wrapText="1"/>
      <protection/>
    </xf>
    <xf numFmtId="0" fontId="60" fillId="0" borderId="50" xfId="59" applyFont="1" applyBorder="1" applyAlignment="1">
      <alignment horizontal="center" wrapText="1"/>
      <protection/>
    </xf>
    <xf numFmtId="0" fontId="60" fillId="0" borderId="53" xfId="59" applyFont="1" applyBorder="1" applyAlignment="1">
      <alignment horizontal="center" wrapText="1"/>
      <protection/>
    </xf>
    <xf numFmtId="0" fontId="60" fillId="0" borderId="33" xfId="59" applyFont="1" applyBorder="1" applyAlignment="1">
      <alignment horizontal="center" wrapText="1"/>
      <protection/>
    </xf>
    <xf numFmtId="0" fontId="19" fillId="0" borderId="50" xfId="59" applyFont="1" applyBorder="1" applyAlignment="1">
      <alignment horizontal="center" vertical="center"/>
      <protection/>
    </xf>
    <xf numFmtId="0" fontId="19" fillId="0" borderId="113" xfId="59" applyFont="1" applyBorder="1" applyAlignment="1">
      <alignment horizontal="center" vertical="center"/>
      <protection/>
    </xf>
    <xf numFmtId="0" fontId="19" fillId="0" borderId="53" xfId="59" applyFont="1" applyBorder="1" applyAlignment="1">
      <alignment horizontal="center" vertical="center"/>
      <protection/>
    </xf>
    <xf numFmtId="0" fontId="19" fillId="0" borderId="33" xfId="59" applyFont="1" applyBorder="1" applyAlignment="1">
      <alignment horizontal="center" vertical="center"/>
      <protection/>
    </xf>
    <xf numFmtId="0" fontId="19" fillId="0" borderId="48" xfId="59" applyFont="1" applyBorder="1" applyAlignment="1">
      <alignment horizontal="center" vertical="center"/>
      <protection/>
    </xf>
    <xf numFmtId="0" fontId="45" fillId="0" borderId="0" xfId="60" applyFont="1" applyFill="1" applyAlignment="1">
      <alignment horizontal="center" vertical="center" wrapText="1"/>
      <protection/>
    </xf>
    <xf numFmtId="3" fontId="16" fillId="0" borderId="61" xfId="59" applyNumberFormat="1" applyFont="1" applyBorder="1" applyAlignment="1">
      <alignment horizontal="right" vertical="center"/>
      <protection/>
    </xf>
    <xf numFmtId="3" fontId="16" fillId="0" borderId="88" xfId="59" applyNumberFormat="1" applyFont="1" applyBorder="1" applyAlignment="1">
      <alignment horizontal="right" vertical="center"/>
      <protection/>
    </xf>
    <xf numFmtId="3" fontId="16" fillId="0" borderId="143" xfId="59" applyNumberFormat="1" applyFont="1" applyBorder="1" applyAlignment="1">
      <alignment horizontal="right" vertical="center" wrapText="1"/>
      <protection/>
    </xf>
    <xf numFmtId="3" fontId="16" fillId="0" borderId="92" xfId="59" applyNumberFormat="1" applyFont="1" applyBorder="1" applyAlignment="1">
      <alignment horizontal="right" vertical="center" wrapText="1"/>
      <protection/>
    </xf>
    <xf numFmtId="3" fontId="16" fillId="0" borderId="144" xfId="59" applyNumberFormat="1" applyFont="1" applyBorder="1" applyAlignment="1">
      <alignment horizontal="right" vertical="center" wrapText="1"/>
      <protection/>
    </xf>
    <xf numFmtId="0" fontId="61" fillId="0" borderId="56" xfId="59" applyFont="1" applyBorder="1" applyAlignment="1">
      <alignment horizontal="left"/>
      <protection/>
    </xf>
    <xf numFmtId="0" fontId="23" fillId="0" borderId="74" xfId="59" applyFont="1" applyBorder="1" applyAlignment="1">
      <alignment horizontal="left" wrapText="1"/>
      <protection/>
    </xf>
    <xf numFmtId="0" fontId="23" fillId="0" borderId="72" xfId="59" applyFont="1" applyBorder="1" applyAlignment="1">
      <alignment horizontal="left" wrapText="1"/>
      <protection/>
    </xf>
    <xf numFmtId="0" fontId="23" fillId="0" borderId="94" xfId="59" applyFont="1" applyBorder="1" applyAlignment="1">
      <alignment horizontal="left" vertical="center" wrapText="1"/>
      <protection/>
    </xf>
    <xf numFmtId="3" fontId="16" fillId="0" borderId="64" xfId="59" applyNumberFormat="1" applyFont="1" applyBorder="1" applyAlignment="1">
      <alignment horizontal="right" vertical="center"/>
      <protection/>
    </xf>
    <xf numFmtId="0" fontId="23" fillId="0" borderId="95" xfId="59" applyFont="1" applyBorder="1" applyAlignment="1">
      <alignment horizontal="left" vertical="center"/>
      <protection/>
    </xf>
    <xf numFmtId="0" fontId="23" fillId="0" borderId="60" xfId="59" applyFont="1" applyBorder="1" applyAlignment="1">
      <alignment horizontal="left" vertical="center"/>
      <protection/>
    </xf>
    <xf numFmtId="3" fontId="16" fillId="0" borderId="151" xfId="59" applyNumberFormat="1" applyFont="1" applyBorder="1" applyAlignment="1">
      <alignment horizontal="right" vertical="center"/>
      <protection/>
    </xf>
    <xf numFmtId="3" fontId="16" fillId="0" borderId="94" xfId="59" applyNumberFormat="1" applyFont="1" applyBorder="1" applyAlignment="1">
      <alignment horizontal="right" vertical="center"/>
      <protection/>
    </xf>
    <xf numFmtId="0" fontId="23" fillId="0" borderId="68" xfId="59" applyFont="1" applyBorder="1" applyAlignment="1">
      <alignment horizontal="left"/>
      <protection/>
    </xf>
    <xf numFmtId="0" fontId="22" fillId="0" borderId="0" xfId="0" applyFont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64" fillId="0" borderId="0" xfId="0" applyFont="1" applyFill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35" xfId="62" applyFont="1" applyBorder="1" applyAlignment="1">
      <alignment horizontal="center" vertical="center"/>
      <protection/>
    </xf>
    <xf numFmtId="0" fontId="21" fillId="0" borderId="21" xfId="62" applyFont="1" applyBorder="1" applyAlignment="1">
      <alignment horizontal="center" vertical="center"/>
      <protection/>
    </xf>
    <xf numFmtId="0" fontId="16" fillId="0" borderId="36" xfId="62" applyFont="1" applyBorder="1" applyAlignment="1">
      <alignment horizontal="center" vertical="center" wrapText="1"/>
      <protection/>
    </xf>
    <xf numFmtId="0" fontId="16" fillId="0" borderId="22" xfId="62" applyFont="1" applyBorder="1" applyAlignment="1">
      <alignment horizontal="center" vertical="center" wrapText="1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23" xfId="62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39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31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" fillId="33" borderId="22" xfId="61" applyFont="1" applyFill="1" applyBorder="1" applyAlignment="1">
      <alignment horizontal="right"/>
      <protection/>
    </xf>
    <xf numFmtId="0" fontId="2" fillId="33" borderId="14" xfId="61" applyFont="1" applyFill="1" applyBorder="1" applyAlignment="1">
      <alignment horizontal="right"/>
      <protection/>
    </xf>
    <xf numFmtId="0" fontId="40" fillId="33" borderId="22" xfId="61" applyFont="1" applyFill="1" applyBorder="1" applyAlignment="1">
      <alignment horizontal="left"/>
      <protection/>
    </xf>
    <xf numFmtId="0" fontId="40" fillId="33" borderId="14" xfId="61" applyFont="1" applyFill="1" applyBorder="1" applyAlignment="1">
      <alignment horizontal="left"/>
      <protection/>
    </xf>
    <xf numFmtId="0" fontId="1" fillId="0" borderId="143" xfId="61" applyFont="1" applyBorder="1" applyAlignment="1">
      <alignment horizontal="center" vertical="center" wrapText="1"/>
      <protection/>
    </xf>
    <xf numFmtId="0" fontId="14" fillId="0" borderId="30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3" fontId="0" fillId="38" borderId="143" xfId="0" applyNumberFormat="1" applyFill="1" applyBorder="1" applyAlignment="1">
      <alignment horizontal="center"/>
    </xf>
    <xf numFmtId="3" fontId="0" fillId="38" borderId="92" xfId="0" applyNumberFormat="1" applyFill="1" applyBorder="1" applyAlignment="1">
      <alignment horizontal="center"/>
    </xf>
    <xf numFmtId="3" fontId="0" fillId="38" borderId="144" xfId="0" applyNumberFormat="1" applyFill="1" applyBorder="1" applyAlignment="1">
      <alignment horizontal="center"/>
    </xf>
    <xf numFmtId="3" fontId="0" fillId="38" borderId="88" xfId="0" applyNumberForma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22" fillId="0" borderId="151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113" xfId="0" applyFont="1" applyBorder="1" applyAlignment="1">
      <alignment horizontal="center"/>
    </xf>
    <xf numFmtId="0" fontId="70" fillId="0" borderId="163" xfId="0" applyFont="1" applyBorder="1" applyAlignment="1">
      <alignment horizontal="left"/>
    </xf>
    <xf numFmtId="0" fontId="70" fillId="0" borderId="164" xfId="0" applyFont="1" applyBorder="1" applyAlignment="1">
      <alignment horizontal="left"/>
    </xf>
    <xf numFmtId="0" fontId="70" fillId="0" borderId="152" xfId="0" applyFont="1" applyBorder="1" applyAlignment="1">
      <alignment horizontal="left"/>
    </xf>
    <xf numFmtId="0" fontId="70" fillId="0" borderId="160" xfId="0" applyFont="1" applyBorder="1" applyAlignment="1">
      <alignment horizontal="left"/>
    </xf>
    <xf numFmtId="0" fontId="70" fillId="0" borderId="156" xfId="0" applyFont="1" applyBorder="1" applyAlignment="1">
      <alignment horizontal="left"/>
    </xf>
    <xf numFmtId="0" fontId="70" fillId="0" borderId="165" xfId="0" applyFont="1" applyBorder="1" applyAlignment="1">
      <alignment horizontal="left"/>
    </xf>
    <xf numFmtId="0" fontId="70" fillId="0" borderId="166" xfId="0" applyFont="1" applyBorder="1" applyAlignment="1">
      <alignment horizontal="left" wrapText="1"/>
    </xf>
    <xf numFmtId="0" fontId="70" fillId="0" borderId="167" xfId="0" applyFont="1" applyBorder="1" applyAlignment="1">
      <alignment horizontal="left" wrapText="1"/>
    </xf>
    <xf numFmtId="0" fontId="70" fillId="0" borderId="168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139" xfId="0" applyFont="1" applyBorder="1" applyAlignment="1">
      <alignment horizontal="center" vertical="center" wrapText="1"/>
    </xf>
    <xf numFmtId="0" fontId="68" fillId="0" borderId="143" xfId="0" applyFont="1" applyBorder="1" applyAlignment="1">
      <alignment horizontal="center" vertical="center" wrapText="1"/>
    </xf>
    <xf numFmtId="0" fontId="68" fillId="0" borderId="92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20" fillId="0" borderId="143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67" fillId="0" borderId="95" xfId="0" applyFont="1" applyBorder="1" applyAlignment="1">
      <alignment horizontal="center" vertical="center"/>
    </xf>
    <xf numFmtId="0" fontId="67" fillId="0" borderId="61" xfId="0" applyFont="1" applyBorder="1" applyAlignment="1">
      <alignment horizontal="center" vertical="center"/>
    </xf>
    <xf numFmtId="0" fontId="67" fillId="0" borderId="132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9" fillId="39" borderId="102" xfId="0" applyFont="1" applyFill="1" applyBorder="1" applyAlignment="1">
      <alignment horizontal="center" vertical="center"/>
    </xf>
    <xf numFmtId="0" fontId="69" fillId="39" borderId="85" xfId="0" applyFont="1" applyFill="1" applyBorder="1" applyAlignment="1">
      <alignment horizontal="center" vertical="center"/>
    </xf>
    <xf numFmtId="0" fontId="69" fillId="39" borderId="169" xfId="0" applyFont="1" applyFill="1" applyBorder="1" applyAlignment="1">
      <alignment horizontal="center" vertical="center"/>
    </xf>
    <xf numFmtId="0" fontId="70" fillId="0" borderId="166" xfId="0" applyFont="1" applyBorder="1" applyAlignment="1">
      <alignment horizontal="left"/>
    </xf>
    <xf numFmtId="0" fontId="70" fillId="0" borderId="167" xfId="0" applyFont="1" applyBorder="1" applyAlignment="1">
      <alignment horizontal="left"/>
    </xf>
    <xf numFmtId="0" fontId="70" fillId="0" borderId="168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65" xfId="0" applyBorder="1" applyAlignment="1">
      <alignment horizontal="center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8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5.125" style="207" customWidth="1"/>
    <col min="2" max="3" width="9.125" style="207" customWidth="1"/>
    <col min="4" max="4" width="5.875" style="207" customWidth="1"/>
    <col min="5" max="5" width="49.875" style="207" customWidth="1"/>
    <col min="6" max="6" width="16.125" style="207" bestFit="1" customWidth="1"/>
    <col min="7" max="7" width="13.625" style="207" customWidth="1"/>
    <col min="8" max="8" width="15.125" style="207" customWidth="1"/>
    <col min="9" max="9" width="15.875" style="207" bestFit="1" customWidth="1"/>
    <col min="10" max="16384" width="9.125" style="207" customWidth="1"/>
  </cols>
  <sheetData>
    <row r="1" spans="1:9" ht="12.75">
      <c r="A1" s="95"/>
      <c r="B1" s="234"/>
      <c r="C1" s="234"/>
      <c r="D1" s="234"/>
      <c r="E1" s="235"/>
      <c r="F1" s="859" t="s">
        <v>1075</v>
      </c>
      <c r="G1" s="860"/>
      <c r="H1" s="860"/>
      <c r="I1" s="860"/>
    </row>
    <row r="2" spans="1:9" ht="15.75">
      <c r="A2" s="864" t="s">
        <v>734</v>
      </c>
      <c r="B2" s="864"/>
      <c r="C2" s="864"/>
      <c r="D2" s="864"/>
      <c r="E2" s="864"/>
      <c r="F2" s="864"/>
      <c r="G2" s="864"/>
      <c r="H2" s="864"/>
      <c r="I2" s="864"/>
    </row>
    <row r="3" spans="1:9" ht="12.75">
      <c r="A3" s="95"/>
      <c r="B3" s="95"/>
      <c r="C3" s="95"/>
      <c r="D3" s="95"/>
      <c r="E3" s="95"/>
      <c r="F3" s="234"/>
      <c r="G3" s="234"/>
      <c r="H3" s="234"/>
      <c r="I3" s="234"/>
    </row>
    <row r="4" spans="1:9" ht="12.75">
      <c r="A4" s="95"/>
      <c r="B4" s="234"/>
      <c r="C4" s="234"/>
      <c r="D4" s="234"/>
      <c r="E4" s="234"/>
      <c r="F4" s="234"/>
      <c r="G4" s="234"/>
      <c r="H4" s="234"/>
      <c r="I4" s="235" t="s">
        <v>735</v>
      </c>
    </row>
    <row r="5" spans="1:9" ht="60">
      <c r="A5" s="850" t="s">
        <v>0</v>
      </c>
      <c r="B5" s="851"/>
      <c r="C5" s="851"/>
      <c r="D5" s="851"/>
      <c r="E5" s="852"/>
      <c r="F5" s="214" t="s">
        <v>104</v>
      </c>
      <c r="G5" s="214" t="s">
        <v>408</v>
      </c>
      <c r="H5" s="214" t="s">
        <v>1031</v>
      </c>
      <c r="I5" s="214" t="s">
        <v>401</v>
      </c>
    </row>
    <row r="6" spans="1:9" s="218" customFormat="1" ht="15">
      <c r="A6" s="236" t="s">
        <v>478</v>
      </c>
      <c r="B6" s="861" t="s">
        <v>479</v>
      </c>
      <c r="C6" s="862"/>
      <c r="D6" s="862"/>
      <c r="E6" s="863"/>
      <c r="F6" s="237" t="s">
        <v>480</v>
      </c>
      <c r="G6" s="237" t="s">
        <v>481</v>
      </c>
      <c r="H6" s="237" t="s">
        <v>482</v>
      </c>
      <c r="I6" s="237" t="s">
        <v>483</v>
      </c>
    </row>
    <row r="7" spans="1:9" s="240" customFormat="1" ht="12.75">
      <c r="A7" s="238" t="s">
        <v>238</v>
      </c>
      <c r="B7" s="853" t="s">
        <v>239</v>
      </c>
      <c r="C7" s="853"/>
      <c r="D7" s="853"/>
      <c r="E7" s="853"/>
      <c r="F7" s="239">
        <f>SUM(F8+F15+F16+F17+F28+F29)</f>
        <v>798367894</v>
      </c>
      <c r="G7" s="239">
        <f>SUM(G8+G15+G16+G17+G28+G29)</f>
        <v>589260</v>
      </c>
      <c r="H7" s="239">
        <f>SUM(H8+H15+H16+H17+H28+H29)</f>
        <v>583315</v>
      </c>
      <c r="I7" s="239">
        <f>SUM(F7:H7)</f>
        <v>799540469</v>
      </c>
    </row>
    <row r="8" spans="1:9" ht="12.75">
      <c r="A8" s="241"/>
      <c r="B8" s="241" t="s">
        <v>240</v>
      </c>
      <c r="C8" s="849" t="s">
        <v>241</v>
      </c>
      <c r="D8" s="849"/>
      <c r="E8" s="849"/>
      <c r="F8" s="242">
        <f>SUM(F9:F14)</f>
        <v>536138430</v>
      </c>
      <c r="G8" s="242">
        <f>SUM(G9:G14)</f>
        <v>0</v>
      </c>
      <c r="H8" s="242">
        <f>SUM(H9:H14)</f>
        <v>0</v>
      </c>
      <c r="I8" s="243">
        <f aca="true" t="shared" si="0" ref="I8:I72">SUM(F8:H8)</f>
        <v>536138430</v>
      </c>
    </row>
    <row r="9" spans="1:9" ht="12.75">
      <c r="A9" s="244"/>
      <c r="B9" s="244"/>
      <c r="C9" s="244" t="s">
        <v>242</v>
      </c>
      <c r="D9" s="244"/>
      <c r="E9" s="244" t="s">
        <v>765</v>
      </c>
      <c r="F9" s="245">
        <f>199631709+1000000</f>
        <v>200631709</v>
      </c>
      <c r="G9" s="245">
        <v>0</v>
      </c>
      <c r="H9" s="245">
        <v>0</v>
      </c>
      <c r="I9" s="246">
        <f t="shared" si="0"/>
        <v>200631709</v>
      </c>
    </row>
    <row r="10" spans="1:9" ht="12.75">
      <c r="A10" s="244"/>
      <c r="B10" s="247"/>
      <c r="C10" s="244" t="s">
        <v>243</v>
      </c>
      <c r="D10" s="244"/>
      <c r="E10" s="244" t="s">
        <v>771</v>
      </c>
      <c r="F10" s="245">
        <f>126843602+5138000+767984</f>
        <v>132749586</v>
      </c>
      <c r="G10" s="245">
        <v>0</v>
      </c>
      <c r="H10" s="245">
        <v>0</v>
      </c>
      <c r="I10" s="246">
        <f t="shared" si="0"/>
        <v>132749586</v>
      </c>
    </row>
    <row r="11" spans="1:9" ht="12.75">
      <c r="A11" s="244"/>
      <c r="B11" s="244"/>
      <c r="C11" s="244" t="s">
        <v>244</v>
      </c>
      <c r="D11" s="244"/>
      <c r="E11" s="244" t="s">
        <v>736</v>
      </c>
      <c r="F11" s="245">
        <f>150128804+9413647-38760</f>
        <v>159503691</v>
      </c>
      <c r="G11" s="245">
        <v>0</v>
      </c>
      <c r="H11" s="245">
        <v>0</v>
      </c>
      <c r="I11" s="246">
        <f t="shared" si="0"/>
        <v>159503691</v>
      </c>
    </row>
    <row r="12" spans="1:9" ht="12.75">
      <c r="A12" s="244"/>
      <c r="B12" s="244"/>
      <c r="C12" s="244" t="s">
        <v>245</v>
      </c>
      <c r="D12" s="244"/>
      <c r="E12" s="244" t="s">
        <v>772</v>
      </c>
      <c r="F12" s="245">
        <v>10164240</v>
      </c>
      <c r="G12" s="245">
        <v>0</v>
      </c>
      <c r="H12" s="245">
        <v>0</v>
      </c>
      <c r="I12" s="246">
        <f t="shared" si="0"/>
        <v>10164240</v>
      </c>
    </row>
    <row r="13" spans="1:9" ht="12.75">
      <c r="A13" s="244"/>
      <c r="B13" s="244"/>
      <c r="C13" s="244" t="s">
        <v>246</v>
      </c>
      <c r="D13" s="244"/>
      <c r="E13" s="244" t="s">
        <v>766</v>
      </c>
      <c r="F13" s="245">
        <f>1835612+6949788+1614100+4556666+18133038</f>
        <v>33089204</v>
      </c>
      <c r="G13" s="245">
        <v>0</v>
      </c>
      <c r="H13" s="245">
        <v>0</v>
      </c>
      <c r="I13" s="246">
        <f t="shared" si="0"/>
        <v>33089204</v>
      </c>
    </row>
    <row r="14" spans="1:9" ht="12.75">
      <c r="A14" s="248"/>
      <c r="B14" s="248"/>
      <c r="C14" s="244" t="s">
        <v>247</v>
      </c>
      <c r="D14" s="248"/>
      <c r="E14" s="244" t="s">
        <v>621</v>
      </c>
      <c r="F14" s="245">
        <v>0</v>
      </c>
      <c r="G14" s="245">
        <v>0</v>
      </c>
      <c r="H14" s="245">
        <v>0</v>
      </c>
      <c r="I14" s="246">
        <f t="shared" si="0"/>
        <v>0</v>
      </c>
    </row>
    <row r="15" spans="1:9" ht="12.75">
      <c r="A15" s="241"/>
      <c r="B15" s="241" t="s">
        <v>248</v>
      </c>
      <c r="C15" s="849" t="s">
        <v>249</v>
      </c>
      <c r="D15" s="849"/>
      <c r="E15" s="849"/>
      <c r="F15" s="242">
        <f>1486017+67767</f>
        <v>1553784</v>
      </c>
      <c r="G15" s="242">
        <v>0</v>
      </c>
      <c r="H15" s="242">
        <v>0</v>
      </c>
      <c r="I15" s="243">
        <f t="shared" si="0"/>
        <v>1553784</v>
      </c>
    </row>
    <row r="16" spans="1:9" ht="12.75">
      <c r="A16" s="241"/>
      <c r="B16" s="241" t="s">
        <v>250</v>
      </c>
      <c r="C16" s="849" t="s">
        <v>767</v>
      </c>
      <c r="D16" s="849"/>
      <c r="E16" s="849"/>
      <c r="F16" s="242">
        <v>0</v>
      </c>
      <c r="G16" s="242">
        <v>0</v>
      </c>
      <c r="H16" s="242">
        <v>0</v>
      </c>
      <c r="I16" s="243">
        <f>SUM(F16:H16)</f>
        <v>0</v>
      </c>
    </row>
    <row r="17" spans="1:9" ht="12.75">
      <c r="A17" s="241"/>
      <c r="B17" s="241" t="s">
        <v>251</v>
      </c>
      <c r="C17" s="849" t="s">
        <v>768</v>
      </c>
      <c r="D17" s="849"/>
      <c r="E17" s="849"/>
      <c r="F17" s="242">
        <f>SUM(F18:F27)</f>
        <v>0</v>
      </c>
      <c r="G17" s="242">
        <f>SUM(G18:G27)</f>
        <v>0</v>
      </c>
      <c r="H17" s="242">
        <f>SUM(H18:H27)</f>
        <v>0</v>
      </c>
      <c r="I17" s="243">
        <f t="shared" si="0"/>
        <v>0</v>
      </c>
    </row>
    <row r="18" spans="1:9" ht="12.75" hidden="1">
      <c r="A18" s="249"/>
      <c r="B18" s="249"/>
      <c r="C18" s="250" t="s">
        <v>2</v>
      </c>
      <c r="D18" s="250" t="s">
        <v>176</v>
      </c>
      <c r="E18" s="250" t="s">
        <v>177</v>
      </c>
      <c r="F18" s="251">
        <v>0</v>
      </c>
      <c r="G18" s="251">
        <v>0</v>
      </c>
      <c r="H18" s="251">
        <v>0</v>
      </c>
      <c r="I18" s="252">
        <f t="shared" si="0"/>
        <v>0</v>
      </c>
    </row>
    <row r="19" spans="1:9" ht="12.75" hidden="1">
      <c r="A19" s="249"/>
      <c r="B19" s="249"/>
      <c r="C19" s="250"/>
      <c r="D19" s="250" t="s">
        <v>178</v>
      </c>
      <c r="E19" s="250" t="s">
        <v>179</v>
      </c>
      <c r="F19" s="251">
        <v>0</v>
      </c>
      <c r="G19" s="251">
        <v>0</v>
      </c>
      <c r="H19" s="251">
        <v>0</v>
      </c>
      <c r="I19" s="252">
        <f t="shared" si="0"/>
        <v>0</v>
      </c>
    </row>
    <row r="20" spans="1:9" ht="12.75" hidden="1">
      <c r="A20" s="249"/>
      <c r="B20" s="249"/>
      <c r="C20" s="250"/>
      <c r="D20" s="250" t="s">
        <v>180</v>
      </c>
      <c r="E20" s="250" t="s">
        <v>252</v>
      </c>
      <c r="F20" s="251">
        <v>0</v>
      </c>
      <c r="G20" s="251">
        <v>0</v>
      </c>
      <c r="H20" s="251">
        <v>0</v>
      </c>
      <c r="I20" s="252">
        <f t="shared" si="0"/>
        <v>0</v>
      </c>
    </row>
    <row r="21" spans="1:9" ht="12.75" hidden="1">
      <c r="A21" s="249"/>
      <c r="B21" s="249"/>
      <c r="C21" s="250"/>
      <c r="D21" s="250" t="s">
        <v>182</v>
      </c>
      <c r="E21" s="250" t="s">
        <v>183</v>
      </c>
      <c r="F21" s="251">
        <v>0</v>
      </c>
      <c r="G21" s="251">
        <v>0</v>
      </c>
      <c r="H21" s="251">
        <v>0</v>
      </c>
      <c r="I21" s="252">
        <f t="shared" si="0"/>
        <v>0</v>
      </c>
    </row>
    <row r="22" spans="1:9" ht="12.75" hidden="1">
      <c r="A22" s="249"/>
      <c r="B22" s="249"/>
      <c r="C22" s="250"/>
      <c r="D22" s="250" t="s">
        <v>184</v>
      </c>
      <c r="E22" s="250" t="s">
        <v>185</v>
      </c>
      <c r="F22" s="251">
        <v>0</v>
      </c>
      <c r="G22" s="251">
        <v>0</v>
      </c>
      <c r="H22" s="251">
        <v>0</v>
      </c>
      <c r="I22" s="252">
        <f t="shared" si="0"/>
        <v>0</v>
      </c>
    </row>
    <row r="23" spans="1:9" ht="12.75" hidden="1">
      <c r="A23" s="249"/>
      <c r="B23" s="249"/>
      <c r="C23" s="250"/>
      <c r="D23" s="250" t="s">
        <v>186</v>
      </c>
      <c r="E23" s="250" t="s">
        <v>187</v>
      </c>
      <c r="F23" s="251">
        <v>0</v>
      </c>
      <c r="G23" s="251">
        <v>0</v>
      </c>
      <c r="H23" s="251">
        <v>0</v>
      </c>
      <c r="I23" s="252">
        <f t="shared" si="0"/>
        <v>0</v>
      </c>
    </row>
    <row r="24" spans="1:9" ht="12.75" hidden="1">
      <c r="A24" s="249"/>
      <c r="B24" s="249"/>
      <c r="C24" s="250"/>
      <c r="D24" s="250" t="s">
        <v>188</v>
      </c>
      <c r="E24" s="250" t="s">
        <v>189</v>
      </c>
      <c r="F24" s="251">
        <v>0</v>
      </c>
      <c r="G24" s="251">
        <v>0</v>
      </c>
      <c r="H24" s="251">
        <v>0</v>
      </c>
      <c r="I24" s="252">
        <f t="shared" si="0"/>
        <v>0</v>
      </c>
    </row>
    <row r="25" spans="1:9" ht="12.75" hidden="1">
      <c r="A25" s="249"/>
      <c r="B25" s="249"/>
      <c r="C25" s="250"/>
      <c r="D25" s="250" t="s">
        <v>190</v>
      </c>
      <c r="E25" s="250" t="s">
        <v>191</v>
      </c>
      <c r="F25" s="251"/>
      <c r="G25" s="251">
        <v>0</v>
      </c>
      <c r="H25" s="251">
        <v>0</v>
      </c>
      <c r="I25" s="252">
        <f t="shared" si="0"/>
        <v>0</v>
      </c>
    </row>
    <row r="26" spans="1:9" ht="12.75" hidden="1">
      <c r="A26" s="249"/>
      <c r="B26" s="249"/>
      <c r="C26" s="250"/>
      <c r="D26" s="250" t="s">
        <v>192</v>
      </c>
      <c r="E26" s="250" t="s">
        <v>193</v>
      </c>
      <c r="F26" s="251">
        <v>0</v>
      </c>
      <c r="G26" s="251">
        <v>0</v>
      </c>
      <c r="H26" s="251">
        <v>0</v>
      </c>
      <c r="I26" s="252">
        <f t="shared" si="0"/>
        <v>0</v>
      </c>
    </row>
    <row r="27" spans="1:9" ht="12.75" hidden="1">
      <c r="A27" s="249"/>
      <c r="B27" s="249"/>
      <c r="C27" s="250"/>
      <c r="D27" s="250" t="s">
        <v>194</v>
      </c>
      <c r="E27" s="250" t="s">
        <v>195</v>
      </c>
      <c r="F27" s="251">
        <v>0</v>
      </c>
      <c r="G27" s="251">
        <v>0</v>
      </c>
      <c r="H27" s="251">
        <v>0</v>
      </c>
      <c r="I27" s="252">
        <f t="shared" si="0"/>
        <v>0</v>
      </c>
    </row>
    <row r="28" spans="1:9" ht="12.75">
      <c r="A28" s="241"/>
      <c r="B28" s="241" t="s">
        <v>253</v>
      </c>
      <c r="C28" s="849" t="s">
        <v>769</v>
      </c>
      <c r="D28" s="849"/>
      <c r="E28" s="849"/>
      <c r="F28" s="242">
        <v>0</v>
      </c>
      <c r="G28" s="242">
        <v>0</v>
      </c>
      <c r="H28" s="242">
        <v>0</v>
      </c>
      <c r="I28" s="243">
        <f t="shared" si="0"/>
        <v>0</v>
      </c>
    </row>
    <row r="29" spans="1:9" ht="12.75">
      <c r="A29" s="241"/>
      <c r="B29" s="241" t="s">
        <v>254</v>
      </c>
      <c r="C29" s="849" t="s">
        <v>770</v>
      </c>
      <c r="D29" s="849"/>
      <c r="E29" s="849"/>
      <c r="F29" s="242">
        <f>SUM(F30:F39)</f>
        <v>260675680</v>
      </c>
      <c r="G29" s="242">
        <f>SUM(G30:G39)</f>
        <v>589260</v>
      </c>
      <c r="H29" s="242">
        <f>SUM(H30:H39)</f>
        <v>583315</v>
      </c>
      <c r="I29" s="243">
        <f t="shared" si="0"/>
        <v>261848255</v>
      </c>
    </row>
    <row r="30" spans="1:9" ht="12.75">
      <c r="A30" s="249"/>
      <c r="B30" s="249"/>
      <c r="C30" s="250" t="s">
        <v>2</v>
      </c>
      <c r="D30" s="250" t="s">
        <v>176</v>
      </c>
      <c r="E30" s="250" t="s">
        <v>177</v>
      </c>
      <c r="F30" s="251">
        <v>0</v>
      </c>
      <c r="G30" s="251">
        <v>0</v>
      </c>
      <c r="H30" s="251">
        <v>0</v>
      </c>
      <c r="I30" s="252">
        <f t="shared" si="0"/>
        <v>0</v>
      </c>
    </row>
    <row r="31" spans="1:9" ht="12.75">
      <c r="A31" s="249"/>
      <c r="B31" s="249"/>
      <c r="C31" s="250"/>
      <c r="D31" s="250" t="s">
        <v>178</v>
      </c>
      <c r="E31" s="250" t="s">
        <v>179</v>
      </c>
      <c r="F31" s="251">
        <v>0</v>
      </c>
      <c r="G31" s="251">
        <v>0</v>
      </c>
      <c r="H31" s="251">
        <v>0</v>
      </c>
      <c r="I31" s="252">
        <f t="shared" si="0"/>
        <v>0</v>
      </c>
    </row>
    <row r="32" spans="1:9" ht="12.75">
      <c r="A32" s="253"/>
      <c r="B32" s="253"/>
      <c r="C32" s="254"/>
      <c r="D32" s="254" t="s">
        <v>180</v>
      </c>
      <c r="E32" s="254" t="s">
        <v>773</v>
      </c>
      <c r="F32" s="251">
        <f>3850000+16135642</f>
        <v>19985642</v>
      </c>
      <c r="G32" s="251">
        <v>0</v>
      </c>
      <c r="H32" s="251">
        <v>0</v>
      </c>
      <c r="I32" s="252">
        <f t="shared" si="0"/>
        <v>19985642</v>
      </c>
    </row>
    <row r="33" spans="1:9" ht="12.75">
      <c r="A33" s="249"/>
      <c r="B33" s="249"/>
      <c r="C33" s="250"/>
      <c r="D33" s="250" t="s">
        <v>182</v>
      </c>
      <c r="E33" s="250" t="s">
        <v>183</v>
      </c>
      <c r="F33" s="251">
        <v>50236259</v>
      </c>
      <c r="G33" s="251">
        <v>0</v>
      </c>
      <c r="H33" s="251">
        <v>0</v>
      </c>
      <c r="I33" s="252">
        <f t="shared" si="0"/>
        <v>50236259</v>
      </c>
    </row>
    <row r="34" spans="1:9" ht="12.75">
      <c r="A34" s="249"/>
      <c r="B34" s="249"/>
      <c r="C34" s="250"/>
      <c r="D34" s="250" t="s">
        <v>184</v>
      </c>
      <c r="E34" s="250" t="s">
        <v>185</v>
      </c>
      <c r="F34" s="251">
        <f>31968000+165000</f>
        <v>32133000</v>
      </c>
      <c r="G34" s="251">
        <v>0</v>
      </c>
      <c r="H34" s="251">
        <v>0</v>
      </c>
      <c r="I34" s="252">
        <f t="shared" si="0"/>
        <v>32133000</v>
      </c>
    </row>
    <row r="35" spans="1:9" ht="12.75">
      <c r="A35" s="249"/>
      <c r="B35" s="249"/>
      <c r="C35" s="250"/>
      <c r="D35" s="250" t="s">
        <v>186</v>
      </c>
      <c r="E35" s="250" t="s">
        <v>187</v>
      </c>
      <c r="F35" s="251">
        <f>108223380+40591438+978201</f>
        <v>149793019</v>
      </c>
      <c r="G35" s="251">
        <v>589260</v>
      </c>
      <c r="H35" s="251">
        <v>583315</v>
      </c>
      <c r="I35" s="252">
        <f t="shared" si="0"/>
        <v>150965594</v>
      </c>
    </row>
    <row r="36" spans="1:9" ht="12.75">
      <c r="A36" s="249"/>
      <c r="B36" s="249"/>
      <c r="C36" s="250"/>
      <c r="D36" s="250" t="s">
        <v>188</v>
      </c>
      <c r="E36" s="250" t="s">
        <v>189</v>
      </c>
      <c r="F36" s="251">
        <f>11290847+4438250+750000-7951337</f>
        <v>8527760</v>
      </c>
      <c r="G36" s="251">
        <v>0</v>
      </c>
      <c r="H36" s="251">
        <v>0</v>
      </c>
      <c r="I36" s="252">
        <f t="shared" si="0"/>
        <v>8527760</v>
      </c>
    </row>
    <row r="37" spans="1:9" ht="12.75" hidden="1">
      <c r="A37" s="249"/>
      <c r="B37" s="249"/>
      <c r="C37" s="250"/>
      <c r="D37" s="250" t="s">
        <v>190</v>
      </c>
      <c r="E37" s="250" t="s">
        <v>191</v>
      </c>
      <c r="F37" s="251">
        <v>0</v>
      </c>
      <c r="G37" s="251">
        <v>0</v>
      </c>
      <c r="H37" s="251">
        <v>0</v>
      </c>
      <c r="I37" s="252">
        <f t="shared" si="0"/>
        <v>0</v>
      </c>
    </row>
    <row r="38" spans="1:9" ht="12.75" hidden="1">
      <c r="A38" s="249"/>
      <c r="B38" s="249"/>
      <c r="C38" s="250"/>
      <c r="D38" s="250" t="s">
        <v>192</v>
      </c>
      <c r="E38" s="250" t="s">
        <v>774</v>
      </c>
      <c r="F38" s="251">
        <v>0</v>
      </c>
      <c r="G38" s="251">
        <v>0</v>
      </c>
      <c r="H38" s="251">
        <v>0</v>
      </c>
      <c r="I38" s="252">
        <f t="shared" si="0"/>
        <v>0</v>
      </c>
    </row>
    <row r="39" spans="1:9" ht="12.75" hidden="1">
      <c r="A39" s="249"/>
      <c r="B39" s="249"/>
      <c r="C39" s="250"/>
      <c r="D39" s="250" t="s">
        <v>194</v>
      </c>
      <c r="E39" s="250" t="s">
        <v>775</v>
      </c>
      <c r="F39" s="251">
        <v>0</v>
      </c>
      <c r="G39" s="251">
        <v>0</v>
      </c>
      <c r="H39" s="251">
        <v>0</v>
      </c>
      <c r="I39" s="252">
        <f t="shared" si="0"/>
        <v>0</v>
      </c>
    </row>
    <row r="40" spans="1:9" s="240" customFormat="1" ht="12.75">
      <c r="A40" s="238" t="s">
        <v>255</v>
      </c>
      <c r="B40" s="853" t="s">
        <v>781</v>
      </c>
      <c r="C40" s="853"/>
      <c r="D40" s="853"/>
      <c r="E40" s="853"/>
      <c r="F40" s="239">
        <f>SUM(F41:F45)</f>
        <v>312808836</v>
      </c>
      <c r="G40" s="239">
        <f>SUM(G41:G45)</f>
        <v>0</v>
      </c>
      <c r="H40" s="239">
        <f>SUM(H41:H45)</f>
        <v>0</v>
      </c>
      <c r="I40" s="239">
        <f t="shared" si="0"/>
        <v>312808836</v>
      </c>
    </row>
    <row r="41" spans="1:9" ht="12.75" hidden="1">
      <c r="A41" s="241"/>
      <c r="B41" s="241" t="s">
        <v>256</v>
      </c>
      <c r="C41" s="849" t="s">
        <v>776</v>
      </c>
      <c r="D41" s="849"/>
      <c r="E41" s="849"/>
      <c r="F41" s="242">
        <v>0</v>
      </c>
      <c r="G41" s="242">
        <v>0</v>
      </c>
      <c r="H41" s="242">
        <v>0</v>
      </c>
      <c r="I41" s="243">
        <f t="shared" si="0"/>
        <v>0</v>
      </c>
    </row>
    <row r="42" spans="1:9" ht="12.75" hidden="1">
      <c r="A42" s="241"/>
      <c r="B42" s="241" t="s">
        <v>257</v>
      </c>
      <c r="C42" s="849" t="s">
        <v>777</v>
      </c>
      <c r="D42" s="849"/>
      <c r="E42" s="849"/>
      <c r="F42" s="242">
        <v>0</v>
      </c>
      <c r="G42" s="242">
        <v>0</v>
      </c>
      <c r="H42" s="242">
        <v>0</v>
      </c>
      <c r="I42" s="243">
        <f t="shared" si="0"/>
        <v>0</v>
      </c>
    </row>
    <row r="43" spans="1:9" ht="12.75" hidden="1">
      <c r="A43" s="241"/>
      <c r="B43" s="241" t="s">
        <v>258</v>
      </c>
      <c r="C43" s="849" t="s">
        <v>778</v>
      </c>
      <c r="D43" s="849"/>
      <c r="E43" s="849"/>
      <c r="F43" s="242">
        <v>0</v>
      </c>
      <c r="G43" s="242">
        <v>0</v>
      </c>
      <c r="H43" s="242">
        <v>0</v>
      </c>
      <c r="I43" s="243">
        <f t="shared" si="0"/>
        <v>0</v>
      </c>
    </row>
    <row r="44" spans="1:9" ht="12.75" hidden="1">
      <c r="A44" s="241"/>
      <c r="B44" s="241" t="s">
        <v>259</v>
      </c>
      <c r="C44" s="849" t="s">
        <v>779</v>
      </c>
      <c r="D44" s="849"/>
      <c r="E44" s="849"/>
      <c r="F44" s="242">
        <v>0</v>
      </c>
      <c r="G44" s="242">
        <v>0</v>
      </c>
      <c r="H44" s="242">
        <v>0</v>
      </c>
      <c r="I44" s="243">
        <f t="shared" si="0"/>
        <v>0</v>
      </c>
    </row>
    <row r="45" spans="1:9" ht="12.75">
      <c r="A45" s="241"/>
      <c r="B45" s="241" t="s">
        <v>260</v>
      </c>
      <c r="C45" s="849" t="s">
        <v>780</v>
      </c>
      <c r="D45" s="849"/>
      <c r="E45" s="849"/>
      <c r="F45" s="242">
        <f>SUM(F46:F55)</f>
        <v>312808836</v>
      </c>
      <c r="G45" s="242">
        <f>SUM(G46:G55)</f>
        <v>0</v>
      </c>
      <c r="H45" s="242">
        <f>SUM(H46:H55)</f>
        <v>0</v>
      </c>
      <c r="I45" s="243">
        <f t="shared" si="0"/>
        <v>312808836</v>
      </c>
    </row>
    <row r="46" spans="1:9" ht="12.75">
      <c r="A46" s="249"/>
      <c r="B46" s="249"/>
      <c r="C46" s="250" t="s">
        <v>2</v>
      </c>
      <c r="D46" s="250" t="s">
        <v>176</v>
      </c>
      <c r="E46" s="250" t="s">
        <v>177</v>
      </c>
      <c r="F46" s="251">
        <v>0</v>
      </c>
      <c r="G46" s="251">
        <v>0</v>
      </c>
      <c r="H46" s="251">
        <v>0</v>
      </c>
      <c r="I46" s="252">
        <f t="shared" si="0"/>
        <v>0</v>
      </c>
    </row>
    <row r="47" spans="1:9" ht="12.75">
      <c r="A47" s="249"/>
      <c r="B47" s="249"/>
      <c r="C47" s="250"/>
      <c r="D47" s="250" t="s">
        <v>178</v>
      </c>
      <c r="E47" s="250" t="s">
        <v>179</v>
      </c>
      <c r="F47" s="251">
        <v>0</v>
      </c>
      <c r="G47" s="251">
        <v>0</v>
      </c>
      <c r="H47" s="251">
        <v>0</v>
      </c>
      <c r="I47" s="252">
        <f t="shared" si="0"/>
        <v>0</v>
      </c>
    </row>
    <row r="48" spans="1:9" ht="12.75">
      <c r="A48" s="253"/>
      <c r="B48" s="253"/>
      <c r="C48" s="254"/>
      <c r="D48" s="254" t="s">
        <v>180</v>
      </c>
      <c r="E48" s="254" t="s">
        <v>252</v>
      </c>
      <c r="F48" s="251">
        <f>3150000+242560000+19779919+2500000+3832400+17861888+5000000+6019000</f>
        <v>300703207</v>
      </c>
      <c r="G48" s="251">
        <v>0</v>
      </c>
      <c r="H48" s="251">
        <v>0</v>
      </c>
      <c r="I48" s="252">
        <f t="shared" si="0"/>
        <v>300703207</v>
      </c>
    </row>
    <row r="49" spans="1:9" ht="12.75">
      <c r="A49" s="249"/>
      <c r="B49" s="249"/>
      <c r="C49" s="250"/>
      <c r="D49" s="250" t="s">
        <v>182</v>
      </c>
      <c r="E49" s="250" t="s">
        <v>183</v>
      </c>
      <c r="F49" s="251">
        <v>9000000</v>
      </c>
      <c r="G49" s="251">
        <v>0</v>
      </c>
      <c r="H49" s="251">
        <v>0</v>
      </c>
      <c r="I49" s="252">
        <f t="shared" si="0"/>
        <v>9000000</v>
      </c>
    </row>
    <row r="50" spans="1:9" ht="12.75">
      <c r="A50" s="249"/>
      <c r="B50" s="249"/>
      <c r="C50" s="250"/>
      <c r="D50" s="250" t="s">
        <v>184</v>
      </c>
      <c r="E50" s="250" t="s">
        <v>185</v>
      </c>
      <c r="F50" s="251">
        <v>0</v>
      </c>
      <c r="G50" s="251">
        <v>0</v>
      </c>
      <c r="H50" s="251">
        <v>0</v>
      </c>
      <c r="I50" s="252">
        <f t="shared" si="0"/>
        <v>0</v>
      </c>
    </row>
    <row r="51" spans="1:9" ht="12.75">
      <c r="A51" s="249"/>
      <c r="B51" s="249"/>
      <c r="C51" s="250"/>
      <c r="D51" s="250" t="s">
        <v>186</v>
      </c>
      <c r="E51" s="250" t="s">
        <v>187</v>
      </c>
      <c r="F51" s="251">
        <f>1707563+1398066</f>
        <v>3105629</v>
      </c>
      <c r="G51" s="251">
        <v>0</v>
      </c>
      <c r="H51" s="251">
        <v>0</v>
      </c>
      <c r="I51" s="252">
        <f t="shared" si="0"/>
        <v>3105629</v>
      </c>
    </row>
    <row r="52" spans="1:9" ht="12.75" hidden="1">
      <c r="A52" s="249"/>
      <c r="B52" s="249"/>
      <c r="C52" s="250"/>
      <c r="D52" s="250" t="s">
        <v>188</v>
      </c>
      <c r="E52" s="250" t="s">
        <v>189</v>
      </c>
      <c r="F52" s="251">
        <v>0</v>
      </c>
      <c r="G52" s="251">
        <v>0</v>
      </c>
      <c r="H52" s="251">
        <v>0</v>
      </c>
      <c r="I52" s="252">
        <f t="shared" si="0"/>
        <v>0</v>
      </c>
    </row>
    <row r="53" spans="1:9" ht="12.75" hidden="1">
      <c r="A53" s="249"/>
      <c r="B53" s="249"/>
      <c r="C53" s="250"/>
      <c r="D53" s="250" t="s">
        <v>190</v>
      </c>
      <c r="E53" s="250" t="s">
        <v>191</v>
      </c>
      <c r="F53" s="251">
        <v>0</v>
      </c>
      <c r="G53" s="251">
        <v>0</v>
      </c>
      <c r="H53" s="251">
        <v>0</v>
      </c>
      <c r="I53" s="252">
        <f t="shared" si="0"/>
        <v>0</v>
      </c>
    </row>
    <row r="54" spans="1:9" ht="12.75" hidden="1">
      <c r="A54" s="249"/>
      <c r="B54" s="249"/>
      <c r="C54" s="250"/>
      <c r="D54" s="250" t="s">
        <v>192</v>
      </c>
      <c r="E54" s="250" t="s">
        <v>193</v>
      </c>
      <c r="F54" s="251">
        <v>0</v>
      </c>
      <c r="G54" s="251">
        <v>0</v>
      </c>
      <c r="H54" s="251">
        <v>0</v>
      </c>
      <c r="I54" s="252">
        <f t="shared" si="0"/>
        <v>0</v>
      </c>
    </row>
    <row r="55" spans="1:9" ht="12.75" hidden="1">
      <c r="A55" s="249"/>
      <c r="B55" s="249"/>
      <c r="C55" s="250"/>
      <c r="D55" s="250" t="s">
        <v>194</v>
      </c>
      <c r="E55" s="250" t="s">
        <v>195</v>
      </c>
      <c r="F55" s="251">
        <v>0</v>
      </c>
      <c r="G55" s="251">
        <v>0</v>
      </c>
      <c r="H55" s="251">
        <v>0</v>
      </c>
      <c r="I55" s="252">
        <f t="shared" si="0"/>
        <v>0</v>
      </c>
    </row>
    <row r="56" spans="1:9" s="240" customFormat="1" ht="12.75">
      <c r="A56" s="238" t="s">
        <v>261</v>
      </c>
      <c r="B56" s="853" t="s">
        <v>262</v>
      </c>
      <c r="C56" s="853"/>
      <c r="D56" s="853"/>
      <c r="E56" s="853"/>
      <c r="F56" s="239">
        <f>SUM(F57+F58+F59+F60+F63+F74)</f>
        <v>182000000</v>
      </c>
      <c r="G56" s="239">
        <f>SUM(G57+G58+G59+G60+G63+G74)</f>
        <v>10000</v>
      </c>
      <c r="H56" s="239">
        <f>SUM(H57+H58+H59+H60+H63+H74)</f>
        <v>0</v>
      </c>
      <c r="I56" s="239">
        <f t="shared" si="0"/>
        <v>182010000</v>
      </c>
    </row>
    <row r="57" spans="1:9" ht="12.75">
      <c r="A57" s="241"/>
      <c r="B57" s="241" t="s">
        <v>263</v>
      </c>
      <c r="C57" s="849" t="s">
        <v>264</v>
      </c>
      <c r="D57" s="849"/>
      <c r="E57" s="849"/>
      <c r="F57" s="242">
        <v>50000</v>
      </c>
      <c r="G57" s="242">
        <v>0</v>
      </c>
      <c r="H57" s="242">
        <v>0</v>
      </c>
      <c r="I57" s="243">
        <f t="shared" si="0"/>
        <v>50000</v>
      </c>
    </row>
    <row r="58" spans="1:9" ht="12.75">
      <c r="A58" s="241"/>
      <c r="B58" s="241" t="s">
        <v>265</v>
      </c>
      <c r="C58" s="849" t="s">
        <v>266</v>
      </c>
      <c r="D58" s="849"/>
      <c r="E58" s="849"/>
      <c r="F58" s="242">
        <v>0</v>
      </c>
      <c r="G58" s="242">
        <v>0</v>
      </c>
      <c r="H58" s="242">
        <v>0</v>
      </c>
      <c r="I58" s="243">
        <f t="shared" si="0"/>
        <v>0</v>
      </c>
    </row>
    <row r="59" spans="1:9" ht="12.75">
      <c r="A59" s="241"/>
      <c r="B59" s="241" t="s">
        <v>267</v>
      </c>
      <c r="C59" s="849" t="s">
        <v>268</v>
      </c>
      <c r="D59" s="849"/>
      <c r="E59" s="849"/>
      <c r="F59" s="242">
        <v>0</v>
      </c>
      <c r="G59" s="242">
        <v>0</v>
      </c>
      <c r="H59" s="242">
        <v>0</v>
      </c>
      <c r="I59" s="243">
        <f t="shared" si="0"/>
        <v>0</v>
      </c>
    </row>
    <row r="60" spans="1:9" ht="12.75">
      <c r="A60" s="241"/>
      <c r="B60" s="241" t="s">
        <v>269</v>
      </c>
      <c r="C60" s="849" t="s">
        <v>270</v>
      </c>
      <c r="D60" s="849"/>
      <c r="E60" s="849"/>
      <c r="F60" s="242">
        <f>SUM(F61:F62)</f>
        <v>26700000</v>
      </c>
      <c r="G60" s="242">
        <f>SUM(G61:G62)</f>
        <v>0</v>
      </c>
      <c r="H60" s="242">
        <v>0</v>
      </c>
      <c r="I60" s="243">
        <f t="shared" si="0"/>
        <v>26700000</v>
      </c>
    </row>
    <row r="61" spans="1:9" ht="12.75">
      <c r="A61" s="249"/>
      <c r="B61" s="249"/>
      <c r="C61" s="250"/>
      <c r="D61" s="250"/>
      <c r="E61" s="250" t="s">
        <v>271</v>
      </c>
      <c r="F61" s="251">
        <v>25800000</v>
      </c>
      <c r="G61" s="251">
        <v>0</v>
      </c>
      <c r="H61" s="251">
        <v>0</v>
      </c>
      <c r="I61" s="252">
        <f t="shared" si="0"/>
        <v>25800000</v>
      </c>
    </row>
    <row r="62" spans="1:9" ht="12.75">
      <c r="A62" s="249"/>
      <c r="B62" s="249"/>
      <c r="C62" s="250"/>
      <c r="D62" s="250"/>
      <c r="E62" s="250" t="s">
        <v>272</v>
      </c>
      <c r="F62" s="251">
        <v>900000</v>
      </c>
      <c r="G62" s="251">
        <v>0</v>
      </c>
      <c r="H62" s="251">
        <v>0</v>
      </c>
      <c r="I62" s="252">
        <f t="shared" si="0"/>
        <v>900000</v>
      </c>
    </row>
    <row r="63" spans="1:9" ht="12.75">
      <c r="A63" s="241"/>
      <c r="B63" s="241" t="s">
        <v>273</v>
      </c>
      <c r="C63" s="849" t="s">
        <v>274</v>
      </c>
      <c r="D63" s="849"/>
      <c r="E63" s="849"/>
      <c r="F63" s="242">
        <f>SUM(F64+F67+F69+F70+F72)</f>
        <v>154700000</v>
      </c>
      <c r="G63" s="242">
        <f>SUM(G64+G67+G69+G70+G72)</f>
        <v>0</v>
      </c>
      <c r="H63" s="242">
        <v>0</v>
      </c>
      <c r="I63" s="243">
        <f t="shared" si="0"/>
        <v>154700000</v>
      </c>
    </row>
    <row r="64" spans="1:9" ht="12.75">
      <c r="A64" s="244"/>
      <c r="B64" s="244"/>
      <c r="C64" s="244" t="s">
        <v>275</v>
      </c>
      <c r="D64" s="244" t="s">
        <v>276</v>
      </c>
      <c r="E64" s="244"/>
      <c r="F64" s="245">
        <f>SUM(F65:F66)</f>
        <v>135500000</v>
      </c>
      <c r="G64" s="245">
        <f>SUM(G65:G66)</f>
        <v>0</v>
      </c>
      <c r="H64" s="245">
        <v>0</v>
      </c>
      <c r="I64" s="246">
        <f t="shared" si="0"/>
        <v>135500000</v>
      </c>
    </row>
    <row r="65" spans="1:9" ht="12.75">
      <c r="A65" s="249"/>
      <c r="B65" s="249"/>
      <c r="C65" s="250"/>
      <c r="D65" s="250"/>
      <c r="E65" s="250" t="s">
        <v>782</v>
      </c>
      <c r="F65" s="251">
        <v>135000000</v>
      </c>
      <c r="G65" s="251">
        <v>0</v>
      </c>
      <c r="H65" s="251">
        <v>0</v>
      </c>
      <c r="I65" s="252">
        <f t="shared" si="0"/>
        <v>135000000</v>
      </c>
    </row>
    <row r="66" spans="1:9" ht="12.75">
      <c r="A66" s="249"/>
      <c r="B66" s="249"/>
      <c r="C66" s="250"/>
      <c r="D66" s="250"/>
      <c r="E66" s="250" t="s">
        <v>783</v>
      </c>
      <c r="F66" s="251">
        <v>500000</v>
      </c>
      <c r="G66" s="251">
        <v>0</v>
      </c>
      <c r="H66" s="251">
        <v>0</v>
      </c>
      <c r="I66" s="252">
        <f t="shared" si="0"/>
        <v>500000</v>
      </c>
    </row>
    <row r="67" spans="1:9" ht="12.75">
      <c r="A67" s="244"/>
      <c r="B67" s="244"/>
      <c r="C67" s="244" t="s">
        <v>277</v>
      </c>
      <c r="D67" s="244" t="s">
        <v>670</v>
      </c>
      <c r="E67" s="244"/>
      <c r="F67" s="245">
        <f>SUM(F68)</f>
        <v>0</v>
      </c>
      <c r="G67" s="245">
        <f>SUM(G68)</f>
        <v>0</v>
      </c>
      <c r="H67" s="245">
        <f>SUM(H68)</f>
        <v>0</v>
      </c>
      <c r="I67" s="246">
        <f t="shared" si="0"/>
        <v>0</v>
      </c>
    </row>
    <row r="68" spans="1:9" ht="12.75" hidden="1">
      <c r="A68" s="244"/>
      <c r="B68" s="244"/>
      <c r="C68" s="244"/>
      <c r="D68" s="244"/>
      <c r="E68" s="250" t="s">
        <v>671</v>
      </c>
      <c r="F68" s="245">
        <v>0</v>
      </c>
      <c r="G68" s="245">
        <v>0</v>
      </c>
      <c r="H68" s="245">
        <v>0</v>
      </c>
      <c r="I68" s="246">
        <f t="shared" si="0"/>
        <v>0</v>
      </c>
    </row>
    <row r="69" spans="1:9" ht="12.75">
      <c r="A69" s="244"/>
      <c r="B69" s="244"/>
      <c r="C69" s="244" t="s">
        <v>278</v>
      </c>
      <c r="D69" s="244" t="s">
        <v>279</v>
      </c>
      <c r="E69" s="244"/>
      <c r="F69" s="245">
        <v>0</v>
      </c>
      <c r="G69" s="245">
        <v>0</v>
      </c>
      <c r="H69" s="245">
        <v>0</v>
      </c>
      <c r="I69" s="246">
        <f t="shared" si="0"/>
        <v>0</v>
      </c>
    </row>
    <row r="70" spans="1:9" ht="12.75">
      <c r="A70" s="244"/>
      <c r="B70" s="244"/>
      <c r="C70" s="244" t="s">
        <v>280</v>
      </c>
      <c r="D70" s="244" t="s">
        <v>281</v>
      </c>
      <c r="E70" s="244"/>
      <c r="F70" s="245">
        <f>SUM(F71)</f>
        <v>19200000</v>
      </c>
      <c r="G70" s="245">
        <f>SUM(G71:G71)</f>
        <v>0</v>
      </c>
      <c r="H70" s="245">
        <v>0</v>
      </c>
      <c r="I70" s="246">
        <f t="shared" si="0"/>
        <v>19200000</v>
      </c>
    </row>
    <row r="71" spans="1:9" ht="12.75">
      <c r="A71" s="249"/>
      <c r="B71" s="249"/>
      <c r="C71" s="249"/>
      <c r="D71" s="250"/>
      <c r="E71" s="250" t="s">
        <v>784</v>
      </c>
      <c r="F71" s="251">
        <v>19200000</v>
      </c>
      <c r="G71" s="251">
        <v>0</v>
      </c>
      <c r="H71" s="251">
        <v>0</v>
      </c>
      <c r="I71" s="252">
        <f t="shared" si="0"/>
        <v>19200000</v>
      </c>
    </row>
    <row r="72" spans="1:9" ht="12.75" hidden="1">
      <c r="A72" s="244"/>
      <c r="B72" s="244"/>
      <c r="C72" s="244" t="s">
        <v>282</v>
      </c>
      <c r="D72" s="244" t="s">
        <v>283</v>
      </c>
      <c r="E72" s="244"/>
      <c r="F72" s="245">
        <f>SUM(F73:F73)</f>
        <v>0</v>
      </c>
      <c r="G72" s="245">
        <v>0</v>
      </c>
      <c r="H72" s="245">
        <v>0</v>
      </c>
      <c r="I72" s="246">
        <f t="shared" si="0"/>
        <v>0</v>
      </c>
    </row>
    <row r="73" spans="1:9" ht="12.75" hidden="1">
      <c r="A73" s="249"/>
      <c r="B73" s="249"/>
      <c r="C73" s="249"/>
      <c r="D73" s="250"/>
      <c r="E73" s="250" t="s">
        <v>285</v>
      </c>
      <c r="F73" s="251">
        <v>0</v>
      </c>
      <c r="G73" s="251">
        <v>0</v>
      </c>
      <c r="H73" s="251">
        <v>0</v>
      </c>
      <c r="I73" s="252">
        <f aca="true" t="shared" si="1" ref="I73:I181">SUM(F73:H73)</f>
        <v>0</v>
      </c>
    </row>
    <row r="74" spans="1:9" ht="12.75">
      <c r="A74" s="241"/>
      <c r="B74" s="241" t="s">
        <v>286</v>
      </c>
      <c r="C74" s="849" t="s">
        <v>287</v>
      </c>
      <c r="D74" s="849"/>
      <c r="E74" s="849"/>
      <c r="F74" s="242">
        <f>SUM(F75:F84)</f>
        <v>550000</v>
      </c>
      <c r="G74" s="242">
        <f>SUM(G75:G84)</f>
        <v>10000</v>
      </c>
      <c r="H74" s="242">
        <f>SUM(H75:H84)</f>
        <v>0</v>
      </c>
      <c r="I74" s="243">
        <f t="shared" si="1"/>
        <v>560000</v>
      </c>
    </row>
    <row r="75" spans="1:9" ht="12.75" hidden="1">
      <c r="A75" s="255"/>
      <c r="B75" s="255"/>
      <c r="C75" s="255"/>
      <c r="D75" s="250"/>
      <c r="E75" s="250" t="s">
        <v>288</v>
      </c>
      <c r="F75" s="251">
        <v>0</v>
      </c>
      <c r="G75" s="251">
        <v>0</v>
      </c>
      <c r="H75" s="251">
        <v>0</v>
      </c>
      <c r="I75" s="252">
        <f t="shared" si="1"/>
        <v>0</v>
      </c>
    </row>
    <row r="76" spans="1:9" ht="12.75">
      <c r="A76" s="249"/>
      <c r="B76" s="249"/>
      <c r="C76" s="249"/>
      <c r="D76" s="250"/>
      <c r="E76" s="250" t="s">
        <v>289</v>
      </c>
      <c r="F76" s="251">
        <v>0</v>
      </c>
      <c r="G76" s="251">
        <v>10000</v>
      </c>
      <c r="H76" s="251">
        <v>0</v>
      </c>
      <c r="I76" s="252">
        <f t="shared" si="1"/>
        <v>10000</v>
      </c>
    </row>
    <row r="77" spans="1:9" ht="12.75" hidden="1">
      <c r="A77" s="255"/>
      <c r="B77" s="255"/>
      <c r="C77" s="255"/>
      <c r="D77" s="250"/>
      <c r="E77" s="250" t="s">
        <v>290</v>
      </c>
      <c r="F77" s="251">
        <v>0</v>
      </c>
      <c r="G77" s="251">
        <v>0</v>
      </c>
      <c r="H77" s="251">
        <v>0</v>
      </c>
      <c r="I77" s="252">
        <f t="shared" si="1"/>
        <v>0</v>
      </c>
    </row>
    <row r="78" spans="1:9" ht="12.75">
      <c r="A78" s="255"/>
      <c r="B78" s="255"/>
      <c r="C78" s="255"/>
      <c r="D78" s="250"/>
      <c r="E78" s="250" t="s">
        <v>284</v>
      </c>
      <c r="F78" s="251">
        <v>300000</v>
      </c>
      <c r="G78" s="251">
        <v>0</v>
      </c>
      <c r="H78" s="251">
        <v>0</v>
      </c>
      <c r="I78" s="252">
        <f t="shared" si="1"/>
        <v>300000</v>
      </c>
    </row>
    <row r="79" spans="1:9" ht="12.75" hidden="1">
      <c r="A79" s="255"/>
      <c r="B79" s="255"/>
      <c r="C79" s="255"/>
      <c r="D79" s="250"/>
      <c r="E79" s="250" t="s">
        <v>291</v>
      </c>
      <c r="F79" s="251">
        <v>0</v>
      </c>
      <c r="G79" s="251">
        <v>0</v>
      </c>
      <c r="H79" s="251">
        <v>0</v>
      </c>
      <c r="I79" s="252">
        <f t="shared" si="1"/>
        <v>0</v>
      </c>
    </row>
    <row r="80" spans="1:9" ht="12.75" hidden="1">
      <c r="A80" s="255"/>
      <c r="B80" s="255"/>
      <c r="C80" s="255"/>
      <c r="D80" s="250"/>
      <c r="E80" s="250" t="s">
        <v>292</v>
      </c>
      <c r="F80" s="251">
        <v>0</v>
      </c>
      <c r="G80" s="251">
        <v>0</v>
      </c>
      <c r="H80" s="251">
        <v>0</v>
      </c>
      <c r="I80" s="252">
        <f t="shared" si="1"/>
        <v>0</v>
      </c>
    </row>
    <row r="81" spans="1:9" ht="12.75" hidden="1">
      <c r="A81" s="255"/>
      <c r="B81" s="255"/>
      <c r="C81" s="255"/>
      <c r="D81" s="250"/>
      <c r="E81" s="250" t="s">
        <v>737</v>
      </c>
      <c r="F81" s="251">
        <f>50000-50000</f>
        <v>0</v>
      </c>
      <c r="G81" s="251">
        <v>0</v>
      </c>
      <c r="H81" s="251">
        <v>0</v>
      </c>
      <c r="I81" s="252">
        <f t="shared" si="1"/>
        <v>0</v>
      </c>
    </row>
    <row r="82" spans="1:9" ht="30" customHeight="1" hidden="1">
      <c r="A82" s="249"/>
      <c r="B82" s="249"/>
      <c r="C82" s="249"/>
      <c r="D82" s="249"/>
      <c r="E82" s="256" t="s">
        <v>785</v>
      </c>
      <c r="F82" s="251">
        <v>0</v>
      </c>
      <c r="G82" s="251">
        <v>0</v>
      </c>
      <c r="H82" s="251">
        <v>0</v>
      </c>
      <c r="I82" s="252">
        <f t="shared" si="1"/>
        <v>0</v>
      </c>
    </row>
    <row r="83" spans="1:9" ht="12.75" hidden="1">
      <c r="A83" s="255"/>
      <c r="B83" s="255"/>
      <c r="C83" s="255"/>
      <c r="D83" s="255"/>
      <c r="E83" s="250" t="s">
        <v>293</v>
      </c>
      <c r="F83" s="251">
        <v>0</v>
      </c>
      <c r="G83" s="251">
        <v>0</v>
      </c>
      <c r="H83" s="251">
        <v>0</v>
      </c>
      <c r="I83" s="252">
        <f t="shared" si="1"/>
        <v>0</v>
      </c>
    </row>
    <row r="84" spans="1:9" ht="12.75">
      <c r="A84" s="249"/>
      <c r="B84" s="249"/>
      <c r="C84" s="249"/>
      <c r="D84" s="249"/>
      <c r="E84" s="254" t="s">
        <v>294</v>
      </c>
      <c r="F84" s="251">
        <v>250000</v>
      </c>
      <c r="G84" s="251">
        <v>0</v>
      </c>
      <c r="H84" s="251">
        <v>0</v>
      </c>
      <c r="I84" s="252">
        <f t="shared" si="1"/>
        <v>250000</v>
      </c>
    </row>
    <row r="85" spans="1:9" s="240" customFormat="1" ht="12.75">
      <c r="A85" s="238" t="s">
        <v>295</v>
      </c>
      <c r="B85" s="853" t="s">
        <v>296</v>
      </c>
      <c r="C85" s="853"/>
      <c r="D85" s="853"/>
      <c r="E85" s="853"/>
      <c r="F85" s="239">
        <f>SUM(F86+F87+F90+F92+F99+F100+F101+F102+F109+F117+F118)</f>
        <v>48900391</v>
      </c>
      <c r="G85" s="239">
        <f>SUM(G86+G87+G90+G92+G99+G100+G101+G102+G109+G117+G118)</f>
        <v>5096922</v>
      </c>
      <c r="H85" s="239">
        <f>SUM(H86+H87+H90+H92+H99+H100+H101+H102+H109+H117+H118)</f>
        <v>1393594</v>
      </c>
      <c r="I85" s="239">
        <f t="shared" si="1"/>
        <v>55390907</v>
      </c>
    </row>
    <row r="86" spans="1:9" ht="12.75">
      <c r="A86" s="244"/>
      <c r="B86" s="244"/>
      <c r="C86" s="244" t="s">
        <v>297</v>
      </c>
      <c r="D86" s="244" t="s">
        <v>622</v>
      </c>
      <c r="E86" s="244"/>
      <c r="F86" s="245">
        <f>7900000+1850953</f>
        <v>9750953</v>
      </c>
      <c r="G86" s="245">
        <v>0</v>
      </c>
      <c r="H86" s="245">
        <v>0</v>
      </c>
      <c r="I86" s="246">
        <f t="shared" si="1"/>
        <v>9750953</v>
      </c>
    </row>
    <row r="87" spans="1:9" ht="12.75">
      <c r="A87" s="244"/>
      <c r="B87" s="244"/>
      <c r="C87" s="244" t="s">
        <v>298</v>
      </c>
      <c r="D87" s="244" t="s">
        <v>370</v>
      </c>
      <c r="E87" s="244"/>
      <c r="F87" s="245">
        <f>18596705+4800000+67100+90000+77805</f>
        <v>23631610</v>
      </c>
      <c r="G87" s="245">
        <f>200000</f>
        <v>200000</v>
      </c>
      <c r="H87" s="245">
        <v>70000</v>
      </c>
      <c r="I87" s="246">
        <f t="shared" si="1"/>
        <v>23901610</v>
      </c>
    </row>
    <row r="88" spans="1:9" ht="12.75">
      <c r="A88" s="249"/>
      <c r="B88" s="249"/>
      <c r="C88" s="250" t="s">
        <v>2</v>
      </c>
      <c r="D88" s="250"/>
      <c r="E88" s="250" t="s">
        <v>299</v>
      </c>
      <c r="F88" s="257">
        <f>9016325+4800000+67100+77805</f>
        <v>13961230</v>
      </c>
      <c r="G88" s="257">
        <v>0</v>
      </c>
      <c r="H88" s="251">
        <v>0</v>
      </c>
      <c r="I88" s="252">
        <f t="shared" si="1"/>
        <v>13961230</v>
      </c>
    </row>
    <row r="89" spans="1:9" ht="12.75" hidden="1">
      <c r="A89" s="249"/>
      <c r="B89" s="249"/>
      <c r="C89" s="250"/>
      <c r="D89" s="250"/>
      <c r="E89" s="250" t="s">
        <v>786</v>
      </c>
      <c r="F89" s="251">
        <v>0</v>
      </c>
      <c r="G89" s="251">
        <v>0</v>
      </c>
      <c r="H89" s="251">
        <v>0</v>
      </c>
      <c r="I89" s="252">
        <f>SUM(F89:H89)</f>
        <v>0</v>
      </c>
    </row>
    <row r="90" spans="1:9" ht="12.75">
      <c r="A90" s="244"/>
      <c r="B90" s="244"/>
      <c r="C90" s="244" t="s">
        <v>300</v>
      </c>
      <c r="D90" s="244" t="s">
        <v>301</v>
      </c>
      <c r="E90" s="244"/>
      <c r="F90" s="245">
        <f>3145064+32122+20948+80928</f>
        <v>3279062</v>
      </c>
      <c r="G90" s="245">
        <v>3870258</v>
      </c>
      <c r="H90" s="245">
        <v>0</v>
      </c>
      <c r="I90" s="246">
        <f t="shared" si="1"/>
        <v>7149320</v>
      </c>
    </row>
    <row r="91" spans="1:9" ht="12.75">
      <c r="A91" s="249"/>
      <c r="B91" s="249"/>
      <c r="C91" s="250" t="s">
        <v>2</v>
      </c>
      <c r="D91" s="250"/>
      <c r="E91" s="250" t="s">
        <v>7</v>
      </c>
      <c r="F91" s="251">
        <f>250000+1713708+80928</f>
        <v>2044636</v>
      </c>
      <c r="G91" s="251">
        <f>1962068+107000</f>
        <v>2069068</v>
      </c>
      <c r="H91" s="251">
        <v>0</v>
      </c>
      <c r="I91" s="252">
        <f t="shared" si="1"/>
        <v>4113704</v>
      </c>
    </row>
    <row r="92" spans="1:9" ht="12.75">
      <c r="A92" s="244"/>
      <c r="B92" s="244"/>
      <c r="C92" s="244" t="s">
        <v>302</v>
      </c>
      <c r="D92" s="244" t="s">
        <v>303</v>
      </c>
      <c r="E92" s="244"/>
      <c r="F92" s="245">
        <v>639000</v>
      </c>
      <c r="G92" s="245">
        <v>0</v>
      </c>
      <c r="H92" s="245">
        <v>0</v>
      </c>
      <c r="I92" s="246">
        <f t="shared" si="1"/>
        <v>639000</v>
      </c>
    </row>
    <row r="93" spans="1:9" ht="12.75">
      <c r="A93" s="249"/>
      <c r="B93" s="249"/>
      <c r="C93" s="250" t="s">
        <v>2</v>
      </c>
      <c r="D93" s="250"/>
      <c r="E93" s="250" t="s">
        <v>304</v>
      </c>
      <c r="F93" s="251">
        <v>0</v>
      </c>
      <c r="G93" s="251">
        <v>0</v>
      </c>
      <c r="H93" s="251">
        <v>0</v>
      </c>
      <c r="I93" s="252">
        <f t="shared" si="1"/>
        <v>0</v>
      </c>
    </row>
    <row r="94" spans="1:9" ht="12.75">
      <c r="A94" s="249"/>
      <c r="B94" s="249"/>
      <c r="C94" s="250"/>
      <c r="D94" s="250"/>
      <c r="E94" s="250" t="s">
        <v>787</v>
      </c>
      <c r="F94" s="251">
        <v>0</v>
      </c>
      <c r="G94" s="251">
        <v>0</v>
      </c>
      <c r="H94" s="251">
        <v>0</v>
      </c>
      <c r="I94" s="252">
        <f>SUM(F94:H94)</f>
        <v>0</v>
      </c>
    </row>
    <row r="95" spans="1:9" ht="12.75">
      <c r="A95" s="249"/>
      <c r="B95" s="249"/>
      <c r="C95" s="250"/>
      <c r="D95" s="250"/>
      <c r="E95" s="250" t="s">
        <v>788</v>
      </c>
      <c r="F95" s="251">
        <v>639000</v>
      </c>
      <c r="G95" s="251">
        <v>0</v>
      </c>
      <c r="H95" s="251">
        <v>0</v>
      </c>
      <c r="I95" s="252">
        <f>SUM(F95:H95)</f>
        <v>639000</v>
      </c>
    </row>
    <row r="96" spans="1:9" ht="12.75" hidden="1">
      <c r="A96" s="249"/>
      <c r="B96" s="249"/>
      <c r="C96" s="250"/>
      <c r="D96" s="250"/>
      <c r="E96" s="250" t="s">
        <v>789</v>
      </c>
      <c r="F96" s="251">
        <v>0</v>
      </c>
      <c r="G96" s="251">
        <v>0</v>
      </c>
      <c r="H96" s="251">
        <v>0</v>
      </c>
      <c r="I96" s="252">
        <f>SUM(F96:H96)</f>
        <v>0</v>
      </c>
    </row>
    <row r="97" spans="1:9" ht="12.75" hidden="1">
      <c r="A97" s="249"/>
      <c r="B97" s="249"/>
      <c r="C97" s="250"/>
      <c r="D97" s="250"/>
      <c r="E97" s="250" t="s">
        <v>790</v>
      </c>
      <c r="F97" s="251">
        <v>0</v>
      </c>
      <c r="G97" s="251">
        <v>0</v>
      </c>
      <c r="H97" s="251">
        <v>0</v>
      </c>
      <c r="I97" s="252">
        <f>SUM(F97:H97)</f>
        <v>0</v>
      </c>
    </row>
    <row r="98" spans="1:9" ht="12.75" hidden="1">
      <c r="A98" s="249"/>
      <c r="B98" s="249"/>
      <c r="C98" s="250"/>
      <c r="D98" s="250"/>
      <c r="E98" s="250" t="s">
        <v>623</v>
      </c>
      <c r="F98" s="251">
        <v>0</v>
      </c>
      <c r="G98" s="251">
        <v>0</v>
      </c>
      <c r="H98" s="251">
        <v>0</v>
      </c>
      <c r="I98" s="252">
        <f t="shared" si="1"/>
        <v>0</v>
      </c>
    </row>
    <row r="99" spans="1:9" ht="12.75">
      <c r="A99" s="244"/>
      <c r="B99" s="244"/>
      <c r="C99" s="244" t="s">
        <v>305</v>
      </c>
      <c r="D99" s="244" t="s">
        <v>306</v>
      </c>
      <c r="E99" s="244"/>
      <c r="F99" s="245">
        <v>4247600</v>
      </c>
      <c r="G99" s="245">
        <v>0</v>
      </c>
      <c r="H99" s="245">
        <v>1042200</v>
      </c>
      <c r="I99" s="246">
        <f t="shared" si="1"/>
        <v>5289800</v>
      </c>
    </row>
    <row r="100" spans="1:9" ht="12.75">
      <c r="A100" s="244"/>
      <c r="B100" s="244"/>
      <c r="C100" s="244" t="s">
        <v>307</v>
      </c>
      <c r="D100" s="244" t="s">
        <v>308</v>
      </c>
      <c r="E100" s="244"/>
      <c r="F100" s="245">
        <f>4580520+1296000+451243+19072+24300</f>
        <v>6371135</v>
      </c>
      <c r="G100" s="245">
        <v>1026664</v>
      </c>
      <c r="H100" s="245">
        <v>281394</v>
      </c>
      <c r="I100" s="246">
        <f t="shared" si="1"/>
        <v>7679193</v>
      </c>
    </row>
    <row r="101" spans="1:9" ht="12.75">
      <c r="A101" s="244"/>
      <c r="B101" s="244"/>
      <c r="C101" s="244" t="s">
        <v>309</v>
      </c>
      <c r="D101" s="244" t="s">
        <v>310</v>
      </c>
      <c r="E101" s="244"/>
      <c r="F101" s="245">
        <v>0</v>
      </c>
      <c r="G101" s="245">
        <v>0</v>
      </c>
      <c r="H101" s="245">
        <v>0</v>
      </c>
      <c r="I101" s="246">
        <f t="shared" si="1"/>
        <v>0</v>
      </c>
    </row>
    <row r="102" spans="1:9" ht="12.75">
      <c r="A102" s="244"/>
      <c r="B102" s="244"/>
      <c r="C102" s="244" t="s">
        <v>311</v>
      </c>
      <c r="D102" s="244" t="s">
        <v>672</v>
      </c>
      <c r="E102" s="244"/>
      <c r="F102" s="245">
        <f>SUM(F103,F106)</f>
        <v>6000</v>
      </c>
      <c r="G102" s="245">
        <f>SUM(G103+G106)</f>
        <v>0</v>
      </c>
      <c r="H102" s="245">
        <f>SUM(H103+H106)</f>
        <v>0</v>
      </c>
      <c r="I102" s="246">
        <f t="shared" si="1"/>
        <v>6000</v>
      </c>
    </row>
    <row r="103" spans="1:9" ht="12.75" hidden="1">
      <c r="A103" s="244"/>
      <c r="B103" s="244"/>
      <c r="C103" s="250"/>
      <c r="D103" s="854" t="s">
        <v>791</v>
      </c>
      <c r="E103" s="855"/>
      <c r="F103" s="251">
        <v>0</v>
      </c>
      <c r="G103" s="251">
        <v>0</v>
      </c>
      <c r="H103" s="251">
        <v>0</v>
      </c>
      <c r="I103" s="252">
        <f t="shared" si="1"/>
        <v>0</v>
      </c>
    </row>
    <row r="104" spans="1:9" ht="12.75" hidden="1">
      <c r="A104" s="244"/>
      <c r="B104" s="244"/>
      <c r="C104" s="244" t="s">
        <v>2</v>
      </c>
      <c r="D104" s="244"/>
      <c r="E104" s="250" t="s">
        <v>7</v>
      </c>
      <c r="F104" s="251">
        <v>0</v>
      </c>
      <c r="G104" s="251">
        <v>0</v>
      </c>
      <c r="H104" s="251">
        <v>0</v>
      </c>
      <c r="I104" s="252">
        <f>SUM(F104:H104)</f>
        <v>0</v>
      </c>
    </row>
    <row r="105" spans="1:9" ht="12.75" hidden="1">
      <c r="A105" s="244"/>
      <c r="B105" s="244"/>
      <c r="C105" s="244"/>
      <c r="D105" s="244"/>
      <c r="E105" s="250" t="s">
        <v>792</v>
      </c>
      <c r="F105" s="251">
        <v>0</v>
      </c>
      <c r="G105" s="251">
        <v>0</v>
      </c>
      <c r="H105" s="251">
        <v>0</v>
      </c>
      <c r="I105" s="252">
        <f>SUM(F105:H105)</f>
        <v>0</v>
      </c>
    </row>
    <row r="106" spans="1:9" ht="12.75" hidden="1">
      <c r="A106" s="244"/>
      <c r="B106" s="244"/>
      <c r="C106" s="244"/>
      <c r="D106" s="854" t="s">
        <v>674</v>
      </c>
      <c r="E106" s="855"/>
      <c r="F106" s="251">
        <f>6000</f>
        <v>6000</v>
      </c>
      <c r="G106" s="251">
        <v>0</v>
      </c>
      <c r="H106" s="251">
        <v>0</v>
      </c>
      <c r="I106" s="252">
        <f>SUM(F106:H106)</f>
        <v>6000</v>
      </c>
    </row>
    <row r="107" spans="1:9" ht="12.75" hidden="1">
      <c r="A107" s="244"/>
      <c r="B107" s="244"/>
      <c r="C107" s="244" t="s">
        <v>2</v>
      </c>
      <c r="D107" s="244"/>
      <c r="E107" s="250" t="s">
        <v>7</v>
      </c>
      <c r="F107" s="251">
        <v>0</v>
      </c>
      <c r="G107" s="251">
        <v>0</v>
      </c>
      <c r="H107" s="251">
        <v>0</v>
      </c>
      <c r="I107" s="252">
        <f>SUM(F107:H107)</f>
        <v>0</v>
      </c>
    </row>
    <row r="108" spans="1:9" ht="12.75" hidden="1">
      <c r="A108" s="244"/>
      <c r="B108" s="244"/>
      <c r="C108" s="244"/>
      <c r="D108" s="244"/>
      <c r="E108" s="250" t="s">
        <v>624</v>
      </c>
      <c r="F108" s="251">
        <v>0</v>
      </c>
      <c r="G108" s="251">
        <v>0</v>
      </c>
      <c r="H108" s="251">
        <v>0</v>
      </c>
      <c r="I108" s="252">
        <f>SUM(F108:H108)</f>
        <v>0</v>
      </c>
    </row>
    <row r="109" spans="1:9" ht="12.75">
      <c r="A109" s="244"/>
      <c r="B109" s="244"/>
      <c r="C109" s="244" t="s">
        <v>312</v>
      </c>
      <c r="D109" s="244" t="s">
        <v>677</v>
      </c>
      <c r="E109" s="244"/>
      <c r="F109" s="245">
        <f>SUM(F110:F111)</f>
        <v>0</v>
      </c>
      <c r="G109" s="245">
        <f>SUM(G110:G111)</f>
        <v>0</v>
      </c>
      <c r="H109" s="245">
        <f>SUM(H110:H111)</f>
        <v>0</v>
      </c>
      <c r="I109" s="246">
        <f t="shared" si="1"/>
        <v>0</v>
      </c>
    </row>
    <row r="110" spans="1:9" ht="12.75" hidden="1">
      <c r="A110" s="244"/>
      <c r="B110" s="244"/>
      <c r="C110" s="244"/>
      <c r="D110" s="854" t="s">
        <v>675</v>
      </c>
      <c r="E110" s="855"/>
      <c r="F110" s="245">
        <v>0</v>
      </c>
      <c r="G110" s="245">
        <v>0</v>
      </c>
      <c r="H110" s="245">
        <v>0</v>
      </c>
      <c r="I110" s="246">
        <f t="shared" si="1"/>
        <v>0</v>
      </c>
    </row>
    <row r="111" spans="1:9" ht="12.75" hidden="1">
      <c r="A111" s="244"/>
      <c r="B111" s="244"/>
      <c r="C111" s="244"/>
      <c r="D111" s="854" t="s">
        <v>676</v>
      </c>
      <c r="E111" s="855"/>
      <c r="F111" s="245">
        <v>0</v>
      </c>
      <c r="G111" s="245">
        <v>0</v>
      </c>
      <c r="H111" s="245">
        <v>0</v>
      </c>
      <c r="I111" s="246">
        <f t="shared" si="1"/>
        <v>0</v>
      </c>
    </row>
    <row r="112" spans="1:9" ht="12.75" hidden="1">
      <c r="A112" s="244"/>
      <c r="B112" s="244"/>
      <c r="C112" s="244" t="s">
        <v>2</v>
      </c>
      <c r="D112" s="244"/>
      <c r="E112" s="250" t="s">
        <v>678</v>
      </c>
      <c r="F112" s="245">
        <v>0</v>
      </c>
      <c r="G112" s="245">
        <v>0</v>
      </c>
      <c r="H112" s="245">
        <v>0</v>
      </c>
      <c r="I112" s="246">
        <f t="shared" si="1"/>
        <v>0</v>
      </c>
    </row>
    <row r="113" spans="1:9" ht="12.75" hidden="1">
      <c r="A113" s="244"/>
      <c r="B113" s="244"/>
      <c r="C113" s="244"/>
      <c r="D113" s="244"/>
      <c r="E113" s="250" t="s">
        <v>673</v>
      </c>
      <c r="F113" s="245">
        <v>0</v>
      </c>
      <c r="G113" s="245">
        <v>0</v>
      </c>
      <c r="H113" s="245">
        <v>0</v>
      </c>
      <c r="I113" s="246">
        <f t="shared" si="1"/>
        <v>0</v>
      </c>
    </row>
    <row r="114" spans="1:9" ht="12.75" hidden="1">
      <c r="A114" s="244"/>
      <c r="B114" s="244"/>
      <c r="C114" s="244"/>
      <c r="D114" s="244"/>
      <c r="E114" s="250" t="s">
        <v>679</v>
      </c>
      <c r="F114" s="245">
        <v>0</v>
      </c>
      <c r="G114" s="245">
        <v>0</v>
      </c>
      <c r="H114" s="245">
        <v>0</v>
      </c>
      <c r="I114" s="246">
        <f t="shared" si="1"/>
        <v>0</v>
      </c>
    </row>
    <row r="115" spans="1:9" ht="12.75" hidden="1">
      <c r="A115" s="244"/>
      <c r="B115" s="244"/>
      <c r="C115" s="244"/>
      <c r="D115" s="244"/>
      <c r="E115" s="250" t="s">
        <v>680</v>
      </c>
      <c r="F115" s="245">
        <v>0</v>
      </c>
      <c r="G115" s="245">
        <v>0</v>
      </c>
      <c r="H115" s="245">
        <v>0</v>
      </c>
      <c r="I115" s="246">
        <f t="shared" si="1"/>
        <v>0</v>
      </c>
    </row>
    <row r="116" spans="1:9" ht="12.75" hidden="1">
      <c r="A116" s="244"/>
      <c r="B116" s="244"/>
      <c r="C116" s="244"/>
      <c r="D116" s="244"/>
      <c r="E116" s="250" t="s">
        <v>681</v>
      </c>
      <c r="F116" s="245">
        <v>0</v>
      </c>
      <c r="G116" s="245">
        <v>0</v>
      </c>
      <c r="H116" s="245">
        <v>0</v>
      </c>
      <c r="I116" s="246">
        <f t="shared" si="1"/>
        <v>0</v>
      </c>
    </row>
    <row r="117" spans="1:9" ht="12.75">
      <c r="A117" s="244"/>
      <c r="B117" s="244"/>
      <c r="C117" s="244" t="s">
        <v>313</v>
      </c>
      <c r="D117" s="244" t="s">
        <v>625</v>
      </c>
      <c r="E117" s="244"/>
      <c r="F117" s="245">
        <v>42000</v>
      </c>
      <c r="G117" s="245">
        <v>0</v>
      </c>
      <c r="H117" s="245">
        <v>0</v>
      </c>
      <c r="I117" s="246">
        <f t="shared" si="1"/>
        <v>42000</v>
      </c>
    </row>
    <row r="118" spans="1:9" ht="22.5" customHeight="1">
      <c r="A118" s="244"/>
      <c r="B118" s="244"/>
      <c r="C118" s="244" t="s">
        <v>626</v>
      </c>
      <c r="D118" s="857" t="s">
        <v>627</v>
      </c>
      <c r="E118" s="857"/>
      <c r="F118" s="245">
        <f>918587+14444</f>
        <v>933031</v>
      </c>
      <c r="G118" s="245">
        <v>0</v>
      </c>
      <c r="H118" s="245">
        <v>0</v>
      </c>
      <c r="I118" s="246">
        <f t="shared" si="1"/>
        <v>933031</v>
      </c>
    </row>
    <row r="119" spans="1:9" ht="45.75" customHeight="1" hidden="1">
      <c r="A119" s="248"/>
      <c r="B119" s="248"/>
      <c r="C119" s="258" t="s">
        <v>2</v>
      </c>
      <c r="D119" s="256" t="s">
        <v>492</v>
      </c>
      <c r="E119" s="256" t="s">
        <v>649</v>
      </c>
      <c r="F119" s="251">
        <v>0</v>
      </c>
      <c r="G119" s="251">
        <v>0</v>
      </c>
      <c r="H119" s="251">
        <v>0</v>
      </c>
      <c r="I119" s="252">
        <f t="shared" si="1"/>
        <v>0</v>
      </c>
    </row>
    <row r="120" spans="1:9" ht="13.5" customHeight="1" hidden="1">
      <c r="A120" s="249"/>
      <c r="B120" s="249"/>
      <c r="C120" s="249"/>
      <c r="D120" s="250" t="s">
        <v>492</v>
      </c>
      <c r="E120" s="259" t="s">
        <v>682</v>
      </c>
      <c r="F120" s="251"/>
      <c r="G120" s="251">
        <v>0</v>
      </c>
      <c r="H120" s="251">
        <v>0</v>
      </c>
      <c r="I120" s="252">
        <f t="shared" si="1"/>
        <v>0</v>
      </c>
    </row>
    <row r="121" spans="1:9" s="240" customFormat="1" ht="12.75">
      <c r="A121" s="238" t="s">
        <v>314</v>
      </c>
      <c r="B121" s="853" t="s">
        <v>315</v>
      </c>
      <c r="C121" s="853"/>
      <c r="D121" s="853"/>
      <c r="E121" s="853"/>
      <c r="F121" s="239">
        <f>SUM(F122+F124+F126+F127+F128)</f>
        <v>209863351</v>
      </c>
      <c r="G121" s="239">
        <f>SUM(G122+G124+G126+G127+G128)</f>
        <v>0</v>
      </c>
      <c r="H121" s="239">
        <f>SUM(H122+H124+H126+H127+H128)</f>
        <v>0</v>
      </c>
      <c r="I121" s="239">
        <f t="shared" si="1"/>
        <v>209863351</v>
      </c>
    </row>
    <row r="122" spans="1:9" ht="12.75" hidden="1">
      <c r="A122" s="241"/>
      <c r="B122" s="241" t="s">
        <v>316</v>
      </c>
      <c r="C122" s="849" t="s">
        <v>371</v>
      </c>
      <c r="D122" s="849"/>
      <c r="E122" s="849"/>
      <c r="F122" s="242">
        <v>0</v>
      </c>
      <c r="G122" s="242">
        <v>0</v>
      </c>
      <c r="H122" s="242">
        <v>0</v>
      </c>
      <c r="I122" s="243">
        <f t="shared" si="1"/>
        <v>0</v>
      </c>
    </row>
    <row r="123" spans="1:9" ht="12.75" hidden="1">
      <c r="A123" s="249"/>
      <c r="B123" s="249"/>
      <c r="C123" s="250" t="s">
        <v>2</v>
      </c>
      <c r="D123" s="250" t="s">
        <v>492</v>
      </c>
      <c r="E123" s="250" t="s">
        <v>763</v>
      </c>
      <c r="F123" s="251">
        <v>0</v>
      </c>
      <c r="G123" s="251">
        <v>0</v>
      </c>
      <c r="H123" s="251">
        <v>0</v>
      </c>
      <c r="I123" s="252">
        <f>SUM(F123:H123)</f>
        <v>0</v>
      </c>
    </row>
    <row r="124" spans="1:9" ht="12.75">
      <c r="A124" s="241"/>
      <c r="B124" s="241" t="s">
        <v>317</v>
      </c>
      <c r="C124" s="849" t="s">
        <v>318</v>
      </c>
      <c r="D124" s="849"/>
      <c r="E124" s="849"/>
      <c r="F124" s="242">
        <f>1311000+286688375-51336602-4438250-34083494-5630516+9314000+500000+7102216-1172953-1614100-500000-4556666-5138000-10181701-767984+33742913-9374887</f>
        <v>209863351</v>
      </c>
      <c r="G124" s="242">
        <v>0</v>
      </c>
      <c r="H124" s="242">
        <v>0</v>
      </c>
      <c r="I124" s="243">
        <f t="shared" si="1"/>
        <v>209863351</v>
      </c>
    </row>
    <row r="125" spans="1:9" ht="12.75" hidden="1">
      <c r="A125" s="249"/>
      <c r="B125" s="249"/>
      <c r="C125" s="250" t="s">
        <v>2</v>
      </c>
      <c r="D125" s="250" t="s">
        <v>492</v>
      </c>
      <c r="E125" s="250" t="s">
        <v>319</v>
      </c>
      <c r="F125" s="251">
        <v>0</v>
      </c>
      <c r="G125" s="251">
        <v>0</v>
      </c>
      <c r="H125" s="251">
        <v>0</v>
      </c>
      <c r="I125" s="252">
        <f t="shared" si="1"/>
        <v>0</v>
      </c>
    </row>
    <row r="126" spans="1:9" ht="12.75" hidden="1">
      <c r="A126" s="241"/>
      <c r="B126" s="241" t="s">
        <v>320</v>
      </c>
      <c r="C126" s="849" t="s">
        <v>321</v>
      </c>
      <c r="D126" s="849"/>
      <c r="E126" s="849"/>
      <c r="F126" s="242">
        <v>0</v>
      </c>
      <c r="G126" s="242">
        <v>0</v>
      </c>
      <c r="H126" s="242">
        <v>0</v>
      </c>
      <c r="I126" s="243">
        <f t="shared" si="1"/>
        <v>0</v>
      </c>
    </row>
    <row r="127" spans="1:9" ht="12.75" hidden="1">
      <c r="A127" s="241"/>
      <c r="B127" s="241" t="s">
        <v>322</v>
      </c>
      <c r="C127" s="849" t="s">
        <v>323</v>
      </c>
      <c r="D127" s="849"/>
      <c r="E127" s="849"/>
      <c r="F127" s="242">
        <v>0</v>
      </c>
      <c r="G127" s="242">
        <v>0</v>
      </c>
      <c r="H127" s="242">
        <v>0</v>
      </c>
      <c r="I127" s="243">
        <f t="shared" si="1"/>
        <v>0</v>
      </c>
    </row>
    <row r="128" spans="1:9" ht="12.75" hidden="1">
      <c r="A128" s="241"/>
      <c r="B128" s="241" t="s">
        <v>324</v>
      </c>
      <c r="C128" s="849" t="s">
        <v>325</v>
      </c>
      <c r="D128" s="849"/>
      <c r="E128" s="849"/>
      <c r="F128" s="242">
        <v>0</v>
      </c>
      <c r="G128" s="242">
        <v>0</v>
      </c>
      <c r="H128" s="242">
        <v>0</v>
      </c>
      <c r="I128" s="243">
        <f t="shared" si="1"/>
        <v>0</v>
      </c>
    </row>
    <row r="129" spans="1:9" s="240" customFormat="1" ht="12.75">
      <c r="A129" s="238" t="s">
        <v>326</v>
      </c>
      <c r="B129" s="853" t="s">
        <v>327</v>
      </c>
      <c r="C129" s="853"/>
      <c r="D129" s="853"/>
      <c r="E129" s="853"/>
      <c r="F129" s="239">
        <f>SUM(F130+F131+F132+F133+F143)</f>
        <v>0</v>
      </c>
      <c r="G129" s="239">
        <f>SUM(G130+G131+G132+G133+G143)</f>
        <v>0</v>
      </c>
      <c r="H129" s="239">
        <f>SUM(H130+H131+H132+H133+H143)</f>
        <v>0</v>
      </c>
      <c r="I129" s="239">
        <f t="shared" si="1"/>
        <v>0</v>
      </c>
    </row>
    <row r="130" spans="1:9" ht="12.75" hidden="1">
      <c r="A130" s="241"/>
      <c r="B130" s="241" t="s">
        <v>328</v>
      </c>
      <c r="C130" s="849" t="s">
        <v>793</v>
      </c>
      <c r="D130" s="849"/>
      <c r="E130" s="849"/>
      <c r="F130" s="242">
        <v>0</v>
      </c>
      <c r="G130" s="242">
        <v>0</v>
      </c>
      <c r="H130" s="242">
        <v>0</v>
      </c>
      <c r="I130" s="243">
        <f t="shared" si="1"/>
        <v>0</v>
      </c>
    </row>
    <row r="131" spans="1:9" ht="12.75" hidden="1">
      <c r="A131" s="241"/>
      <c r="B131" s="241" t="s">
        <v>329</v>
      </c>
      <c r="C131" s="849" t="s">
        <v>794</v>
      </c>
      <c r="D131" s="849"/>
      <c r="E131" s="849"/>
      <c r="F131" s="242">
        <v>0</v>
      </c>
      <c r="G131" s="242">
        <v>0</v>
      </c>
      <c r="H131" s="242">
        <v>0</v>
      </c>
      <c r="I131" s="243">
        <f t="shared" si="1"/>
        <v>0</v>
      </c>
    </row>
    <row r="132" spans="1:9" ht="26.25" customHeight="1" hidden="1">
      <c r="A132" s="241"/>
      <c r="B132" s="241" t="s">
        <v>331</v>
      </c>
      <c r="C132" s="856" t="s">
        <v>795</v>
      </c>
      <c r="D132" s="856"/>
      <c r="E132" s="856"/>
      <c r="F132" s="242">
        <v>0</v>
      </c>
      <c r="G132" s="242">
        <v>0</v>
      </c>
      <c r="H132" s="242">
        <v>0</v>
      </c>
      <c r="I132" s="243">
        <f t="shared" si="1"/>
        <v>0</v>
      </c>
    </row>
    <row r="133" spans="1:9" ht="12.75" hidden="1">
      <c r="A133" s="241"/>
      <c r="B133" s="241" t="s">
        <v>628</v>
      </c>
      <c r="C133" s="849" t="s">
        <v>796</v>
      </c>
      <c r="D133" s="849"/>
      <c r="E133" s="849"/>
      <c r="F133" s="242">
        <f>SUM(F134:F142)</f>
        <v>0</v>
      </c>
      <c r="G133" s="242">
        <v>0</v>
      </c>
      <c r="H133" s="242">
        <v>0</v>
      </c>
      <c r="I133" s="243">
        <f t="shared" si="1"/>
        <v>0</v>
      </c>
    </row>
    <row r="134" spans="1:9" ht="12.75" hidden="1">
      <c r="A134" s="248"/>
      <c r="B134" s="248"/>
      <c r="C134" s="250" t="s">
        <v>2</v>
      </c>
      <c r="D134" s="250" t="s">
        <v>176</v>
      </c>
      <c r="E134" s="250" t="s">
        <v>203</v>
      </c>
      <c r="F134" s="251">
        <v>0</v>
      </c>
      <c r="G134" s="251">
        <v>0</v>
      </c>
      <c r="H134" s="251">
        <v>0</v>
      </c>
      <c r="I134" s="252">
        <f t="shared" si="1"/>
        <v>0</v>
      </c>
    </row>
    <row r="135" spans="1:9" ht="12.75" hidden="1">
      <c r="A135" s="248"/>
      <c r="B135" s="248"/>
      <c r="C135" s="250"/>
      <c r="D135" s="250" t="s">
        <v>178</v>
      </c>
      <c r="E135" s="250" t="s">
        <v>650</v>
      </c>
      <c r="F135" s="251">
        <v>0</v>
      </c>
      <c r="G135" s="251">
        <v>0</v>
      </c>
      <c r="H135" s="251">
        <v>0</v>
      </c>
      <c r="I135" s="252">
        <f t="shared" si="1"/>
        <v>0</v>
      </c>
    </row>
    <row r="136" spans="1:9" ht="12.75" hidden="1">
      <c r="A136" s="248"/>
      <c r="B136" s="248"/>
      <c r="C136" s="250"/>
      <c r="D136" s="250" t="s">
        <v>180</v>
      </c>
      <c r="E136" s="250" t="s">
        <v>204</v>
      </c>
      <c r="F136" s="251">
        <v>0</v>
      </c>
      <c r="G136" s="251">
        <v>0</v>
      </c>
      <c r="H136" s="251">
        <v>0</v>
      </c>
      <c r="I136" s="252">
        <f t="shared" si="1"/>
        <v>0</v>
      </c>
    </row>
    <row r="137" spans="1:9" ht="12.75" hidden="1">
      <c r="A137" s="248"/>
      <c r="B137" s="248"/>
      <c r="C137" s="250"/>
      <c r="D137" s="250" t="s">
        <v>182</v>
      </c>
      <c r="E137" s="250" t="s">
        <v>205</v>
      </c>
      <c r="F137" s="251">
        <v>0</v>
      </c>
      <c r="G137" s="251">
        <v>0</v>
      </c>
      <c r="H137" s="251">
        <v>0</v>
      </c>
      <c r="I137" s="252">
        <f t="shared" si="1"/>
        <v>0</v>
      </c>
    </row>
    <row r="138" spans="1:9" ht="12.75" hidden="1">
      <c r="A138" s="248"/>
      <c r="B138" s="248"/>
      <c r="C138" s="250"/>
      <c r="D138" s="250" t="s">
        <v>184</v>
      </c>
      <c r="E138" s="250" t="s">
        <v>206</v>
      </c>
      <c r="F138" s="251">
        <v>0</v>
      </c>
      <c r="G138" s="251">
        <v>0</v>
      </c>
      <c r="H138" s="251">
        <v>0</v>
      </c>
      <c r="I138" s="252">
        <f t="shared" si="1"/>
        <v>0</v>
      </c>
    </row>
    <row r="139" spans="1:9" ht="12.75" hidden="1">
      <c r="A139" s="248"/>
      <c r="B139" s="248"/>
      <c r="C139" s="250"/>
      <c r="D139" s="250" t="s">
        <v>186</v>
      </c>
      <c r="E139" s="250" t="s">
        <v>607</v>
      </c>
      <c r="F139" s="251">
        <v>0</v>
      </c>
      <c r="G139" s="251">
        <v>0</v>
      </c>
      <c r="H139" s="251">
        <v>0</v>
      </c>
      <c r="I139" s="252">
        <f t="shared" si="1"/>
        <v>0</v>
      </c>
    </row>
    <row r="140" spans="1:9" ht="12.75" hidden="1">
      <c r="A140" s="248"/>
      <c r="B140" s="248"/>
      <c r="C140" s="250"/>
      <c r="D140" s="250" t="s">
        <v>188</v>
      </c>
      <c r="E140" s="250" t="s">
        <v>606</v>
      </c>
      <c r="F140" s="260">
        <v>0</v>
      </c>
      <c r="G140" s="251">
        <v>0</v>
      </c>
      <c r="H140" s="251">
        <v>0</v>
      </c>
      <c r="I140" s="252">
        <f t="shared" si="1"/>
        <v>0</v>
      </c>
    </row>
    <row r="141" spans="1:9" ht="12.75" hidden="1">
      <c r="A141" s="248"/>
      <c r="B141" s="248"/>
      <c r="C141" s="250"/>
      <c r="D141" s="250" t="s">
        <v>190</v>
      </c>
      <c r="E141" s="250" t="s">
        <v>209</v>
      </c>
      <c r="F141" s="251"/>
      <c r="G141" s="251">
        <v>0</v>
      </c>
      <c r="H141" s="251">
        <v>0</v>
      </c>
      <c r="I141" s="252">
        <f>SUM(F141:H141)</f>
        <v>0</v>
      </c>
    </row>
    <row r="142" spans="1:9" ht="12.75" hidden="1">
      <c r="A142" s="248"/>
      <c r="B142" s="248"/>
      <c r="C142" s="250"/>
      <c r="D142" s="250" t="s">
        <v>192</v>
      </c>
      <c r="E142" s="250" t="s">
        <v>651</v>
      </c>
      <c r="F142" s="251">
        <v>0</v>
      </c>
      <c r="G142" s="251">
        <v>0</v>
      </c>
      <c r="H142" s="251">
        <v>0</v>
      </c>
      <c r="I142" s="252">
        <f t="shared" si="1"/>
        <v>0</v>
      </c>
    </row>
    <row r="143" spans="1:9" ht="12.75" hidden="1">
      <c r="A143" s="241"/>
      <c r="B143" s="241" t="s">
        <v>629</v>
      </c>
      <c r="C143" s="849" t="s">
        <v>764</v>
      </c>
      <c r="D143" s="849"/>
      <c r="E143" s="849"/>
      <c r="F143" s="242">
        <v>0</v>
      </c>
      <c r="G143" s="242">
        <v>0</v>
      </c>
      <c r="H143" s="242">
        <v>0</v>
      </c>
      <c r="I143" s="243">
        <f t="shared" si="1"/>
        <v>0</v>
      </c>
    </row>
    <row r="144" spans="1:9" s="240" customFormat="1" ht="12.75">
      <c r="A144" s="238" t="s">
        <v>332</v>
      </c>
      <c r="B144" s="853" t="s">
        <v>333</v>
      </c>
      <c r="C144" s="853"/>
      <c r="D144" s="853"/>
      <c r="E144" s="853"/>
      <c r="F144" s="239">
        <f>SUM(F145+F146+F147+F148+F158)</f>
        <v>3000000</v>
      </c>
      <c r="G144" s="239">
        <f>SUM(G145+G146+G147+G148+G158)</f>
        <v>0</v>
      </c>
      <c r="H144" s="239">
        <f>SUM(H145+H146+H147+H148+H158)</f>
        <v>0</v>
      </c>
      <c r="I144" s="239">
        <f t="shared" si="1"/>
        <v>3000000</v>
      </c>
    </row>
    <row r="145" spans="1:9" ht="12.75" hidden="1">
      <c r="A145" s="241"/>
      <c r="B145" s="241" t="s">
        <v>334</v>
      </c>
      <c r="C145" s="849" t="s">
        <v>797</v>
      </c>
      <c r="D145" s="849"/>
      <c r="E145" s="849"/>
      <c r="F145" s="242">
        <v>0</v>
      </c>
      <c r="G145" s="242">
        <v>0</v>
      </c>
      <c r="H145" s="242">
        <v>0</v>
      </c>
      <c r="I145" s="243">
        <f t="shared" si="1"/>
        <v>0</v>
      </c>
    </row>
    <row r="146" spans="1:9" ht="12.75" hidden="1">
      <c r="A146" s="241"/>
      <c r="B146" s="241" t="s">
        <v>335</v>
      </c>
      <c r="C146" s="849" t="s">
        <v>798</v>
      </c>
      <c r="D146" s="849"/>
      <c r="E146" s="849"/>
      <c r="F146" s="242">
        <v>0</v>
      </c>
      <c r="G146" s="242">
        <v>0</v>
      </c>
      <c r="H146" s="242">
        <v>0</v>
      </c>
      <c r="I146" s="243">
        <f t="shared" si="1"/>
        <v>0</v>
      </c>
    </row>
    <row r="147" spans="1:9" ht="25.5" customHeight="1" hidden="1">
      <c r="A147" s="241"/>
      <c r="B147" s="241" t="s">
        <v>336</v>
      </c>
      <c r="C147" s="856" t="s">
        <v>799</v>
      </c>
      <c r="D147" s="856"/>
      <c r="E147" s="856"/>
      <c r="F147" s="242">
        <v>0</v>
      </c>
      <c r="G147" s="242">
        <v>0</v>
      </c>
      <c r="H147" s="242">
        <v>0</v>
      </c>
      <c r="I147" s="243">
        <f t="shared" si="1"/>
        <v>0</v>
      </c>
    </row>
    <row r="148" spans="1:9" ht="12.75" hidden="1">
      <c r="A148" s="248"/>
      <c r="B148" s="241" t="s">
        <v>630</v>
      </c>
      <c r="C148" s="849" t="s">
        <v>800</v>
      </c>
      <c r="D148" s="849"/>
      <c r="E148" s="849"/>
      <c r="F148" s="242">
        <f>SUM(F149:F157)</f>
        <v>0</v>
      </c>
      <c r="G148" s="242">
        <f>SUM(G149:G157)</f>
        <v>0</v>
      </c>
      <c r="H148" s="242">
        <f>SUM(H149:H157)</f>
        <v>0</v>
      </c>
      <c r="I148" s="243">
        <f t="shared" si="1"/>
        <v>0</v>
      </c>
    </row>
    <row r="149" spans="1:9" ht="12.75" hidden="1">
      <c r="A149" s="248"/>
      <c r="B149" s="248"/>
      <c r="C149" s="250" t="s">
        <v>2</v>
      </c>
      <c r="D149" s="250" t="s">
        <v>176</v>
      </c>
      <c r="E149" s="250" t="s">
        <v>203</v>
      </c>
      <c r="F149" s="251">
        <v>0</v>
      </c>
      <c r="G149" s="251">
        <v>0</v>
      </c>
      <c r="H149" s="251">
        <v>0</v>
      </c>
      <c r="I149" s="252">
        <f aca="true" t="shared" si="2" ref="I149:I155">SUM(F149:H149)</f>
        <v>0</v>
      </c>
    </row>
    <row r="150" spans="1:9" ht="12.75" hidden="1">
      <c r="A150" s="248"/>
      <c r="B150" s="248"/>
      <c r="C150" s="250"/>
      <c r="D150" s="250" t="s">
        <v>178</v>
      </c>
      <c r="E150" s="250" t="s">
        <v>650</v>
      </c>
      <c r="F150" s="251">
        <v>0</v>
      </c>
      <c r="G150" s="251">
        <v>0</v>
      </c>
      <c r="H150" s="251">
        <v>0</v>
      </c>
      <c r="I150" s="252">
        <f t="shared" si="2"/>
        <v>0</v>
      </c>
    </row>
    <row r="151" spans="1:9" ht="12.75" hidden="1">
      <c r="A151" s="248"/>
      <c r="B151" s="248"/>
      <c r="C151" s="250"/>
      <c r="D151" s="250" t="s">
        <v>180</v>
      </c>
      <c r="E151" s="250" t="s">
        <v>204</v>
      </c>
      <c r="F151" s="251">
        <v>0</v>
      </c>
      <c r="G151" s="251">
        <v>0</v>
      </c>
      <c r="H151" s="251">
        <v>0</v>
      </c>
      <c r="I151" s="252">
        <f t="shared" si="2"/>
        <v>0</v>
      </c>
    </row>
    <row r="152" spans="1:9" ht="12.75" hidden="1">
      <c r="A152" s="248"/>
      <c r="B152" s="248"/>
      <c r="C152" s="250"/>
      <c r="D152" s="250" t="s">
        <v>182</v>
      </c>
      <c r="E152" s="250" t="s">
        <v>205</v>
      </c>
      <c r="F152" s="251">
        <v>0</v>
      </c>
      <c r="G152" s="251">
        <v>0</v>
      </c>
      <c r="H152" s="251">
        <v>0</v>
      </c>
      <c r="I152" s="252">
        <f t="shared" si="2"/>
        <v>0</v>
      </c>
    </row>
    <row r="153" spans="1:9" ht="12.75" hidden="1">
      <c r="A153" s="248"/>
      <c r="B153" s="248"/>
      <c r="C153" s="250"/>
      <c r="D153" s="250" t="s">
        <v>184</v>
      </c>
      <c r="E153" s="250" t="s">
        <v>206</v>
      </c>
      <c r="F153" s="251">
        <v>0</v>
      </c>
      <c r="G153" s="251">
        <v>0</v>
      </c>
      <c r="H153" s="251">
        <v>0</v>
      </c>
      <c r="I153" s="252">
        <f t="shared" si="2"/>
        <v>0</v>
      </c>
    </row>
    <row r="154" spans="1:9" ht="12.75" hidden="1">
      <c r="A154" s="248"/>
      <c r="B154" s="248"/>
      <c r="C154" s="250"/>
      <c r="D154" s="250" t="s">
        <v>186</v>
      </c>
      <c r="E154" s="250" t="s">
        <v>607</v>
      </c>
      <c r="F154" s="251">
        <v>0</v>
      </c>
      <c r="G154" s="251">
        <v>0</v>
      </c>
      <c r="H154" s="251">
        <v>0</v>
      </c>
      <c r="I154" s="252">
        <f t="shared" si="2"/>
        <v>0</v>
      </c>
    </row>
    <row r="155" spans="1:9" ht="12.75" hidden="1">
      <c r="A155" s="248"/>
      <c r="B155" s="248"/>
      <c r="C155" s="250"/>
      <c r="D155" s="250" t="s">
        <v>188</v>
      </c>
      <c r="E155" s="250" t="s">
        <v>606</v>
      </c>
      <c r="F155" s="260">
        <v>0</v>
      </c>
      <c r="G155" s="251">
        <v>0</v>
      </c>
      <c r="H155" s="251">
        <v>0</v>
      </c>
      <c r="I155" s="252">
        <f t="shared" si="2"/>
        <v>0</v>
      </c>
    </row>
    <row r="156" spans="1:9" ht="12.75" hidden="1">
      <c r="A156" s="248"/>
      <c r="B156" s="248"/>
      <c r="C156" s="250"/>
      <c r="D156" s="250" t="s">
        <v>190</v>
      </c>
      <c r="E156" s="250" t="s">
        <v>209</v>
      </c>
      <c r="F156" s="251">
        <v>0</v>
      </c>
      <c r="G156" s="251">
        <v>0</v>
      </c>
      <c r="H156" s="251">
        <v>0</v>
      </c>
      <c r="I156" s="252">
        <f>SUM(F156:H156)</f>
        <v>0</v>
      </c>
    </row>
    <row r="157" spans="1:9" ht="12.75" hidden="1">
      <c r="A157" s="248"/>
      <c r="B157" s="248"/>
      <c r="C157" s="250"/>
      <c r="D157" s="250" t="s">
        <v>192</v>
      </c>
      <c r="E157" s="250" t="s">
        <v>651</v>
      </c>
      <c r="F157" s="251">
        <v>0</v>
      </c>
      <c r="G157" s="251">
        <v>0</v>
      </c>
      <c r="H157" s="251">
        <v>0</v>
      </c>
      <c r="I157" s="252">
        <f>SUM(F157:H157)</f>
        <v>0</v>
      </c>
    </row>
    <row r="158" spans="1:9" ht="12.75">
      <c r="A158" s="248"/>
      <c r="B158" s="241" t="s">
        <v>631</v>
      </c>
      <c r="C158" s="849" t="s">
        <v>738</v>
      </c>
      <c r="D158" s="849"/>
      <c r="E158" s="849"/>
      <c r="F158" s="242">
        <f>SUM(F159:F169)</f>
        <v>3000000</v>
      </c>
      <c r="G158" s="242">
        <f>SUM(G159:G169)</f>
        <v>0</v>
      </c>
      <c r="H158" s="242">
        <f>SUM(H159:H169)</f>
        <v>0</v>
      </c>
      <c r="I158" s="243">
        <f t="shared" si="1"/>
        <v>3000000</v>
      </c>
    </row>
    <row r="159" spans="1:9" ht="12.75">
      <c r="A159" s="248"/>
      <c r="B159" s="248"/>
      <c r="C159" s="250" t="s">
        <v>2</v>
      </c>
      <c r="D159" s="250" t="s">
        <v>176</v>
      </c>
      <c r="E159" s="250" t="s">
        <v>203</v>
      </c>
      <c r="F159" s="251">
        <v>3000000</v>
      </c>
      <c r="G159" s="251">
        <v>0</v>
      </c>
      <c r="H159" s="251">
        <v>0</v>
      </c>
      <c r="I159" s="252">
        <f t="shared" si="1"/>
        <v>3000000</v>
      </c>
    </row>
    <row r="160" spans="1:9" ht="12.75" hidden="1">
      <c r="A160" s="248"/>
      <c r="B160" s="248"/>
      <c r="C160" s="250"/>
      <c r="D160" s="250" t="s">
        <v>178</v>
      </c>
      <c r="E160" s="250" t="s">
        <v>650</v>
      </c>
      <c r="F160" s="251">
        <v>0</v>
      </c>
      <c r="G160" s="251">
        <v>0</v>
      </c>
      <c r="H160" s="251">
        <v>0</v>
      </c>
      <c r="I160" s="252">
        <f t="shared" si="1"/>
        <v>0</v>
      </c>
    </row>
    <row r="161" spans="1:9" ht="12.75" hidden="1">
      <c r="A161" s="248"/>
      <c r="B161" s="248"/>
      <c r="C161" s="250"/>
      <c r="D161" s="250" t="s">
        <v>180</v>
      </c>
      <c r="E161" s="250" t="s">
        <v>204</v>
      </c>
      <c r="F161" s="251">
        <v>0</v>
      </c>
      <c r="G161" s="251">
        <v>0</v>
      </c>
      <c r="H161" s="251">
        <v>0</v>
      </c>
      <c r="I161" s="252">
        <f t="shared" si="1"/>
        <v>0</v>
      </c>
    </row>
    <row r="162" spans="1:9" ht="12.75" hidden="1">
      <c r="A162" s="248"/>
      <c r="B162" s="248"/>
      <c r="C162" s="250"/>
      <c r="D162" s="250" t="s">
        <v>182</v>
      </c>
      <c r="E162" s="250" t="s">
        <v>205</v>
      </c>
      <c r="F162" s="251">
        <v>0</v>
      </c>
      <c r="G162" s="251">
        <v>0</v>
      </c>
      <c r="H162" s="251">
        <v>0</v>
      </c>
      <c r="I162" s="252">
        <f t="shared" si="1"/>
        <v>0</v>
      </c>
    </row>
    <row r="163" spans="1:9" ht="12.75" hidden="1">
      <c r="A163" s="248"/>
      <c r="B163" s="248"/>
      <c r="C163" s="250"/>
      <c r="D163" s="250" t="s">
        <v>184</v>
      </c>
      <c r="E163" s="250" t="s">
        <v>206</v>
      </c>
      <c r="F163" s="251">
        <v>0</v>
      </c>
      <c r="G163" s="251">
        <v>0</v>
      </c>
      <c r="H163" s="251">
        <v>0</v>
      </c>
      <c r="I163" s="252">
        <f t="shared" si="1"/>
        <v>0</v>
      </c>
    </row>
    <row r="164" spans="1:9" ht="12.75" hidden="1">
      <c r="A164" s="248"/>
      <c r="B164" s="248"/>
      <c r="C164" s="250"/>
      <c r="D164" s="250" t="s">
        <v>186</v>
      </c>
      <c r="E164" s="250" t="s">
        <v>607</v>
      </c>
      <c r="F164" s="251">
        <v>0</v>
      </c>
      <c r="G164" s="251">
        <v>0</v>
      </c>
      <c r="H164" s="251">
        <v>0</v>
      </c>
      <c r="I164" s="252">
        <f t="shared" si="1"/>
        <v>0</v>
      </c>
    </row>
    <row r="165" spans="1:9" ht="12.75" hidden="1">
      <c r="A165" s="248"/>
      <c r="B165" s="248"/>
      <c r="C165" s="250"/>
      <c r="D165" s="250" t="s">
        <v>188</v>
      </c>
      <c r="E165" s="250" t="s">
        <v>606</v>
      </c>
      <c r="F165" s="260">
        <v>0</v>
      </c>
      <c r="G165" s="251">
        <v>0</v>
      </c>
      <c r="H165" s="251">
        <v>0</v>
      </c>
      <c r="I165" s="252">
        <f t="shared" si="1"/>
        <v>0</v>
      </c>
    </row>
    <row r="166" spans="1:9" ht="12.75" hidden="1">
      <c r="A166" s="248"/>
      <c r="B166" s="248"/>
      <c r="C166" s="250"/>
      <c r="D166" s="250" t="s">
        <v>190</v>
      </c>
      <c r="E166" s="250" t="s">
        <v>209</v>
      </c>
      <c r="F166" s="251">
        <v>0</v>
      </c>
      <c r="G166" s="251">
        <v>0</v>
      </c>
      <c r="H166" s="251">
        <v>0</v>
      </c>
      <c r="I166" s="252">
        <f>SUM(F166:H166)</f>
        <v>0</v>
      </c>
    </row>
    <row r="167" spans="1:9" ht="12.75" hidden="1">
      <c r="A167" s="248"/>
      <c r="B167" s="248"/>
      <c r="C167" s="250"/>
      <c r="D167" s="250" t="s">
        <v>192</v>
      </c>
      <c r="E167" s="250" t="s">
        <v>210</v>
      </c>
      <c r="F167" s="251">
        <v>0</v>
      </c>
      <c r="G167" s="251">
        <v>0</v>
      </c>
      <c r="H167" s="251">
        <v>0</v>
      </c>
      <c r="I167" s="252">
        <f>SUM(F167:H167)</f>
        <v>0</v>
      </c>
    </row>
    <row r="168" spans="1:9" ht="12.75" hidden="1">
      <c r="A168" s="248"/>
      <c r="B168" s="248"/>
      <c r="C168" s="250"/>
      <c r="D168" s="250" t="s">
        <v>194</v>
      </c>
      <c r="E168" s="250" t="s">
        <v>211</v>
      </c>
      <c r="F168" s="251">
        <v>0</v>
      </c>
      <c r="G168" s="251">
        <v>0</v>
      </c>
      <c r="H168" s="251">
        <v>0</v>
      </c>
      <c r="I168" s="252">
        <f>SUM(F168:H168)</f>
        <v>0</v>
      </c>
    </row>
    <row r="169" spans="1:9" ht="12.75" hidden="1">
      <c r="A169" s="248"/>
      <c r="B169" s="248"/>
      <c r="C169" s="250"/>
      <c r="D169" s="250" t="s">
        <v>652</v>
      </c>
      <c r="E169" s="250" t="s">
        <v>212</v>
      </c>
      <c r="F169" s="251">
        <v>0</v>
      </c>
      <c r="G169" s="251">
        <v>0</v>
      </c>
      <c r="H169" s="251">
        <v>0</v>
      </c>
      <c r="I169" s="252">
        <f>SUM(F169:H169)</f>
        <v>0</v>
      </c>
    </row>
    <row r="170" spans="1:9" s="240" customFormat="1" ht="12.75">
      <c r="A170" s="238" t="s">
        <v>337</v>
      </c>
      <c r="B170" s="853" t="s">
        <v>338</v>
      </c>
      <c r="C170" s="853"/>
      <c r="D170" s="853"/>
      <c r="E170" s="853"/>
      <c r="F170" s="239">
        <f>SUM(F171+F194+F195+F196)</f>
        <v>110811042</v>
      </c>
      <c r="G170" s="239">
        <f>SUM(G171+G194+G195+G196)</f>
        <v>213817</v>
      </c>
      <c r="H170" s="239">
        <f>SUM(H171+H194+H195+H196)</f>
        <v>1486017</v>
      </c>
      <c r="I170" s="239">
        <f>SUM(I171+I194+I195+I196)</f>
        <v>112510876</v>
      </c>
    </row>
    <row r="171" spans="1:9" ht="12.75">
      <c r="A171" s="248"/>
      <c r="B171" s="241" t="s">
        <v>339</v>
      </c>
      <c r="C171" s="849" t="s">
        <v>340</v>
      </c>
      <c r="D171" s="849"/>
      <c r="E171" s="849"/>
      <c r="F171" s="242">
        <f>SUM(F172+F176+F181+F186+F187+F188+F189+F190+F191)</f>
        <v>110811042</v>
      </c>
      <c r="G171" s="242">
        <f>SUM(G172+G176+G181+G186+G187+G188+G189+G190+G191)</f>
        <v>213817</v>
      </c>
      <c r="H171" s="242">
        <f>SUM(H172+H176+H181+H186+H187+H188+H189+H190+H191)</f>
        <v>1486017</v>
      </c>
      <c r="I171" s="243">
        <f t="shared" si="1"/>
        <v>112510876</v>
      </c>
    </row>
    <row r="172" spans="1:9" ht="12.75">
      <c r="A172" s="244"/>
      <c r="B172" s="244"/>
      <c r="C172" s="244" t="s">
        <v>341</v>
      </c>
      <c r="D172" s="244" t="s">
        <v>683</v>
      </c>
      <c r="E172" s="244"/>
      <c r="F172" s="245">
        <f>SUM(F173:F175)</f>
        <v>0</v>
      </c>
      <c r="G172" s="245">
        <f>SUM(G173:G175)</f>
        <v>0</v>
      </c>
      <c r="H172" s="245">
        <f>SUM(H173:H175)</f>
        <v>0</v>
      </c>
      <c r="I172" s="246">
        <f t="shared" si="1"/>
        <v>0</v>
      </c>
    </row>
    <row r="173" spans="1:9" ht="12.75" hidden="1">
      <c r="A173" s="261"/>
      <c r="B173" s="261"/>
      <c r="C173" s="261"/>
      <c r="D173" s="261" t="s">
        <v>342</v>
      </c>
      <c r="E173" s="261" t="s">
        <v>801</v>
      </c>
      <c r="F173" s="262">
        <v>0</v>
      </c>
      <c r="G173" s="262">
        <v>0</v>
      </c>
      <c r="H173" s="262">
        <v>0</v>
      </c>
      <c r="I173" s="263">
        <f t="shared" si="1"/>
        <v>0</v>
      </c>
    </row>
    <row r="174" spans="1:9" ht="12.75" hidden="1">
      <c r="A174" s="261"/>
      <c r="B174" s="261"/>
      <c r="C174" s="261"/>
      <c r="D174" s="261" t="s">
        <v>343</v>
      </c>
      <c r="E174" s="261" t="s">
        <v>802</v>
      </c>
      <c r="F174" s="262">
        <v>0</v>
      </c>
      <c r="G174" s="262">
        <v>0</v>
      </c>
      <c r="H174" s="262">
        <v>0</v>
      </c>
      <c r="I174" s="263">
        <f t="shared" si="1"/>
        <v>0</v>
      </c>
    </row>
    <row r="175" spans="1:9" ht="12.75" hidden="1">
      <c r="A175" s="261"/>
      <c r="B175" s="261"/>
      <c r="C175" s="261"/>
      <c r="D175" s="261" t="s">
        <v>344</v>
      </c>
      <c r="E175" s="261" t="s">
        <v>803</v>
      </c>
      <c r="F175" s="262">
        <v>0</v>
      </c>
      <c r="G175" s="262">
        <v>0</v>
      </c>
      <c r="H175" s="262">
        <v>0</v>
      </c>
      <c r="I175" s="263">
        <f t="shared" si="1"/>
        <v>0</v>
      </c>
    </row>
    <row r="176" spans="1:9" ht="12.75">
      <c r="A176" s="244"/>
      <c r="B176" s="244"/>
      <c r="C176" s="244" t="s">
        <v>345</v>
      </c>
      <c r="D176" s="244" t="s">
        <v>346</v>
      </c>
      <c r="E176" s="244"/>
      <c r="F176" s="245">
        <f>SUM(F177:F180)</f>
        <v>0</v>
      </c>
      <c r="G176" s="245">
        <f>SUM(G177:G180)</f>
        <v>0</v>
      </c>
      <c r="H176" s="245">
        <f>SUM(H177:H180)</f>
        <v>0</v>
      </c>
      <c r="I176" s="246">
        <f t="shared" si="1"/>
        <v>0</v>
      </c>
    </row>
    <row r="177" spans="1:9" ht="12.75" hidden="1">
      <c r="A177" s="244"/>
      <c r="B177" s="244"/>
      <c r="C177" s="244"/>
      <c r="D177" s="261" t="s">
        <v>632</v>
      </c>
      <c r="E177" s="261" t="s">
        <v>633</v>
      </c>
      <c r="F177" s="245">
        <v>0</v>
      </c>
      <c r="G177" s="245">
        <v>0</v>
      </c>
      <c r="H177" s="245">
        <v>0</v>
      </c>
      <c r="I177" s="246">
        <f t="shared" si="1"/>
        <v>0</v>
      </c>
    </row>
    <row r="178" spans="1:9" ht="12.75" hidden="1">
      <c r="A178" s="244"/>
      <c r="B178" s="244"/>
      <c r="C178" s="244"/>
      <c r="D178" s="261" t="s">
        <v>634</v>
      </c>
      <c r="E178" s="261" t="s">
        <v>635</v>
      </c>
      <c r="F178" s="245">
        <v>0</v>
      </c>
      <c r="G178" s="245">
        <v>0</v>
      </c>
      <c r="H178" s="245">
        <v>0</v>
      </c>
      <c r="I178" s="246">
        <f t="shared" si="1"/>
        <v>0</v>
      </c>
    </row>
    <row r="179" spans="1:9" ht="12.75" hidden="1">
      <c r="A179" s="244"/>
      <c r="B179" s="244"/>
      <c r="C179" s="244"/>
      <c r="D179" s="261" t="s">
        <v>636</v>
      </c>
      <c r="E179" s="261" t="s">
        <v>637</v>
      </c>
      <c r="F179" s="245">
        <v>0</v>
      </c>
      <c r="G179" s="245">
        <v>0</v>
      </c>
      <c r="H179" s="245">
        <v>0</v>
      </c>
      <c r="I179" s="246">
        <f t="shared" si="1"/>
        <v>0</v>
      </c>
    </row>
    <row r="180" spans="1:9" ht="12.75" hidden="1">
      <c r="A180" s="244"/>
      <c r="B180" s="244"/>
      <c r="C180" s="244"/>
      <c r="D180" s="261" t="s">
        <v>638</v>
      </c>
      <c r="E180" s="261" t="s">
        <v>639</v>
      </c>
      <c r="F180" s="245">
        <v>0</v>
      </c>
      <c r="G180" s="245">
        <v>0</v>
      </c>
      <c r="H180" s="245">
        <v>0</v>
      </c>
      <c r="I180" s="246">
        <f t="shared" si="1"/>
        <v>0</v>
      </c>
    </row>
    <row r="181" spans="1:9" ht="12.75">
      <c r="A181" s="244"/>
      <c r="B181" s="244"/>
      <c r="C181" s="244" t="s">
        <v>347</v>
      </c>
      <c r="D181" s="244" t="s">
        <v>348</v>
      </c>
      <c r="E181" s="244"/>
      <c r="F181" s="245">
        <f>SUM(F182,F185)</f>
        <v>110811042</v>
      </c>
      <c r="G181" s="245">
        <f>SUM(G182,G185)</f>
        <v>213817</v>
      </c>
      <c r="H181" s="245">
        <f>SUM(H182,H185)</f>
        <v>1486017</v>
      </c>
      <c r="I181" s="246">
        <f t="shared" si="1"/>
        <v>112510876</v>
      </c>
    </row>
    <row r="182" spans="1:9" ht="12.75">
      <c r="A182" s="261"/>
      <c r="B182" s="261"/>
      <c r="C182" s="261"/>
      <c r="D182" s="261" t="s">
        <v>349</v>
      </c>
      <c r="E182" s="261" t="s">
        <v>350</v>
      </c>
      <c r="F182" s="262">
        <f>SUM(F183:F184)</f>
        <v>80794940</v>
      </c>
      <c r="G182" s="262">
        <f>SUM(G183:G184)</f>
        <v>213817</v>
      </c>
      <c r="H182" s="262">
        <f>SUM(H183:H184)</f>
        <v>1486017</v>
      </c>
      <c r="I182" s="263">
        <f aca="true" t="shared" si="3" ref="I182:I196">SUM(F182:H182)</f>
        <v>82494774</v>
      </c>
    </row>
    <row r="183" spans="1:9" s="268" customFormat="1" ht="12.75">
      <c r="A183" s="264"/>
      <c r="B183" s="264"/>
      <c r="C183" s="264"/>
      <c r="D183" s="264"/>
      <c r="E183" s="265" t="s">
        <v>37</v>
      </c>
      <c r="F183" s="266">
        <f>3223384+17567323+20000000+6865581</f>
        <v>47656288</v>
      </c>
      <c r="G183" s="266">
        <v>213817</v>
      </c>
      <c r="H183" s="266">
        <v>1486017</v>
      </c>
      <c r="I183" s="267">
        <f t="shared" si="3"/>
        <v>49356122</v>
      </c>
    </row>
    <row r="184" spans="1:9" s="268" customFormat="1" ht="12.75">
      <c r="A184" s="264"/>
      <c r="B184" s="264"/>
      <c r="C184" s="264"/>
      <c r="D184" s="264"/>
      <c r="E184" s="265" t="s">
        <v>38</v>
      </c>
      <c r="F184" s="266">
        <f>1159500+1587500+12391652+15000000+3000000</f>
        <v>33138652</v>
      </c>
      <c r="G184" s="266">
        <v>0</v>
      </c>
      <c r="H184" s="266">
        <v>0</v>
      </c>
      <c r="I184" s="267">
        <f t="shared" si="3"/>
        <v>33138652</v>
      </c>
    </row>
    <row r="185" spans="1:9" ht="12.75">
      <c r="A185" s="261"/>
      <c r="B185" s="261"/>
      <c r="C185" s="261"/>
      <c r="D185" s="261" t="s">
        <v>351</v>
      </c>
      <c r="E185" s="261" t="s">
        <v>352</v>
      </c>
      <c r="F185" s="262">
        <v>30016102</v>
      </c>
      <c r="G185" s="262">
        <v>0</v>
      </c>
      <c r="H185" s="262">
        <v>0</v>
      </c>
      <c r="I185" s="263">
        <f t="shared" si="3"/>
        <v>30016102</v>
      </c>
    </row>
    <row r="186" spans="1:9" ht="12.75" hidden="1">
      <c r="A186" s="244"/>
      <c r="B186" s="244"/>
      <c r="C186" s="244" t="s">
        <v>353</v>
      </c>
      <c r="D186" s="244" t="s">
        <v>684</v>
      </c>
      <c r="E186" s="244"/>
      <c r="F186" s="245">
        <v>0</v>
      </c>
      <c r="G186" s="245">
        <v>0</v>
      </c>
      <c r="H186" s="245">
        <v>0</v>
      </c>
      <c r="I186" s="246">
        <f t="shared" si="3"/>
        <v>0</v>
      </c>
    </row>
    <row r="187" spans="1:9" ht="12.75" hidden="1">
      <c r="A187" s="244"/>
      <c r="B187" s="244"/>
      <c r="C187" s="244" t="s">
        <v>354</v>
      </c>
      <c r="D187" s="244" t="s">
        <v>685</v>
      </c>
      <c r="E187" s="244"/>
      <c r="F187" s="245">
        <v>0</v>
      </c>
      <c r="G187" s="245">
        <v>0</v>
      </c>
      <c r="H187" s="245">
        <v>0</v>
      </c>
      <c r="I187" s="246">
        <f t="shared" si="3"/>
        <v>0</v>
      </c>
    </row>
    <row r="188" spans="1:9" ht="12.75" hidden="1">
      <c r="A188" s="244"/>
      <c r="B188" s="244"/>
      <c r="C188" s="244" t="s">
        <v>355</v>
      </c>
      <c r="D188" s="244" t="s">
        <v>356</v>
      </c>
      <c r="E188" s="244"/>
      <c r="F188" s="245">
        <v>0</v>
      </c>
      <c r="G188" s="245">
        <v>0</v>
      </c>
      <c r="H188" s="245">
        <v>0</v>
      </c>
      <c r="I188" s="246">
        <f t="shared" si="3"/>
        <v>0</v>
      </c>
    </row>
    <row r="189" spans="1:9" ht="12.75" hidden="1">
      <c r="A189" s="244"/>
      <c r="B189" s="244"/>
      <c r="C189" s="244" t="s">
        <v>357</v>
      </c>
      <c r="D189" s="244" t="s">
        <v>640</v>
      </c>
      <c r="E189" s="244"/>
      <c r="F189" s="245">
        <v>0</v>
      </c>
      <c r="G189" s="245">
        <v>0</v>
      </c>
      <c r="H189" s="245">
        <v>0</v>
      </c>
      <c r="I189" s="246">
        <f t="shared" si="3"/>
        <v>0</v>
      </c>
    </row>
    <row r="190" spans="1:9" ht="12.75" hidden="1">
      <c r="A190" s="244"/>
      <c r="B190" s="244"/>
      <c r="C190" s="244" t="s">
        <v>358</v>
      </c>
      <c r="D190" s="244" t="s">
        <v>359</v>
      </c>
      <c r="E190" s="244"/>
      <c r="F190" s="245">
        <v>0</v>
      </c>
      <c r="G190" s="245">
        <v>0</v>
      </c>
      <c r="H190" s="245">
        <v>0</v>
      </c>
      <c r="I190" s="246">
        <f t="shared" si="3"/>
        <v>0</v>
      </c>
    </row>
    <row r="191" spans="1:9" ht="12.75" hidden="1">
      <c r="A191" s="244"/>
      <c r="B191" s="244"/>
      <c r="C191" s="244" t="s">
        <v>641</v>
      </c>
      <c r="D191" s="244" t="s">
        <v>642</v>
      </c>
      <c r="E191" s="244"/>
      <c r="F191" s="245">
        <v>0</v>
      </c>
      <c r="G191" s="245">
        <v>0</v>
      </c>
      <c r="H191" s="245">
        <v>0</v>
      </c>
      <c r="I191" s="246">
        <f t="shared" si="3"/>
        <v>0</v>
      </c>
    </row>
    <row r="192" spans="1:9" ht="12.75" hidden="1">
      <c r="A192" s="244"/>
      <c r="B192" s="244"/>
      <c r="C192" s="244"/>
      <c r="D192" s="261" t="s">
        <v>643</v>
      </c>
      <c r="E192" s="261" t="s">
        <v>644</v>
      </c>
      <c r="F192" s="266">
        <v>0</v>
      </c>
      <c r="G192" s="266">
        <v>0</v>
      </c>
      <c r="H192" s="266">
        <v>0</v>
      </c>
      <c r="I192" s="246">
        <f t="shared" si="3"/>
        <v>0</v>
      </c>
    </row>
    <row r="193" spans="1:9" ht="12.75" hidden="1">
      <c r="A193" s="244"/>
      <c r="B193" s="244"/>
      <c r="C193" s="244"/>
      <c r="D193" s="261" t="s">
        <v>645</v>
      </c>
      <c r="E193" s="261" t="s">
        <v>646</v>
      </c>
      <c r="F193" s="266">
        <v>0</v>
      </c>
      <c r="G193" s="266">
        <v>0</v>
      </c>
      <c r="H193" s="266">
        <v>0</v>
      </c>
      <c r="I193" s="246">
        <f t="shared" si="3"/>
        <v>0</v>
      </c>
    </row>
    <row r="194" spans="1:9" ht="12.75" hidden="1">
      <c r="A194" s="248"/>
      <c r="B194" s="241" t="s">
        <v>360</v>
      </c>
      <c r="C194" s="849" t="s">
        <v>361</v>
      </c>
      <c r="D194" s="849"/>
      <c r="E194" s="849"/>
      <c r="F194" s="242">
        <v>0</v>
      </c>
      <c r="G194" s="242">
        <v>0</v>
      </c>
      <c r="H194" s="242">
        <v>0</v>
      </c>
      <c r="I194" s="243">
        <f t="shared" si="3"/>
        <v>0</v>
      </c>
    </row>
    <row r="195" spans="1:9" ht="12.75" hidden="1">
      <c r="A195" s="248"/>
      <c r="B195" s="241" t="s">
        <v>362</v>
      </c>
      <c r="C195" s="849" t="s">
        <v>363</v>
      </c>
      <c r="D195" s="849"/>
      <c r="E195" s="849"/>
      <c r="F195" s="242">
        <v>0</v>
      </c>
      <c r="G195" s="242">
        <v>0</v>
      </c>
      <c r="H195" s="242">
        <v>0</v>
      </c>
      <c r="I195" s="243">
        <f>SUM(F195:H195)</f>
        <v>0</v>
      </c>
    </row>
    <row r="196" spans="1:9" ht="12.75" hidden="1">
      <c r="A196" s="248"/>
      <c r="B196" s="241" t="s">
        <v>647</v>
      </c>
      <c r="C196" s="849" t="s">
        <v>648</v>
      </c>
      <c r="D196" s="849"/>
      <c r="E196" s="849"/>
      <c r="F196" s="242">
        <v>0</v>
      </c>
      <c r="G196" s="242">
        <v>0</v>
      </c>
      <c r="H196" s="242">
        <v>0</v>
      </c>
      <c r="I196" s="243">
        <f t="shared" si="3"/>
        <v>0</v>
      </c>
    </row>
    <row r="197" spans="1:9" ht="12.75" hidden="1">
      <c r="A197" s="248"/>
      <c r="B197" s="248"/>
      <c r="C197" s="248"/>
      <c r="D197" s="248"/>
      <c r="E197" s="248"/>
      <c r="F197" s="269"/>
      <c r="G197" s="270"/>
      <c r="H197" s="270"/>
      <c r="I197" s="269"/>
    </row>
    <row r="198" spans="1:9" s="272" customFormat="1" ht="15.75">
      <c r="A198" s="858" t="s">
        <v>491</v>
      </c>
      <c r="B198" s="858"/>
      <c r="C198" s="858"/>
      <c r="D198" s="858"/>
      <c r="E198" s="858"/>
      <c r="F198" s="271">
        <f>SUM(F170+F144+F129+F121+F85+F56+F40+F7)</f>
        <v>1665751514</v>
      </c>
      <c r="G198" s="271">
        <f>SUM(G170+G144+G129+G121+G85+G56+G40+G7)</f>
        <v>5909999</v>
      </c>
      <c r="H198" s="271">
        <f>SUM(H170+H144+H129+H121+H85+H56+H40+H7)</f>
        <v>3462926</v>
      </c>
      <c r="I198" s="271">
        <f>SUM(F198:H198)</f>
        <v>1675124439</v>
      </c>
    </row>
  </sheetData>
  <sheetProtection/>
  <mergeCells count="54">
    <mergeCell ref="C195:E195"/>
    <mergeCell ref="C171:E171"/>
    <mergeCell ref="F1:I1"/>
    <mergeCell ref="B6:E6"/>
    <mergeCell ref="A2:I2"/>
    <mergeCell ref="C127:E127"/>
    <mergeCell ref="C42:E42"/>
    <mergeCell ref="C60:E60"/>
    <mergeCell ref="C63:E63"/>
    <mergeCell ref="C158:E158"/>
    <mergeCell ref="A198:E198"/>
    <mergeCell ref="C130:E130"/>
    <mergeCell ref="C133:E133"/>
    <mergeCell ref="C143:E143"/>
    <mergeCell ref="B144:E144"/>
    <mergeCell ref="C196:E196"/>
    <mergeCell ref="B170:E170"/>
    <mergeCell ref="C147:E147"/>
    <mergeCell ref="C148:E148"/>
    <mergeCell ref="C146:E146"/>
    <mergeCell ref="C145:E145"/>
    <mergeCell ref="C194:E194"/>
    <mergeCell ref="C131:E131"/>
    <mergeCell ref="C132:E132"/>
    <mergeCell ref="C43:E43"/>
    <mergeCell ref="C41:E41"/>
    <mergeCell ref="D118:E118"/>
    <mergeCell ref="B121:E121"/>
    <mergeCell ref="C44:E44"/>
    <mergeCell ref="D111:E111"/>
    <mergeCell ref="B56:E56"/>
    <mergeCell ref="D106:E106"/>
    <mergeCell ref="C59:E59"/>
    <mergeCell ref="D103:E103"/>
    <mergeCell ref="C57:E57"/>
    <mergeCell ref="C74:E74"/>
    <mergeCell ref="B85:E85"/>
    <mergeCell ref="C58:E58"/>
    <mergeCell ref="B129:E129"/>
    <mergeCell ref="C124:E124"/>
    <mergeCell ref="C126:E126"/>
    <mergeCell ref="D110:E110"/>
    <mergeCell ref="C128:E128"/>
    <mergeCell ref="C122:E122"/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zoomScalePageLayoutView="0" workbookViewId="0" topLeftCell="A1">
      <selection activeCell="I1" sqref="I1"/>
    </sheetView>
  </sheetViews>
  <sheetFormatPr defaultColWidth="8.875" defaultRowHeight="12.75"/>
  <cols>
    <col min="1" max="1" width="4.125" style="129" bestFit="1" customWidth="1"/>
    <col min="2" max="2" width="14.625" style="124" customWidth="1"/>
    <col min="3" max="9" width="16.75390625" style="124" customWidth="1"/>
    <col min="10" max="10" width="13.875" style="124" bestFit="1" customWidth="1"/>
    <col min="11" max="11" width="14.25390625" style="124" bestFit="1" customWidth="1"/>
    <col min="12" max="16384" width="8.875" style="124" customWidth="1"/>
  </cols>
  <sheetData>
    <row r="1" ht="15.75">
      <c r="I1" s="175" t="s">
        <v>1084</v>
      </c>
    </row>
    <row r="3" spans="1:9" ht="40.5" customHeight="1">
      <c r="A3" s="1144" t="s">
        <v>154</v>
      </c>
      <c r="B3" s="1145"/>
      <c r="C3" s="1145"/>
      <c r="D3" s="1145"/>
      <c r="E3" s="1145"/>
      <c r="F3" s="1145"/>
      <c r="G3" s="1145"/>
      <c r="H3" s="1145"/>
      <c r="I3" s="1145"/>
    </row>
    <row r="4" spans="2:9" ht="16.5" thickBot="1">
      <c r="B4" s="125"/>
      <c r="C4" s="125"/>
      <c r="D4" s="125"/>
      <c r="E4" s="125"/>
      <c r="F4" s="125"/>
      <c r="G4" s="125"/>
      <c r="H4" s="125"/>
      <c r="I4" s="125"/>
    </row>
    <row r="5" spans="1:9" ht="15.75">
      <c r="A5" s="1146" t="s">
        <v>484</v>
      </c>
      <c r="B5" s="1148" t="s">
        <v>462</v>
      </c>
      <c r="C5" s="1148" t="s">
        <v>468</v>
      </c>
      <c r="D5" s="1148"/>
      <c r="E5" s="1148"/>
      <c r="F5" s="1148"/>
      <c r="G5" s="1148"/>
      <c r="H5" s="1148"/>
      <c r="I5" s="1150" t="s">
        <v>472</v>
      </c>
    </row>
    <row r="6" spans="1:9" s="126" customFormat="1" ht="102.75" customHeight="1">
      <c r="A6" s="1147"/>
      <c r="B6" s="1149"/>
      <c r="C6" s="127" t="s">
        <v>464</v>
      </c>
      <c r="D6" s="127" t="s">
        <v>465</v>
      </c>
      <c r="E6" s="127" t="s">
        <v>473</v>
      </c>
      <c r="F6" s="127" t="s">
        <v>466</v>
      </c>
      <c r="G6" s="127" t="s">
        <v>463</v>
      </c>
      <c r="H6" s="127" t="s">
        <v>467</v>
      </c>
      <c r="I6" s="1151"/>
    </row>
    <row r="7" spans="1:9" s="129" customFormat="1" ht="12">
      <c r="A7" s="1147"/>
      <c r="B7" s="131" t="s">
        <v>478</v>
      </c>
      <c r="C7" s="130" t="s">
        <v>479</v>
      </c>
      <c r="D7" s="130" t="s">
        <v>480</v>
      </c>
      <c r="E7" s="130" t="s">
        <v>481</v>
      </c>
      <c r="F7" s="130" t="s">
        <v>482</v>
      </c>
      <c r="G7" s="130" t="s">
        <v>483</v>
      </c>
      <c r="H7" s="130" t="s">
        <v>485</v>
      </c>
      <c r="I7" s="133" t="s">
        <v>486</v>
      </c>
    </row>
    <row r="8" spans="1:9" s="182" customFormat="1" ht="15.75">
      <c r="A8" s="181">
        <v>1</v>
      </c>
      <c r="B8" s="132" t="s">
        <v>494</v>
      </c>
      <c r="C8" s="564">
        <v>162200000</v>
      </c>
      <c r="D8" s="565">
        <v>210502351</v>
      </c>
      <c r="E8" s="565">
        <v>6000</v>
      </c>
      <c r="F8" s="565"/>
      <c r="G8" s="564">
        <v>560000</v>
      </c>
      <c r="H8" s="565"/>
      <c r="I8" s="566">
        <f aca="true" t="shared" si="0" ref="I8:I13">SUM(C8:H8)</f>
        <v>373268351</v>
      </c>
    </row>
    <row r="9" spans="1:9" ht="15.75">
      <c r="A9" s="128">
        <v>2</v>
      </c>
      <c r="B9" s="132" t="s">
        <v>495</v>
      </c>
      <c r="C9" s="567">
        <v>150000000</v>
      </c>
      <c r="D9" s="568">
        <v>12000000</v>
      </c>
      <c r="E9" s="568">
        <v>300000</v>
      </c>
      <c r="F9" s="568"/>
      <c r="G9" s="567">
        <v>900000</v>
      </c>
      <c r="H9" s="568"/>
      <c r="I9" s="569">
        <f t="shared" si="0"/>
        <v>163200000</v>
      </c>
    </row>
    <row r="10" spans="1:9" ht="15.75">
      <c r="A10" s="128">
        <v>3</v>
      </c>
      <c r="B10" s="132" t="s">
        <v>496</v>
      </c>
      <c r="C10" s="567">
        <v>152000000</v>
      </c>
      <c r="D10" s="568">
        <v>10000000</v>
      </c>
      <c r="E10" s="568">
        <v>250000</v>
      </c>
      <c r="F10" s="568"/>
      <c r="G10" s="567">
        <v>800000</v>
      </c>
      <c r="H10" s="568"/>
      <c r="I10" s="569">
        <f t="shared" si="0"/>
        <v>163050000</v>
      </c>
    </row>
    <row r="11" spans="1:9" ht="15.75">
      <c r="A11" s="128">
        <v>4</v>
      </c>
      <c r="B11" s="132" t="s">
        <v>497</v>
      </c>
      <c r="C11" s="567">
        <v>154000000</v>
      </c>
      <c r="D11" s="568">
        <v>8000000</v>
      </c>
      <c r="E11" s="568">
        <v>200000</v>
      </c>
      <c r="F11" s="568"/>
      <c r="G11" s="567">
        <v>700000</v>
      </c>
      <c r="H11" s="568"/>
      <c r="I11" s="569">
        <f t="shared" si="0"/>
        <v>162900000</v>
      </c>
    </row>
    <row r="12" spans="1:9" ht="15.75">
      <c r="A12" s="128">
        <v>5</v>
      </c>
      <c r="B12" s="132" t="s">
        <v>498</v>
      </c>
      <c r="C12" s="567">
        <v>128585000</v>
      </c>
      <c r="D12" s="568">
        <v>6000000</v>
      </c>
      <c r="E12" s="568">
        <v>266000</v>
      </c>
      <c r="F12" s="568">
        <v>100000</v>
      </c>
      <c r="G12" s="567">
        <v>350000</v>
      </c>
      <c r="H12" s="568"/>
      <c r="I12" s="569">
        <f t="shared" si="0"/>
        <v>135301000</v>
      </c>
    </row>
    <row r="13" spans="1:9" ht="16.5" thickBot="1">
      <c r="A13" s="195">
        <v>6</v>
      </c>
      <c r="B13" s="196" t="s">
        <v>499</v>
      </c>
      <c r="C13" s="570">
        <v>130615000</v>
      </c>
      <c r="D13" s="571">
        <v>6000000</v>
      </c>
      <c r="E13" s="571">
        <v>271000</v>
      </c>
      <c r="F13" s="571">
        <v>100000</v>
      </c>
      <c r="G13" s="570">
        <v>340000</v>
      </c>
      <c r="H13" s="571"/>
      <c r="I13" s="572">
        <f t="shared" si="0"/>
        <v>137326000</v>
      </c>
    </row>
    <row r="15" ht="15.75">
      <c r="E15" s="182"/>
    </row>
  </sheetData>
  <sheetProtection/>
  <mergeCells count="5">
    <mergeCell ref="A3:I3"/>
    <mergeCell ref="A5:A7"/>
    <mergeCell ref="B5:B6"/>
    <mergeCell ref="C5:H5"/>
    <mergeCell ref="I5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5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5.125" style="36" bestFit="1" customWidth="1"/>
    <col min="2" max="2" width="8.875" style="32" customWidth="1"/>
    <col min="3" max="3" width="72.25390625" style="32" customWidth="1"/>
    <col min="4" max="4" width="9.75390625" style="32" bestFit="1" customWidth="1"/>
    <col min="5" max="5" width="10.375" style="32" bestFit="1" customWidth="1"/>
    <col min="6" max="6" width="16.125" style="32" bestFit="1" customWidth="1"/>
    <col min="7" max="7" width="9.75390625" style="32" bestFit="1" customWidth="1"/>
    <col min="8" max="8" width="11.25390625" style="32" customWidth="1"/>
    <col min="9" max="9" width="9.625" style="32" customWidth="1"/>
    <col min="10" max="10" width="11.25390625" style="32" customWidth="1"/>
    <col min="11" max="12" width="16.125" style="32" bestFit="1" customWidth="1"/>
    <col min="13" max="13" width="9.125" style="32" customWidth="1"/>
    <col min="14" max="14" width="12.375" style="32" bestFit="1" customWidth="1"/>
    <col min="15" max="16384" width="9.125" style="32" customWidth="1"/>
  </cols>
  <sheetData>
    <row r="1" spans="9:13" ht="15" customHeight="1">
      <c r="I1" s="683" t="s">
        <v>1085</v>
      </c>
      <c r="J1" s="198"/>
      <c r="K1" s="198"/>
      <c r="L1" s="682"/>
      <c r="M1" s="198"/>
    </row>
    <row r="2" spans="1:256" ht="15.75">
      <c r="A2" s="1152" t="s">
        <v>729</v>
      </c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1153" t="s">
        <v>1010</v>
      </c>
      <c r="B3" s="1153"/>
      <c r="C3" s="1153"/>
      <c r="D3" s="1153"/>
      <c r="E3" s="1153"/>
      <c r="F3" s="1153"/>
      <c r="G3" s="1153"/>
      <c r="H3" s="1153"/>
      <c r="I3" s="1153"/>
      <c r="J3" s="1153"/>
      <c r="K3" s="1153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ht="13.5" thickBot="1"/>
    <row r="5" spans="1:256" ht="27" customHeight="1">
      <c r="A5" s="1154" t="s">
        <v>500</v>
      </c>
      <c r="B5" s="1154"/>
      <c r="C5" s="1155"/>
      <c r="D5" s="1156" t="s">
        <v>493</v>
      </c>
      <c r="E5" s="1154"/>
      <c r="F5" s="1157"/>
      <c r="G5" s="1158" t="s">
        <v>1031</v>
      </c>
      <c r="H5" s="1159"/>
      <c r="I5" s="1159"/>
      <c r="J5" s="1160"/>
      <c r="K5" s="1161"/>
      <c r="L5" s="1166" t="s">
        <v>402</v>
      </c>
      <c r="M5" s="29"/>
      <c r="N5" s="29" t="s">
        <v>539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5.5">
      <c r="A6" s="1168" t="s">
        <v>501</v>
      </c>
      <c r="B6" s="1169"/>
      <c r="C6" s="24" t="s">
        <v>502</v>
      </c>
      <c r="D6" s="25" t="s">
        <v>503</v>
      </c>
      <c r="E6" s="27" t="s">
        <v>504</v>
      </c>
      <c r="F6" s="28" t="s">
        <v>538</v>
      </c>
      <c r="G6" s="25" t="s">
        <v>505</v>
      </c>
      <c r="H6" s="26" t="s">
        <v>517</v>
      </c>
      <c r="I6" s="26" t="s">
        <v>506</v>
      </c>
      <c r="J6" s="26" t="s">
        <v>517</v>
      </c>
      <c r="K6" s="28" t="s">
        <v>721</v>
      </c>
      <c r="L6" s="116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170" t="s">
        <v>478</v>
      </c>
      <c r="B7" s="1170"/>
      <c r="C7" s="118" t="s">
        <v>479</v>
      </c>
      <c r="D7" s="119" t="s">
        <v>480</v>
      </c>
      <c r="E7" s="120" t="s">
        <v>481</v>
      </c>
      <c r="F7" s="121" t="s">
        <v>482</v>
      </c>
      <c r="G7" s="119" t="s">
        <v>483</v>
      </c>
      <c r="H7" s="122" t="s">
        <v>485</v>
      </c>
      <c r="I7" s="122" t="s">
        <v>486</v>
      </c>
      <c r="J7" s="122" t="s">
        <v>428</v>
      </c>
      <c r="K7" s="121" t="s">
        <v>429</v>
      </c>
      <c r="L7" s="173" t="s">
        <v>430</v>
      </c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spans="1:256" ht="12.75">
      <c r="A8" s="151" t="s">
        <v>524</v>
      </c>
      <c r="B8" s="152"/>
      <c r="C8" s="153" t="s">
        <v>536</v>
      </c>
      <c r="D8" s="154"/>
      <c r="E8" s="155"/>
      <c r="F8" s="156">
        <f>F9+F10+F15+F16+F17+F18</f>
        <v>200631709</v>
      </c>
      <c r="G8" s="154"/>
      <c r="H8" s="157"/>
      <c r="I8" s="157"/>
      <c r="J8" s="155"/>
      <c r="K8" s="156"/>
      <c r="L8" s="174">
        <f aca="true" t="shared" si="0" ref="L8:L14">F8+K8</f>
        <v>200631709</v>
      </c>
      <c r="M8" s="148"/>
      <c r="N8" s="177">
        <f>SUM(N9:N18)</f>
        <v>200631709</v>
      </c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  <c r="IP8" s="149"/>
      <c r="IQ8" s="149"/>
      <c r="IR8" s="149"/>
      <c r="IS8" s="149"/>
      <c r="IT8" s="149"/>
      <c r="IU8" s="149"/>
      <c r="IV8" s="149"/>
    </row>
    <row r="9" spans="1:256" ht="12.75">
      <c r="A9" s="142"/>
      <c r="B9" s="143" t="s">
        <v>589</v>
      </c>
      <c r="C9" s="144" t="s">
        <v>518</v>
      </c>
      <c r="D9" s="685">
        <v>26.48</v>
      </c>
      <c r="E9" s="686">
        <v>4580000</v>
      </c>
      <c r="F9" s="687">
        <f>D9*E9</f>
        <v>121278400</v>
      </c>
      <c r="G9" s="688"/>
      <c r="H9" s="689"/>
      <c r="I9" s="689"/>
      <c r="J9" s="686"/>
      <c r="K9" s="687"/>
      <c r="L9" s="690">
        <f t="shared" si="0"/>
        <v>121278400</v>
      </c>
      <c r="M9" s="145"/>
      <c r="N9" s="197">
        <f>SUM(L9)</f>
        <v>121278400</v>
      </c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  <c r="IS9" s="146"/>
      <c r="IT9" s="146"/>
      <c r="IU9" s="146"/>
      <c r="IV9" s="146"/>
    </row>
    <row r="10" spans="1:256" ht="12.75">
      <c r="A10" s="142"/>
      <c r="B10" s="143" t="s">
        <v>590</v>
      </c>
      <c r="C10" s="144" t="s">
        <v>134</v>
      </c>
      <c r="D10" s="688"/>
      <c r="E10" s="686"/>
      <c r="F10" s="687">
        <f>SUM(F11:F14)</f>
        <v>63536320</v>
      </c>
      <c r="G10" s="688"/>
      <c r="H10" s="689"/>
      <c r="I10" s="689"/>
      <c r="J10" s="686"/>
      <c r="K10" s="687"/>
      <c r="L10" s="690">
        <f t="shared" si="0"/>
        <v>63536320</v>
      </c>
      <c r="M10" s="145"/>
      <c r="N10" s="197">
        <f>SUM(L11:L14)</f>
        <v>63536320</v>
      </c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  <c r="IS10" s="146"/>
      <c r="IT10" s="146"/>
      <c r="IU10" s="146"/>
      <c r="IV10" s="146"/>
    </row>
    <row r="11" spans="1:14" ht="12.75">
      <c r="A11" s="30"/>
      <c r="B11" s="140" t="s">
        <v>591</v>
      </c>
      <c r="C11" s="141" t="s">
        <v>519</v>
      </c>
      <c r="D11" s="691"/>
      <c r="E11" s="692"/>
      <c r="F11" s="693">
        <v>18207950</v>
      </c>
      <c r="G11" s="691"/>
      <c r="H11" s="694"/>
      <c r="I11" s="694"/>
      <c r="J11" s="692"/>
      <c r="K11" s="693"/>
      <c r="L11" s="695">
        <f t="shared" si="0"/>
        <v>18207950</v>
      </c>
      <c r="M11" s="31"/>
      <c r="N11" s="197"/>
    </row>
    <row r="12" spans="1:14" ht="12.75">
      <c r="A12" s="30"/>
      <c r="B12" s="140" t="s">
        <v>592</v>
      </c>
      <c r="C12" s="141" t="s">
        <v>520</v>
      </c>
      <c r="D12" s="691"/>
      <c r="E12" s="692"/>
      <c r="F12" s="693">
        <v>30176000</v>
      </c>
      <c r="G12" s="691"/>
      <c r="H12" s="694"/>
      <c r="I12" s="694"/>
      <c r="J12" s="692"/>
      <c r="K12" s="693"/>
      <c r="L12" s="695">
        <f t="shared" si="0"/>
        <v>30176000</v>
      </c>
      <c r="M12" s="31"/>
      <c r="N12" s="197"/>
    </row>
    <row r="13" spans="1:14" ht="12.75">
      <c r="A13" s="30"/>
      <c r="B13" s="140" t="s">
        <v>593</v>
      </c>
      <c r="C13" s="141" t="s">
        <v>521</v>
      </c>
      <c r="D13" s="691"/>
      <c r="E13" s="692"/>
      <c r="F13" s="693">
        <v>100000</v>
      </c>
      <c r="G13" s="691"/>
      <c r="H13" s="694"/>
      <c r="I13" s="694"/>
      <c r="J13" s="692"/>
      <c r="K13" s="693"/>
      <c r="L13" s="695">
        <f t="shared" si="0"/>
        <v>100000</v>
      </c>
      <c r="M13" s="31"/>
      <c r="N13" s="197"/>
    </row>
    <row r="14" spans="1:14" ht="12.75">
      <c r="A14" s="30"/>
      <c r="B14" s="140" t="s">
        <v>594</v>
      </c>
      <c r="C14" s="141" t="s">
        <v>522</v>
      </c>
      <c r="D14" s="691"/>
      <c r="E14" s="692"/>
      <c r="F14" s="693">
        <v>15052370</v>
      </c>
      <c r="G14" s="691"/>
      <c r="H14" s="694"/>
      <c r="I14" s="694"/>
      <c r="J14" s="692"/>
      <c r="K14" s="693"/>
      <c r="L14" s="695">
        <f t="shared" si="0"/>
        <v>15052370</v>
      </c>
      <c r="M14" s="31"/>
      <c r="N14" s="197"/>
    </row>
    <row r="15" spans="1:256" ht="12.75">
      <c r="A15" s="142"/>
      <c r="B15" s="143" t="s">
        <v>595</v>
      </c>
      <c r="C15" s="147" t="s">
        <v>135</v>
      </c>
      <c r="D15" s="688"/>
      <c r="E15" s="686"/>
      <c r="F15" s="687">
        <v>13776653</v>
      </c>
      <c r="G15" s="688"/>
      <c r="H15" s="689"/>
      <c r="I15" s="689"/>
      <c r="J15" s="686"/>
      <c r="K15" s="687"/>
      <c r="L15" s="690">
        <f>F15+K15</f>
        <v>13776653</v>
      </c>
      <c r="M15" s="145"/>
      <c r="N15" s="197">
        <f>SUM(L15)</f>
        <v>13776653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  <c r="IS15" s="146"/>
      <c r="IT15" s="146"/>
      <c r="IU15" s="146"/>
      <c r="IV15" s="146"/>
    </row>
    <row r="16" spans="1:256" ht="12.75">
      <c r="A16" s="142"/>
      <c r="B16" s="143" t="s">
        <v>596</v>
      </c>
      <c r="C16" s="147" t="s">
        <v>108</v>
      </c>
      <c r="D16" s="688">
        <v>300</v>
      </c>
      <c r="E16" s="686">
        <v>2550</v>
      </c>
      <c r="F16" s="687">
        <f>D16*E16</f>
        <v>765000</v>
      </c>
      <c r="G16" s="688"/>
      <c r="H16" s="689"/>
      <c r="I16" s="689"/>
      <c r="J16" s="686"/>
      <c r="K16" s="687"/>
      <c r="L16" s="690">
        <f>F16+K16</f>
        <v>765000</v>
      </c>
      <c r="M16" s="145"/>
      <c r="N16" s="197">
        <f>SUM(L16)</f>
        <v>765000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</row>
    <row r="17" spans="1:256" ht="12.75">
      <c r="A17" s="142"/>
      <c r="B17" s="143" t="s">
        <v>1011</v>
      </c>
      <c r="C17" s="147" t="s">
        <v>728</v>
      </c>
      <c r="D17" s="688"/>
      <c r="E17" s="686"/>
      <c r="F17" s="687">
        <v>275336</v>
      </c>
      <c r="G17" s="688"/>
      <c r="H17" s="689"/>
      <c r="I17" s="689"/>
      <c r="J17" s="686"/>
      <c r="K17" s="687"/>
      <c r="L17" s="690">
        <f>F17+K17</f>
        <v>275336</v>
      </c>
      <c r="M17" s="145"/>
      <c r="N17" s="197">
        <f>SUM(L17)</f>
        <v>275336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</row>
    <row r="18" spans="1:256" ht="12.75">
      <c r="A18" s="142"/>
      <c r="B18" s="143" t="s">
        <v>597</v>
      </c>
      <c r="C18" s="147" t="s">
        <v>1012</v>
      </c>
      <c r="D18" s="688"/>
      <c r="E18" s="686"/>
      <c r="F18" s="687">
        <v>1000000</v>
      </c>
      <c r="G18" s="688"/>
      <c r="H18" s="689"/>
      <c r="I18" s="689"/>
      <c r="J18" s="686"/>
      <c r="K18" s="687"/>
      <c r="L18" s="690">
        <f>F18+K18</f>
        <v>1000000</v>
      </c>
      <c r="M18" s="145"/>
      <c r="N18" s="197">
        <f>SUM(L18)</f>
        <v>1000000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</row>
    <row r="19" spans="1:14" ht="12.75">
      <c r="A19" s="151" t="s">
        <v>523</v>
      </c>
      <c r="B19" s="158"/>
      <c r="C19" s="153" t="s">
        <v>136</v>
      </c>
      <c r="D19" s="696"/>
      <c r="E19" s="697"/>
      <c r="F19" s="156"/>
      <c r="G19" s="696"/>
      <c r="H19" s="698"/>
      <c r="I19" s="698"/>
      <c r="J19" s="697"/>
      <c r="K19" s="156">
        <f>K20+K26+K27+K28+K32</f>
        <v>132749586</v>
      </c>
      <c r="L19" s="174">
        <f>F19+K19</f>
        <v>132749586</v>
      </c>
      <c r="M19" s="31"/>
      <c r="N19" s="176">
        <f>SUM(N26:N28,N25+N24+N20+N32)</f>
        <v>132749586</v>
      </c>
    </row>
    <row r="20" spans="1:256" ht="25.5">
      <c r="A20" s="150"/>
      <c r="B20" s="143" t="s">
        <v>525</v>
      </c>
      <c r="C20" s="144" t="s">
        <v>137</v>
      </c>
      <c r="D20" s="688"/>
      <c r="E20" s="686"/>
      <c r="F20" s="687"/>
      <c r="G20" s="688"/>
      <c r="H20" s="689"/>
      <c r="I20" s="689"/>
      <c r="J20" s="686"/>
      <c r="K20" s="687">
        <f>SUM(K21:K25)</f>
        <v>106074369</v>
      </c>
      <c r="L20" s="690">
        <f>SUM(K20,F20)</f>
        <v>106074369</v>
      </c>
      <c r="M20" s="145"/>
      <c r="N20" s="197">
        <f>SUM(L21:L25)</f>
        <v>106074369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</row>
    <row r="21" spans="1:14" ht="12.75">
      <c r="A21" s="30"/>
      <c r="B21" s="140" t="s">
        <v>527</v>
      </c>
      <c r="C21" s="141" t="s">
        <v>526</v>
      </c>
      <c r="D21" s="691"/>
      <c r="E21" s="692"/>
      <c r="F21" s="693"/>
      <c r="G21" s="699">
        <v>18.7</v>
      </c>
      <c r="H21" s="694">
        <v>4469900</v>
      </c>
      <c r="I21" s="700">
        <v>14.9</v>
      </c>
      <c r="J21" s="694">
        <v>4469900</v>
      </c>
      <c r="K21" s="693">
        <f>55724753+22200503</f>
        <v>77925256</v>
      </c>
      <c r="L21" s="695">
        <f aca="true" t="shared" si="1" ref="L21:L45">F21+K21</f>
        <v>77925256</v>
      </c>
      <c r="M21" s="31"/>
      <c r="N21" s="197"/>
    </row>
    <row r="22" spans="1:14" ht="25.5">
      <c r="A22" s="30"/>
      <c r="B22" s="140" t="s">
        <v>528</v>
      </c>
      <c r="C22" s="180" t="s">
        <v>663</v>
      </c>
      <c r="D22" s="691"/>
      <c r="E22" s="692"/>
      <c r="F22" s="693"/>
      <c r="G22" s="691">
        <v>14</v>
      </c>
      <c r="H22" s="694">
        <v>1800000</v>
      </c>
      <c r="I22" s="694">
        <v>13</v>
      </c>
      <c r="J22" s="692">
        <v>1800000</v>
      </c>
      <c r="K22" s="693">
        <f>16800000+7800000</f>
        <v>24600000</v>
      </c>
      <c r="L22" s="695">
        <f t="shared" si="1"/>
        <v>24600000</v>
      </c>
      <c r="M22" s="31"/>
      <c r="N22" s="197"/>
    </row>
    <row r="23" spans="1:14" ht="25.5">
      <c r="A23" s="30"/>
      <c r="B23" s="140" t="s">
        <v>138</v>
      </c>
      <c r="C23" s="180" t="s">
        <v>662</v>
      </c>
      <c r="D23" s="691"/>
      <c r="E23" s="692"/>
      <c r="F23" s="693"/>
      <c r="G23" s="691">
        <v>1</v>
      </c>
      <c r="H23" s="694">
        <v>4469900</v>
      </c>
      <c r="I23" s="694">
        <v>0</v>
      </c>
      <c r="J23" s="692">
        <v>4469900</v>
      </c>
      <c r="K23" s="693">
        <f>2979933+0</f>
        <v>2979933</v>
      </c>
      <c r="L23" s="695">
        <f t="shared" si="1"/>
        <v>2979933</v>
      </c>
      <c r="M23" s="31"/>
      <c r="N23" s="197"/>
    </row>
    <row r="24" spans="1:14" ht="12.75">
      <c r="A24" s="30"/>
      <c r="B24" s="140" t="s">
        <v>659</v>
      </c>
      <c r="C24" s="180" t="s">
        <v>660</v>
      </c>
      <c r="D24" s="691"/>
      <c r="E24" s="692"/>
      <c r="F24" s="693"/>
      <c r="G24" s="691"/>
      <c r="H24" s="694"/>
      <c r="I24" s="700">
        <v>14.9</v>
      </c>
      <c r="J24" s="692">
        <v>38200</v>
      </c>
      <c r="K24" s="693">
        <f>I24*J24</f>
        <v>569180</v>
      </c>
      <c r="L24" s="695">
        <f t="shared" si="1"/>
        <v>569180</v>
      </c>
      <c r="M24" s="31"/>
      <c r="N24" s="197"/>
    </row>
    <row r="25" spans="1:14" ht="25.5">
      <c r="A25" s="30"/>
      <c r="B25" s="140" t="s">
        <v>659</v>
      </c>
      <c r="C25" s="180" t="s">
        <v>661</v>
      </c>
      <c r="D25" s="691"/>
      <c r="E25" s="692"/>
      <c r="F25" s="693"/>
      <c r="G25" s="691"/>
      <c r="H25" s="694"/>
      <c r="I25" s="700">
        <v>0</v>
      </c>
      <c r="J25" s="692">
        <v>35000</v>
      </c>
      <c r="K25" s="693">
        <f>I25*J25</f>
        <v>0</v>
      </c>
      <c r="L25" s="695">
        <f t="shared" si="1"/>
        <v>0</v>
      </c>
      <c r="M25" s="31"/>
      <c r="N25" s="197"/>
    </row>
    <row r="26" spans="1:256" ht="12.75">
      <c r="A26" s="142"/>
      <c r="B26" s="143" t="s">
        <v>529</v>
      </c>
      <c r="C26" s="147" t="s">
        <v>530</v>
      </c>
      <c r="D26" s="701"/>
      <c r="E26" s="702"/>
      <c r="F26" s="687"/>
      <c r="G26" s="703">
        <v>200</v>
      </c>
      <c r="H26" s="689">
        <v>81700</v>
      </c>
      <c r="I26" s="704">
        <v>168</v>
      </c>
      <c r="J26" s="686">
        <v>81700</v>
      </c>
      <c r="K26" s="687">
        <f>10893333+4575200</f>
        <v>15468533</v>
      </c>
      <c r="L26" s="690">
        <f t="shared" si="1"/>
        <v>15468533</v>
      </c>
      <c r="M26" s="145"/>
      <c r="N26" s="197">
        <f>SUM(L26)</f>
        <v>15468533</v>
      </c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  <c r="IR26" s="146"/>
      <c r="IS26" s="146"/>
      <c r="IT26" s="146"/>
      <c r="IU26" s="146"/>
      <c r="IV26" s="146"/>
    </row>
    <row r="27" spans="1:256" ht="12.75">
      <c r="A27" s="142"/>
      <c r="B27" s="143" t="s">
        <v>722</v>
      </c>
      <c r="C27" s="147" t="s">
        <v>723</v>
      </c>
      <c r="D27" s="705"/>
      <c r="E27" s="706"/>
      <c r="F27" s="687"/>
      <c r="G27" s="703"/>
      <c r="H27" s="689"/>
      <c r="I27" s="704"/>
      <c r="J27" s="686"/>
      <c r="K27" s="687">
        <v>0</v>
      </c>
      <c r="L27" s="690">
        <f>F27+K27</f>
        <v>0</v>
      </c>
      <c r="M27" s="145"/>
      <c r="N27" s="197">
        <f>SUM(L27)</f>
        <v>0</v>
      </c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  <c r="IU27" s="146"/>
      <c r="IV27" s="146"/>
    </row>
    <row r="28" spans="1:256" ht="25.5">
      <c r="A28" s="142"/>
      <c r="B28" s="143" t="s">
        <v>598</v>
      </c>
      <c r="C28" s="144" t="s">
        <v>599</v>
      </c>
      <c r="D28" s="701"/>
      <c r="E28" s="702"/>
      <c r="F28" s="687"/>
      <c r="G28" s="703"/>
      <c r="H28" s="689"/>
      <c r="I28" s="704"/>
      <c r="J28" s="686"/>
      <c r="K28" s="687">
        <f>SUM(K29:K31)</f>
        <v>6068684</v>
      </c>
      <c r="L28" s="690">
        <f>F28+K28</f>
        <v>6068684</v>
      </c>
      <c r="M28" s="145"/>
      <c r="N28" s="197">
        <f>SUM(L29:L31)</f>
        <v>6068684</v>
      </c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  <c r="IT28" s="146"/>
      <c r="IU28" s="146"/>
      <c r="IV28" s="146"/>
    </row>
    <row r="29" spans="1:14" ht="12.75">
      <c r="A29" s="30"/>
      <c r="B29" s="140" t="s">
        <v>724</v>
      </c>
      <c r="C29" s="141" t="s">
        <v>905</v>
      </c>
      <c r="D29" s="691"/>
      <c r="E29" s="692"/>
      <c r="F29" s="693"/>
      <c r="G29" s="691">
        <v>9</v>
      </c>
      <c r="H29" s="694">
        <v>418900</v>
      </c>
      <c r="I29" s="694"/>
      <c r="J29" s="692"/>
      <c r="K29" s="693">
        <f>G29*H29</f>
        <v>3770100</v>
      </c>
      <c r="L29" s="695">
        <f>SUM(K29)</f>
        <v>3770100</v>
      </c>
      <c r="M29" s="31"/>
      <c r="N29" s="197"/>
    </row>
    <row r="30" spans="1:14" ht="12.75">
      <c r="A30" s="30"/>
      <c r="B30" s="140"/>
      <c r="C30" s="141" t="s">
        <v>1014</v>
      </c>
      <c r="D30" s="691"/>
      <c r="E30" s="692"/>
      <c r="F30" s="693"/>
      <c r="G30" s="691">
        <v>2</v>
      </c>
      <c r="H30" s="694">
        <v>383992</v>
      </c>
      <c r="I30" s="694"/>
      <c r="J30" s="692"/>
      <c r="K30" s="693">
        <f>G30*H30</f>
        <v>767984</v>
      </c>
      <c r="L30" s="695">
        <f>SUM(K30)</f>
        <v>767984</v>
      </c>
      <c r="M30" s="31"/>
      <c r="N30" s="197"/>
    </row>
    <row r="31" spans="1:14" ht="12.75">
      <c r="A31" s="30"/>
      <c r="B31" s="140" t="s">
        <v>725</v>
      </c>
      <c r="C31" s="141" t="s">
        <v>726</v>
      </c>
      <c r="D31" s="691"/>
      <c r="E31" s="692"/>
      <c r="F31" s="693"/>
      <c r="G31" s="691">
        <v>1</v>
      </c>
      <c r="H31" s="694">
        <v>1530600</v>
      </c>
      <c r="I31" s="694"/>
      <c r="J31" s="692"/>
      <c r="K31" s="693">
        <f>G31*H31</f>
        <v>1530600</v>
      </c>
      <c r="L31" s="695">
        <f>SUM(K31)</f>
        <v>1530600</v>
      </c>
      <c r="M31" s="31"/>
      <c r="N31" s="197"/>
    </row>
    <row r="32" spans="1:14" s="146" customFormat="1" ht="25.5">
      <c r="A32" s="142"/>
      <c r="B32" s="143"/>
      <c r="C32" s="144" t="s">
        <v>1058</v>
      </c>
      <c r="D32" s="688"/>
      <c r="E32" s="686"/>
      <c r="F32" s="687"/>
      <c r="G32" s="688"/>
      <c r="H32" s="689"/>
      <c r="I32" s="689"/>
      <c r="J32" s="686"/>
      <c r="K32" s="687">
        <v>5138000</v>
      </c>
      <c r="L32" s="690">
        <f>F32+K32</f>
        <v>5138000</v>
      </c>
      <c r="M32" s="145"/>
      <c r="N32" s="197">
        <f>SUM(L32)</f>
        <v>5138000</v>
      </c>
    </row>
    <row r="33" spans="1:256" ht="25.5">
      <c r="A33" s="151" t="s">
        <v>531</v>
      </c>
      <c r="B33" s="159"/>
      <c r="C33" s="153" t="s">
        <v>139</v>
      </c>
      <c r="D33" s="154"/>
      <c r="E33" s="155"/>
      <c r="F33" s="156">
        <f>SUM(F34:F36,F39)</f>
        <v>135839346</v>
      </c>
      <c r="G33" s="707"/>
      <c r="H33" s="157"/>
      <c r="I33" s="708"/>
      <c r="J33" s="155"/>
      <c r="K33" s="156">
        <f>SUM(K34:K36,K39)</f>
        <v>23664345</v>
      </c>
      <c r="L33" s="174">
        <f t="shared" si="1"/>
        <v>159503691</v>
      </c>
      <c r="M33" s="145"/>
      <c r="N33" s="176">
        <f>SUM(N34:N36)+N39</f>
        <v>159503691</v>
      </c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</row>
    <row r="34" spans="1:256" ht="12.75">
      <c r="A34" s="142"/>
      <c r="B34" s="143" t="s">
        <v>532</v>
      </c>
      <c r="C34" s="147" t="s">
        <v>727</v>
      </c>
      <c r="D34" s="701"/>
      <c r="E34" s="702"/>
      <c r="F34" s="687"/>
      <c r="G34" s="703"/>
      <c r="H34" s="689"/>
      <c r="I34" s="704"/>
      <c r="J34" s="686"/>
      <c r="K34" s="687">
        <v>6864345</v>
      </c>
      <c r="L34" s="690">
        <f t="shared" si="1"/>
        <v>6864345</v>
      </c>
      <c r="M34" s="145"/>
      <c r="N34" s="197">
        <f>SUM(L34)</f>
        <v>6864345</v>
      </c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  <c r="IS34" s="146"/>
      <c r="IT34" s="146"/>
      <c r="IU34" s="146"/>
      <c r="IV34" s="146"/>
    </row>
    <row r="35" spans="1:256" ht="12.75">
      <c r="A35" s="142"/>
      <c r="B35" s="143" t="s">
        <v>533</v>
      </c>
      <c r="C35" s="147" t="s">
        <v>600</v>
      </c>
      <c r="D35" s="701"/>
      <c r="E35" s="702"/>
      <c r="F35" s="687">
        <v>54007000</v>
      </c>
      <c r="G35" s="703"/>
      <c r="H35" s="689"/>
      <c r="I35" s="704"/>
      <c r="J35" s="686"/>
      <c r="K35" s="687"/>
      <c r="L35" s="690">
        <f t="shared" si="1"/>
        <v>54007000</v>
      </c>
      <c r="M35" s="145"/>
      <c r="N35" s="197">
        <f>SUM(L35)</f>
        <v>54007000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6"/>
      <c r="HX35" s="146"/>
      <c r="HY35" s="146"/>
      <c r="HZ35" s="146"/>
      <c r="IA35" s="146"/>
      <c r="IB35" s="146"/>
      <c r="IC35" s="146"/>
      <c r="ID35" s="146"/>
      <c r="IE35" s="146"/>
      <c r="IF35" s="146"/>
      <c r="IG35" s="146"/>
      <c r="IH35" s="146"/>
      <c r="II35" s="146"/>
      <c r="IJ35" s="146"/>
      <c r="IK35" s="146"/>
      <c r="IL35" s="146"/>
      <c r="IM35" s="146"/>
      <c r="IN35" s="146"/>
      <c r="IO35" s="146"/>
      <c r="IP35" s="146"/>
      <c r="IQ35" s="146"/>
      <c r="IR35" s="146"/>
      <c r="IS35" s="146"/>
      <c r="IT35" s="146"/>
      <c r="IU35" s="146"/>
      <c r="IV35" s="146"/>
    </row>
    <row r="36" spans="1:256" ht="12.75">
      <c r="A36" s="142"/>
      <c r="B36" s="143" t="s">
        <v>534</v>
      </c>
      <c r="C36" s="147" t="s">
        <v>535</v>
      </c>
      <c r="D36" s="701"/>
      <c r="E36" s="702"/>
      <c r="F36" s="687">
        <f>SUM(F37:F38)</f>
        <v>0</v>
      </c>
      <c r="G36" s="703"/>
      <c r="H36" s="689"/>
      <c r="I36" s="704"/>
      <c r="J36" s="686"/>
      <c r="K36" s="687">
        <f>SUM(K37:K38)</f>
        <v>16800000</v>
      </c>
      <c r="L36" s="690">
        <f t="shared" si="1"/>
        <v>16800000</v>
      </c>
      <c r="M36" s="145"/>
      <c r="N36" s="197">
        <f>SUM(L37:L38)</f>
        <v>16800000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  <c r="IP36" s="146"/>
      <c r="IQ36" s="146"/>
      <c r="IR36" s="146"/>
      <c r="IS36" s="146"/>
      <c r="IT36" s="146"/>
      <c r="IU36" s="146"/>
      <c r="IV36" s="146"/>
    </row>
    <row r="37" spans="1:14" ht="12.75">
      <c r="A37" s="30"/>
      <c r="B37" s="140" t="s">
        <v>664</v>
      </c>
      <c r="C37" s="141" t="s">
        <v>665</v>
      </c>
      <c r="D37" s="691"/>
      <c r="E37" s="692"/>
      <c r="F37" s="693"/>
      <c r="G37" s="709"/>
      <c r="H37" s="694"/>
      <c r="I37" s="710"/>
      <c r="J37" s="692"/>
      <c r="K37" s="693">
        <v>3300000</v>
      </c>
      <c r="L37" s="695">
        <f t="shared" si="1"/>
        <v>3300000</v>
      </c>
      <c r="M37" s="31"/>
      <c r="N37" s="31"/>
    </row>
    <row r="38" spans="1:14" ht="12.75">
      <c r="A38" s="30"/>
      <c r="B38" s="140" t="s">
        <v>667</v>
      </c>
      <c r="C38" s="141" t="s">
        <v>666</v>
      </c>
      <c r="D38" s="691"/>
      <c r="E38" s="692"/>
      <c r="F38" s="693"/>
      <c r="G38" s="709"/>
      <c r="H38" s="694"/>
      <c r="I38" s="710"/>
      <c r="J38" s="692"/>
      <c r="K38" s="693">
        <v>13500000</v>
      </c>
      <c r="L38" s="695">
        <f t="shared" si="1"/>
        <v>13500000</v>
      </c>
      <c r="M38" s="31"/>
      <c r="N38" s="31"/>
    </row>
    <row r="39" spans="1:256" ht="12.75">
      <c r="A39" s="142"/>
      <c r="B39" s="143" t="s">
        <v>140</v>
      </c>
      <c r="C39" s="147" t="s">
        <v>141</v>
      </c>
      <c r="D39" s="701"/>
      <c r="E39" s="702"/>
      <c r="F39" s="687">
        <f>SUM(F40:F42)</f>
        <v>81832346</v>
      </c>
      <c r="G39" s="703"/>
      <c r="H39" s="689"/>
      <c r="I39" s="704"/>
      <c r="J39" s="686"/>
      <c r="K39" s="687">
        <f>SUM(K40:K42)</f>
        <v>0</v>
      </c>
      <c r="L39" s="690">
        <f t="shared" si="1"/>
        <v>81832346</v>
      </c>
      <c r="M39" s="145"/>
      <c r="N39" s="197">
        <f>SUM(L40:L42)</f>
        <v>81832346</v>
      </c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</row>
    <row r="40" spans="1:14" ht="12.75">
      <c r="A40" s="30"/>
      <c r="B40" s="140" t="s">
        <v>602</v>
      </c>
      <c r="C40" s="180" t="s">
        <v>601</v>
      </c>
      <c r="D40" s="711">
        <v>13.73</v>
      </c>
      <c r="E40" s="712">
        <v>1632000</v>
      </c>
      <c r="F40" s="693">
        <f>E40*D40</f>
        <v>22407360</v>
      </c>
      <c r="G40" s="699"/>
      <c r="H40" s="694"/>
      <c r="I40" s="700"/>
      <c r="J40" s="692"/>
      <c r="K40" s="693"/>
      <c r="L40" s="713">
        <f t="shared" si="1"/>
        <v>22407360</v>
      </c>
      <c r="M40" s="31"/>
      <c r="N40" s="197"/>
    </row>
    <row r="41" spans="1:14" ht="12.75">
      <c r="A41" s="30"/>
      <c r="B41" s="140" t="s">
        <v>142</v>
      </c>
      <c r="C41" s="180" t="s">
        <v>143</v>
      </c>
      <c r="D41" s="711"/>
      <c r="E41" s="692"/>
      <c r="F41" s="693">
        <f>47795749+9413647</f>
        <v>57209396</v>
      </c>
      <c r="G41" s="691"/>
      <c r="H41" s="694"/>
      <c r="I41" s="694"/>
      <c r="J41" s="692"/>
      <c r="K41" s="693"/>
      <c r="L41" s="713">
        <f>F41+K41</f>
        <v>57209396</v>
      </c>
      <c r="M41" s="31"/>
      <c r="N41" s="31"/>
    </row>
    <row r="42" spans="1:14" ht="12.75">
      <c r="A42" s="30"/>
      <c r="B42" s="140" t="s">
        <v>668</v>
      </c>
      <c r="C42" s="180" t="s">
        <v>669</v>
      </c>
      <c r="D42" s="691">
        <f>3955-68</f>
        <v>3887</v>
      </c>
      <c r="E42" s="692">
        <v>570</v>
      </c>
      <c r="F42" s="693">
        <f>D42*E42</f>
        <v>2215590</v>
      </c>
      <c r="G42" s="691"/>
      <c r="H42" s="694"/>
      <c r="I42" s="694"/>
      <c r="J42" s="692"/>
      <c r="K42" s="693"/>
      <c r="L42" s="713">
        <f t="shared" si="1"/>
        <v>2215590</v>
      </c>
      <c r="M42" s="31"/>
      <c r="N42" s="31"/>
    </row>
    <row r="43" spans="1:256" ht="12.75">
      <c r="A43" s="151" t="s">
        <v>537</v>
      </c>
      <c r="B43" s="159"/>
      <c r="C43" s="153" t="s">
        <v>516</v>
      </c>
      <c r="D43" s="154"/>
      <c r="E43" s="155"/>
      <c r="F43" s="156">
        <f>SUM(F45)</f>
        <v>10164240</v>
      </c>
      <c r="G43" s="707"/>
      <c r="H43" s="157"/>
      <c r="I43" s="708"/>
      <c r="J43" s="155"/>
      <c r="K43" s="156"/>
      <c r="L43" s="174">
        <f t="shared" si="1"/>
        <v>10164240</v>
      </c>
      <c r="M43" s="145"/>
      <c r="N43" s="176">
        <f>SUM(L45)</f>
        <v>10164240</v>
      </c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  <c r="GF43" s="146"/>
      <c r="GG43" s="146"/>
      <c r="GH43" s="146"/>
      <c r="GI43" s="146"/>
      <c r="GJ43" s="146"/>
      <c r="GK43" s="146"/>
      <c r="GL43" s="146"/>
      <c r="GM43" s="146"/>
      <c r="GN43" s="146"/>
      <c r="GO43" s="146"/>
      <c r="GP43" s="146"/>
      <c r="GQ43" s="146"/>
      <c r="GR43" s="146"/>
      <c r="GS43" s="146"/>
      <c r="GT43" s="146"/>
      <c r="GU43" s="146"/>
      <c r="GV43" s="146"/>
      <c r="GW43" s="146"/>
      <c r="GX43" s="146"/>
      <c r="GY43" s="146"/>
      <c r="GZ43" s="146"/>
      <c r="HA43" s="146"/>
      <c r="HB43" s="146"/>
      <c r="HC43" s="146"/>
      <c r="HD43" s="146"/>
      <c r="HE43" s="146"/>
      <c r="HF43" s="146"/>
      <c r="HG43" s="146"/>
      <c r="HH43" s="146"/>
      <c r="HI43" s="146"/>
      <c r="HJ43" s="146"/>
      <c r="HK43" s="146"/>
      <c r="HL43" s="146"/>
      <c r="HM43" s="146"/>
      <c r="HN43" s="146"/>
      <c r="HO43" s="146"/>
      <c r="HP43" s="146"/>
      <c r="HQ43" s="146"/>
      <c r="HR43" s="146"/>
      <c r="HS43" s="146"/>
      <c r="HT43" s="146"/>
      <c r="HU43" s="146"/>
      <c r="HV43" s="146"/>
      <c r="HW43" s="146"/>
      <c r="HX43" s="146"/>
      <c r="HY43" s="146"/>
      <c r="HZ43" s="146"/>
      <c r="IA43" s="146"/>
      <c r="IB43" s="146"/>
      <c r="IC43" s="146"/>
      <c r="ID43" s="146"/>
      <c r="IE43" s="146"/>
      <c r="IF43" s="146"/>
      <c r="IG43" s="146"/>
      <c r="IH43" s="146"/>
      <c r="II43" s="146"/>
      <c r="IJ43" s="146"/>
      <c r="IK43" s="146"/>
      <c r="IL43" s="146"/>
      <c r="IM43" s="146"/>
      <c r="IN43" s="146"/>
      <c r="IO43" s="146"/>
      <c r="IP43" s="146"/>
      <c r="IQ43" s="146"/>
      <c r="IR43" s="146"/>
      <c r="IS43" s="146"/>
      <c r="IT43" s="146"/>
      <c r="IU43" s="146"/>
      <c r="IV43" s="146"/>
    </row>
    <row r="44" spans="1:256" ht="12.75">
      <c r="A44" s="142"/>
      <c r="B44" s="143" t="s">
        <v>604</v>
      </c>
      <c r="C44" s="147" t="s">
        <v>605</v>
      </c>
      <c r="D44" s="701"/>
      <c r="E44" s="702"/>
      <c r="F44" s="687"/>
      <c r="G44" s="703"/>
      <c r="H44" s="689"/>
      <c r="I44" s="704"/>
      <c r="J44" s="686"/>
      <c r="K44" s="687"/>
      <c r="L44" s="690"/>
      <c r="M44" s="145"/>
      <c r="N44" s="197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  <c r="FT44" s="146"/>
      <c r="FU44" s="146"/>
      <c r="FV44" s="146"/>
      <c r="FW44" s="146"/>
      <c r="FX44" s="146"/>
      <c r="FY44" s="146"/>
      <c r="FZ44" s="146"/>
      <c r="GA44" s="146"/>
      <c r="GB44" s="146"/>
      <c r="GC44" s="146"/>
      <c r="GD44" s="146"/>
      <c r="GE44" s="146"/>
      <c r="GF44" s="146"/>
      <c r="GG44" s="146"/>
      <c r="GH44" s="146"/>
      <c r="GI44" s="146"/>
      <c r="GJ44" s="146"/>
      <c r="GK44" s="146"/>
      <c r="GL44" s="146"/>
      <c r="GM44" s="146"/>
      <c r="GN44" s="146"/>
      <c r="GO44" s="146"/>
      <c r="GP44" s="146"/>
      <c r="GQ44" s="146"/>
      <c r="GR44" s="146"/>
      <c r="GS44" s="146"/>
      <c r="GT44" s="146"/>
      <c r="GU44" s="146"/>
      <c r="GV44" s="146"/>
      <c r="GW44" s="146"/>
      <c r="GX44" s="146"/>
      <c r="GY44" s="146"/>
      <c r="GZ44" s="146"/>
      <c r="HA44" s="146"/>
      <c r="HB44" s="146"/>
      <c r="HC44" s="146"/>
      <c r="HD44" s="146"/>
      <c r="HE44" s="146"/>
      <c r="HF44" s="146"/>
      <c r="HG44" s="146"/>
      <c r="HH44" s="146"/>
      <c r="HI44" s="146"/>
      <c r="HJ44" s="146"/>
      <c r="HK44" s="146"/>
      <c r="HL44" s="146"/>
      <c r="HM44" s="146"/>
      <c r="HN44" s="146"/>
      <c r="HO44" s="146"/>
      <c r="HP44" s="146"/>
      <c r="HQ44" s="146"/>
      <c r="HR44" s="146"/>
      <c r="HS44" s="146"/>
      <c r="HT44" s="146"/>
      <c r="HU44" s="146"/>
      <c r="HV44" s="146"/>
      <c r="HW44" s="146"/>
      <c r="HX44" s="146"/>
      <c r="HY44" s="146"/>
      <c r="HZ44" s="146"/>
      <c r="IA44" s="146"/>
      <c r="IB44" s="146"/>
      <c r="IC44" s="146"/>
      <c r="ID44" s="146"/>
      <c r="IE44" s="146"/>
      <c r="IF44" s="146"/>
      <c r="IG44" s="146"/>
      <c r="IH44" s="146"/>
      <c r="II44" s="146"/>
      <c r="IJ44" s="146"/>
      <c r="IK44" s="146"/>
      <c r="IL44" s="146"/>
      <c r="IM44" s="146"/>
      <c r="IN44" s="146"/>
      <c r="IO44" s="146"/>
      <c r="IP44" s="146"/>
      <c r="IQ44" s="146"/>
      <c r="IR44" s="146"/>
      <c r="IS44" s="146"/>
      <c r="IT44" s="146"/>
      <c r="IU44" s="146"/>
      <c r="IV44" s="146"/>
    </row>
    <row r="45" spans="1:14" ht="25.5">
      <c r="A45" s="30"/>
      <c r="B45" s="140" t="s">
        <v>603</v>
      </c>
      <c r="C45" s="180" t="s">
        <v>144</v>
      </c>
      <c r="D45" s="691">
        <v>8916</v>
      </c>
      <c r="E45" s="692">
        <v>1140</v>
      </c>
      <c r="F45" s="693">
        <f>D45*E45</f>
        <v>10164240</v>
      </c>
      <c r="G45" s="714"/>
      <c r="H45" s="715"/>
      <c r="I45" s="710"/>
      <c r="J45" s="712"/>
      <c r="K45" s="693"/>
      <c r="L45" s="695">
        <f t="shared" si="1"/>
        <v>10164240</v>
      </c>
      <c r="M45" s="31"/>
      <c r="N45" s="31"/>
    </row>
    <row r="46" spans="1:256" ht="15">
      <c r="A46" s="1162" t="s">
        <v>540</v>
      </c>
      <c r="B46" s="1162"/>
      <c r="C46" s="1163"/>
      <c r="D46" s="716" t="s">
        <v>507</v>
      </c>
      <c r="E46" s="717" t="s">
        <v>507</v>
      </c>
      <c r="F46" s="718">
        <f>SUM(F43,F33,F19,F8)</f>
        <v>346635295</v>
      </c>
      <c r="G46" s="716" t="s">
        <v>507</v>
      </c>
      <c r="H46" s="719" t="s">
        <v>507</v>
      </c>
      <c r="I46" s="719" t="s">
        <v>507</v>
      </c>
      <c r="J46" s="717" t="s">
        <v>507</v>
      </c>
      <c r="K46" s="718">
        <f>SUM(K43,K33,K19,K8)</f>
        <v>156413931</v>
      </c>
      <c r="L46" s="720">
        <f>SUM(L43,L33,L19,L8)</f>
        <v>503049226</v>
      </c>
      <c r="M46" s="33"/>
      <c r="N46" s="34">
        <f>SUM(N43,N33,N19,N8)</f>
        <v>503049226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4:12" ht="12.75">
      <c r="D47" s="721"/>
      <c r="E47" s="721"/>
      <c r="F47" s="721"/>
      <c r="G47" s="721"/>
      <c r="H47" s="721"/>
      <c r="I47" s="721"/>
      <c r="J47" s="721"/>
      <c r="K47" s="721"/>
      <c r="L47" s="721"/>
    </row>
    <row r="48" spans="1:12" ht="12.75">
      <c r="A48" s="753"/>
      <c r="B48" s="754"/>
      <c r="C48" s="756" t="s">
        <v>933</v>
      </c>
      <c r="D48" s="758"/>
      <c r="E48" s="755"/>
      <c r="F48" s="693">
        <v>1835612</v>
      </c>
      <c r="G48" s="757"/>
      <c r="H48" s="755"/>
      <c r="I48" s="755"/>
      <c r="J48" s="755"/>
      <c r="K48" s="759"/>
      <c r="L48" s="695">
        <f>F48+K48</f>
        <v>1835612</v>
      </c>
    </row>
    <row r="49" spans="1:12" ht="12.75">
      <c r="A49" s="753" t="s">
        <v>524</v>
      </c>
      <c r="B49" s="754" t="s">
        <v>975</v>
      </c>
      <c r="C49" s="756" t="s">
        <v>974</v>
      </c>
      <c r="D49" s="758"/>
      <c r="E49" s="755"/>
      <c r="F49" s="693">
        <v>6949788</v>
      </c>
      <c r="G49" s="757"/>
      <c r="H49" s="755"/>
      <c r="I49" s="755"/>
      <c r="J49" s="755"/>
      <c r="K49" s="759"/>
      <c r="L49" s="695">
        <f>F49+K49</f>
        <v>6949788</v>
      </c>
    </row>
    <row r="50" spans="1:12" ht="12.75">
      <c r="A50" s="753"/>
      <c r="B50" s="754"/>
      <c r="C50" s="756" t="s">
        <v>943</v>
      </c>
      <c r="D50" s="758"/>
      <c r="E50" s="755"/>
      <c r="F50" s="693">
        <v>1614100</v>
      </c>
      <c r="G50" s="757"/>
      <c r="H50" s="755"/>
      <c r="I50" s="755"/>
      <c r="J50" s="755"/>
      <c r="K50" s="759"/>
      <c r="L50" s="695">
        <f>F50+K50</f>
        <v>1614100</v>
      </c>
    </row>
    <row r="51" spans="1:12" ht="12.75">
      <c r="A51" s="753"/>
      <c r="B51" s="754"/>
      <c r="C51" s="756" t="s">
        <v>1013</v>
      </c>
      <c r="D51" s="758"/>
      <c r="E51" s="755"/>
      <c r="F51" s="693">
        <v>4556666</v>
      </c>
      <c r="G51" s="757"/>
      <c r="H51" s="755"/>
      <c r="I51" s="755"/>
      <c r="J51" s="755"/>
      <c r="K51" s="759"/>
      <c r="L51" s="695">
        <f>F51+K51</f>
        <v>4556666</v>
      </c>
    </row>
    <row r="52" spans="1:12" ht="12.75">
      <c r="A52" s="753" t="s">
        <v>1015</v>
      </c>
      <c r="B52" s="754"/>
      <c r="C52" s="756" t="s">
        <v>1016</v>
      </c>
      <c r="D52" s="758"/>
      <c r="E52" s="755"/>
      <c r="F52" s="693">
        <v>18133038</v>
      </c>
      <c r="G52" s="757"/>
      <c r="H52" s="755"/>
      <c r="I52" s="755"/>
      <c r="J52" s="755"/>
      <c r="K52" s="759"/>
      <c r="L52" s="695">
        <f>F52+K52</f>
        <v>18133038</v>
      </c>
    </row>
    <row r="53" spans="1:256" ht="15">
      <c r="A53" s="1162" t="s">
        <v>976</v>
      </c>
      <c r="B53" s="1162"/>
      <c r="C53" s="1163"/>
      <c r="D53" s="716" t="s">
        <v>507</v>
      </c>
      <c r="E53" s="717" t="s">
        <v>507</v>
      </c>
      <c r="F53" s="718">
        <f>SUM(F48:F52)</f>
        <v>33089204</v>
      </c>
      <c r="G53" s="716" t="s">
        <v>507</v>
      </c>
      <c r="H53" s="719" t="s">
        <v>507</v>
      </c>
      <c r="I53" s="719" t="s">
        <v>507</v>
      </c>
      <c r="J53" s="717" t="s">
        <v>507</v>
      </c>
      <c r="K53" s="760" t="s">
        <v>507</v>
      </c>
      <c r="L53" s="761">
        <f>F53</f>
        <v>33089204</v>
      </c>
      <c r="M53" s="33"/>
      <c r="N53" s="34">
        <f>SUM(L48:L52)</f>
        <v>33089204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4:12" ht="12.75">
      <c r="D54" s="721"/>
      <c r="E54" s="721"/>
      <c r="F54" s="693"/>
      <c r="G54" s="721"/>
      <c r="H54" s="721"/>
      <c r="I54" s="721"/>
      <c r="J54" s="721"/>
      <c r="K54" s="721"/>
      <c r="L54" s="721"/>
    </row>
    <row r="55" spans="1:256" ht="16.5">
      <c r="A55" s="1164" t="s">
        <v>145</v>
      </c>
      <c r="B55" s="1164"/>
      <c r="C55" s="1165"/>
      <c r="D55" s="722" t="s">
        <v>507</v>
      </c>
      <c r="E55" s="723" t="s">
        <v>507</v>
      </c>
      <c r="F55" s="724">
        <f>SUM(F46+F53)</f>
        <v>379724499</v>
      </c>
      <c r="G55" s="722" t="s">
        <v>507</v>
      </c>
      <c r="H55" s="725" t="s">
        <v>507</v>
      </c>
      <c r="I55" s="725" t="s">
        <v>507</v>
      </c>
      <c r="J55" s="723" t="s">
        <v>507</v>
      </c>
      <c r="K55" s="724">
        <f>SUM(K46)</f>
        <v>156413931</v>
      </c>
      <c r="L55" s="724">
        <f>SUM(L46+L53)</f>
        <v>536138430</v>
      </c>
      <c r="M55" s="33"/>
      <c r="N55" s="34">
        <f>SUM(K55+F55)</f>
        <v>536138430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</sheetData>
  <sheetProtection/>
  <mergeCells count="11">
    <mergeCell ref="A55:C55"/>
    <mergeCell ref="L5:L6"/>
    <mergeCell ref="A6:B6"/>
    <mergeCell ref="A7:B7"/>
    <mergeCell ref="A2:K2"/>
    <mergeCell ref="A3:K3"/>
    <mergeCell ref="A5:C5"/>
    <mergeCell ref="D5:F5"/>
    <mergeCell ref="G5:K5"/>
    <mergeCell ref="A53:C53"/>
    <mergeCell ref="A46:C46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T48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1" sqref="B1:K1"/>
    </sheetView>
  </sheetViews>
  <sheetFormatPr defaultColWidth="9.00390625" defaultRowHeight="12.75"/>
  <cols>
    <col min="1" max="1" width="4.625" style="762" customWidth="1"/>
    <col min="2" max="2" width="36.125" style="207" customWidth="1"/>
    <col min="3" max="3" width="15.00390625" style="207" customWidth="1"/>
    <col min="4" max="4" width="11.125" style="207" bestFit="1" customWidth="1"/>
    <col min="5" max="5" width="11.875" style="207" customWidth="1"/>
    <col min="6" max="6" width="11.75390625" style="207" customWidth="1"/>
    <col min="7" max="8" width="11.25390625" style="207" customWidth="1"/>
    <col min="9" max="9" width="11.75390625" style="207" customWidth="1"/>
    <col min="10" max="10" width="15.375" style="207" customWidth="1"/>
    <col min="11" max="11" width="16.625" style="207" customWidth="1"/>
  </cols>
  <sheetData>
    <row r="1" spans="2:11" ht="15">
      <c r="B1" s="1190" t="s">
        <v>1086</v>
      </c>
      <c r="C1" s="1190"/>
      <c r="D1" s="1190"/>
      <c r="E1" s="1190"/>
      <c r="F1" s="1190"/>
      <c r="G1" s="1190"/>
      <c r="H1" s="1190"/>
      <c r="I1" s="1190"/>
      <c r="J1" s="1190"/>
      <c r="K1" s="1190"/>
    </row>
    <row r="4" spans="2:11" ht="39" customHeight="1">
      <c r="B4" s="1191" t="s">
        <v>1022</v>
      </c>
      <c r="C4" s="1191"/>
      <c r="D4" s="1191"/>
      <c r="E4" s="1191"/>
      <c r="F4" s="1191"/>
      <c r="G4" s="1191"/>
      <c r="H4" s="1191"/>
      <c r="I4" s="1191"/>
      <c r="J4" s="1191"/>
      <c r="K4" s="1191"/>
    </row>
    <row r="7" ht="13.5" thickBot="1"/>
    <row r="8" spans="1:11" ht="12.75">
      <c r="A8" s="1201" t="s">
        <v>484</v>
      </c>
      <c r="B8" s="1204" t="s">
        <v>397</v>
      </c>
      <c r="C8" s="1192" t="s">
        <v>982</v>
      </c>
      <c r="D8" s="1193"/>
      <c r="E8" s="1193"/>
      <c r="F8" s="1193"/>
      <c r="G8" s="1193"/>
      <c r="H8" s="1194"/>
      <c r="I8" s="1194"/>
      <c r="J8" s="1195" t="s">
        <v>1024</v>
      </c>
      <c r="K8" s="1195" t="s">
        <v>1026</v>
      </c>
    </row>
    <row r="9" spans="1:11" ht="12.75">
      <c r="A9" s="1202"/>
      <c r="B9" s="1205"/>
      <c r="C9" s="1207" t="s">
        <v>472</v>
      </c>
      <c r="D9" s="1198" t="s">
        <v>977</v>
      </c>
      <c r="E9" s="1199"/>
      <c r="F9" s="1199"/>
      <c r="G9" s="1199"/>
      <c r="H9" s="1200"/>
      <c r="I9" s="1200"/>
      <c r="J9" s="1196"/>
      <c r="K9" s="1196"/>
    </row>
    <row r="10" spans="1:11" ht="23.25" customHeight="1">
      <c r="A10" s="1203"/>
      <c r="B10" s="1206"/>
      <c r="C10" s="1207"/>
      <c r="D10" s="764" t="s">
        <v>494</v>
      </c>
      <c r="E10" s="764" t="s">
        <v>495</v>
      </c>
      <c r="F10" s="764" t="s">
        <v>496</v>
      </c>
      <c r="G10" s="764" t="s">
        <v>497</v>
      </c>
      <c r="H10" s="803" t="s">
        <v>498</v>
      </c>
      <c r="I10" s="803" t="s">
        <v>499</v>
      </c>
      <c r="J10" s="1197"/>
      <c r="K10" s="1197"/>
    </row>
    <row r="11" spans="1:11" ht="13.5" thickBot="1">
      <c r="A11" s="763" t="s">
        <v>478</v>
      </c>
      <c r="B11" s="765" t="s">
        <v>479</v>
      </c>
      <c r="C11" s="766" t="s">
        <v>480</v>
      </c>
      <c r="D11" s="767" t="s">
        <v>481</v>
      </c>
      <c r="E11" s="768" t="s">
        <v>482</v>
      </c>
      <c r="F11" s="768" t="s">
        <v>483</v>
      </c>
      <c r="G11" s="768" t="s">
        <v>485</v>
      </c>
      <c r="H11" s="768"/>
      <c r="I11" s="768" t="s">
        <v>486</v>
      </c>
      <c r="J11" s="769" t="s">
        <v>428</v>
      </c>
      <c r="K11" s="770" t="s">
        <v>429</v>
      </c>
    </row>
    <row r="12" spans="1:11" ht="19.5" thickBot="1" thickTop="1">
      <c r="A12" s="771">
        <v>1</v>
      </c>
      <c r="B12" s="1208" t="s">
        <v>104</v>
      </c>
      <c r="C12" s="1209"/>
      <c r="D12" s="1209"/>
      <c r="E12" s="1209"/>
      <c r="F12" s="1209"/>
      <c r="G12" s="1209"/>
      <c r="H12" s="1209"/>
      <c r="I12" s="1209"/>
      <c r="J12" s="1209"/>
      <c r="K12" s="1210"/>
    </row>
    <row r="13" spans="1:11" ht="16.5" thickBot="1" thickTop="1">
      <c r="A13" s="772">
        <v>2</v>
      </c>
      <c r="B13" s="1211" t="s">
        <v>1023</v>
      </c>
      <c r="C13" s="1212"/>
      <c r="D13" s="1212"/>
      <c r="E13" s="1212"/>
      <c r="F13" s="1212"/>
      <c r="G13" s="1212"/>
      <c r="H13" s="1212"/>
      <c r="I13" s="1212"/>
      <c r="J13" s="1213"/>
      <c r="K13" s="773"/>
    </row>
    <row r="14" spans="1:11" ht="12.75">
      <c r="A14" s="774">
        <v>3</v>
      </c>
      <c r="B14" s="775" t="s">
        <v>978</v>
      </c>
      <c r="C14" s="804">
        <f>SUM(I14+G14+F14+E14+D14)</f>
        <v>0</v>
      </c>
      <c r="D14" s="776">
        <v>0</v>
      </c>
      <c r="E14" s="776">
        <v>0</v>
      </c>
      <c r="F14" s="825"/>
      <c r="G14" s="825"/>
      <c r="H14" s="825"/>
      <c r="I14" s="825"/>
      <c r="J14" s="777">
        <v>0</v>
      </c>
      <c r="K14" s="1171"/>
    </row>
    <row r="15" spans="1:11" ht="13.5" thickBot="1">
      <c r="A15" s="774">
        <v>4</v>
      </c>
      <c r="B15" s="778" t="s">
        <v>1029</v>
      </c>
      <c r="C15" s="805">
        <v>7000000</v>
      </c>
      <c r="D15" s="779">
        <v>7000000</v>
      </c>
      <c r="E15" s="780">
        <v>0</v>
      </c>
      <c r="F15" s="826"/>
      <c r="G15" s="826"/>
      <c r="H15" s="826"/>
      <c r="I15" s="826"/>
      <c r="J15" s="781">
        <v>7000000</v>
      </c>
      <c r="K15" s="1172"/>
    </row>
    <row r="16" spans="1:11" ht="13.5" thickBot="1">
      <c r="A16" s="774">
        <v>5</v>
      </c>
      <c r="B16" s="782" t="s">
        <v>979</v>
      </c>
      <c r="C16" s="806">
        <f>SUM(I16+G16+F16+E16+D16)</f>
        <v>7000000</v>
      </c>
      <c r="D16" s="783">
        <f aca="true" t="shared" si="0" ref="D16:J16">SUM(D14+D15)</f>
        <v>7000000</v>
      </c>
      <c r="E16" s="783">
        <f t="shared" si="0"/>
        <v>0</v>
      </c>
      <c r="F16" s="827"/>
      <c r="G16" s="827"/>
      <c r="H16" s="828"/>
      <c r="I16" s="829"/>
      <c r="J16" s="784">
        <f t="shared" si="0"/>
        <v>7000000</v>
      </c>
      <c r="K16" s="1173"/>
    </row>
    <row r="17" spans="1:11" ht="7.5" customHeight="1" thickBot="1">
      <c r="A17" s="774"/>
      <c r="B17" s="1214"/>
      <c r="C17" s="1215"/>
      <c r="D17" s="1216"/>
      <c r="E17" s="1216"/>
      <c r="F17" s="1216"/>
      <c r="G17" s="1216"/>
      <c r="H17" s="1216"/>
      <c r="I17" s="1216"/>
      <c r="J17" s="1217"/>
      <c r="K17" s="773"/>
    </row>
    <row r="18" spans="1:11" ht="13.5" thickBot="1">
      <c r="A18" s="785">
        <v>6</v>
      </c>
      <c r="B18" s="786" t="s">
        <v>980</v>
      </c>
      <c r="C18" s="787">
        <v>3150000</v>
      </c>
      <c r="D18" s="779">
        <v>3150000</v>
      </c>
      <c r="E18" s="844">
        <v>0</v>
      </c>
      <c r="F18" s="825"/>
      <c r="G18" s="825"/>
      <c r="H18" s="825"/>
      <c r="I18" s="825"/>
      <c r="J18" s="1171"/>
      <c r="K18" s="777">
        <v>3150000</v>
      </c>
    </row>
    <row r="19" spans="1:11" ht="13.5" thickBot="1">
      <c r="A19" s="785">
        <v>7</v>
      </c>
      <c r="B19" s="789" t="s">
        <v>981</v>
      </c>
      <c r="C19" s="788">
        <v>3850000</v>
      </c>
      <c r="D19" s="779">
        <v>3850000</v>
      </c>
      <c r="E19" s="845">
        <v>0</v>
      </c>
      <c r="F19" s="826"/>
      <c r="G19" s="826"/>
      <c r="H19" s="826"/>
      <c r="I19" s="826"/>
      <c r="J19" s="1172"/>
      <c r="K19" s="781">
        <v>3850000</v>
      </c>
    </row>
    <row r="20" spans="1:11" ht="13.5" thickBot="1">
      <c r="A20" s="790">
        <v>8</v>
      </c>
      <c r="B20" s="791" t="s">
        <v>406</v>
      </c>
      <c r="C20" s="792">
        <f>SUM(C18:C19)</f>
        <v>7000000</v>
      </c>
      <c r="D20" s="842">
        <f>SUM(D18:D19)</f>
        <v>7000000</v>
      </c>
      <c r="E20" s="842">
        <f>SUM(E18:E19)</f>
        <v>0</v>
      </c>
      <c r="F20" s="827"/>
      <c r="G20" s="827"/>
      <c r="H20" s="828"/>
      <c r="I20" s="829"/>
      <c r="J20" s="1173"/>
      <c r="K20" s="793">
        <f>SUM(K18:K19)</f>
        <v>7000000</v>
      </c>
    </row>
    <row r="21" spans="1:11" ht="14.25" thickBot="1" thickTop="1">
      <c r="A21" s="810"/>
      <c r="B21" s="1178"/>
      <c r="C21" s="1179"/>
      <c r="D21" s="1179"/>
      <c r="E21" s="1179"/>
      <c r="F21" s="1179"/>
      <c r="G21" s="1179"/>
      <c r="H21" s="1179"/>
      <c r="I21" s="1179"/>
      <c r="J21" s="1179"/>
      <c r="K21" s="1180"/>
    </row>
    <row r="22" spans="1:11" ht="29.25" customHeight="1" thickBot="1" thickTop="1">
      <c r="A22" s="811">
        <v>9</v>
      </c>
      <c r="B22" s="1187" t="s">
        <v>1025</v>
      </c>
      <c r="C22" s="1188"/>
      <c r="D22" s="1188"/>
      <c r="E22" s="1188"/>
      <c r="F22" s="1188"/>
      <c r="G22" s="1188"/>
      <c r="H22" s="1188"/>
      <c r="I22" s="1188"/>
      <c r="J22" s="1189"/>
      <c r="K22" s="812"/>
    </row>
    <row r="23" spans="1:11" ht="12.75">
      <c r="A23" s="774">
        <v>10</v>
      </c>
      <c r="B23" s="775" t="s">
        <v>1018</v>
      </c>
      <c r="C23" s="813">
        <v>0</v>
      </c>
      <c r="D23" s="830">
        <v>0</v>
      </c>
      <c r="E23" s="830">
        <v>0</v>
      </c>
      <c r="F23" s="830">
        <v>0</v>
      </c>
      <c r="G23" s="830">
        <v>0</v>
      </c>
      <c r="H23" s="830">
        <v>0</v>
      </c>
      <c r="I23" s="830">
        <v>0</v>
      </c>
      <c r="J23" s="777">
        <v>0</v>
      </c>
      <c r="K23" s="1171"/>
    </row>
    <row r="24" spans="1:11" ht="13.5" thickBot="1">
      <c r="A24" s="814">
        <v>11</v>
      </c>
      <c r="B24" s="778" t="s">
        <v>1029</v>
      </c>
      <c r="C24" s="815">
        <v>250634800</v>
      </c>
      <c r="D24" s="816">
        <v>16135642</v>
      </c>
      <c r="E24" s="780">
        <v>46899832</v>
      </c>
      <c r="F24" s="780">
        <v>46899832</v>
      </c>
      <c r="G24" s="780">
        <v>46899831</v>
      </c>
      <c r="H24" s="780">
        <v>46899831</v>
      </c>
      <c r="I24" s="780">
        <v>46899832</v>
      </c>
      <c r="J24" s="781">
        <v>16135642</v>
      </c>
      <c r="K24" s="1172"/>
    </row>
    <row r="25" spans="1:11" ht="13.5" thickBot="1">
      <c r="A25" s="774">
        <v>12</v>
      </c>
      <c r="B25" s="782" t="s">
        <v>979</v>
      </c>
      <c r="C25" s="806">
        <f aca="true" t="shared" si="1" ref="C25:J25">SUM(C23:C24)</f>
        <v>250634800</v>
      </c>
      <c r="D25" s="783">
        <f t="shared" si="1"/>
        <v>16135642</v>
      </c>
      <c r="E25" s="783">
        <f t="shared" si="1"/>
        <v>46899832</v>
      </c>
      <c r="F25" s="783">
        <f t="shared" si="1"/>
        <v>46899832</v>
      </c>
      <c r="G25" s="783">
        <f t="shared" si="1"/>
        <v>46899831</v>
      </c>
      <c r="H25" s="783">
        <f t="shared" si="1"/>
        <v>46899831</v>
      </c>
      <c r="I25" s="783">
        <f t="shared" si="1"/>
        <v>46899832</v>
      </c>
      <c r="J25" s="784">
        <f t="shared" si="1"/>
        <v>16135642</v>
      </c>
      <c r="K25" s="1173"/>
    </row>
    <row r="26" spans="1:11" ht="7.5" customHeight="1" thickBot="1">
      <c r="A26" s="774"/>
      <c r="B26" s="1175"/>
      <c r="C26" s="1176"/>
      <c r="D26" s="1176"/>
      <c r="E26" s="1176"/>
      <c r="F26" s="1176"/>
      <c r="G26" s="1176"/>
      <c r="H26" s="1176"/>
      <c r="I26" s="1176"/>
      <c r="J26" s="1177"/>
      <c r="K26" s="773"/>
    </row>
    <row r="27" spans="1:11" ht="12.75">
      <c r="A27" s="824">
        <v>13</v>
      </c>
      <c r="B27" s="817" t="s">
        <v>1021</v>
      </c>
      <c r="C27" s="787">
        <v>148329760</v>
      </c>
      <c r="D27" s="816">
        <v>8950110</v>
      </c>
      <c r="E27" s="816">
        <v>27875930</v>
      </c>
      <c r="F27" s="816">
        <v>27875930</v>
      </c>
      <c r="G27" s="816">
        <v>27875930</v>
      </c>
      <c r="H27" s="816">
        <v>27875930</v>
      </c>
      <c r="I27" s="816">
        <v>27875930</v>
      </c>
      <c r="J27" s="1171"/>
      <c r="K27" s="777">
        <v>8950110</v>
      </c>
    </row>
    <row r="28" spans="1:11" ht="13.5" thickBot="1">
      <c r="A28" s="785">
        <v>14</v>
      </c>
      <c r="B28" s="789" t="s">
        <v>981</v>
      </c>
      <c r="C28" s="788">
        <v>102305040</v>
      </c>
      <c r="D28" s="816">
        <v>7185532</v>
      </c>
      <c r="E28" s="816">
        <v>19023902</v>
      </c>
      <c r="F28" s="816">
        <v>19023902</v>
      </c>
      <c r="G28" s="816">
        <v>19023901</v>
      </c>
      <c r="H28" s="816">
        <v>19023901</v>
      </c>
      <c r="I28" s="816">
        <v>19023902</v>
      </c>
      <c r="J28" s="1172"/>
      <c r="K28" s="781">
        <v>7185532</v>
      </c>
    </row>
    <row r="29" spans="1:11" ht="13.5" thickBot="1">
      <c r="A29" s="818">
        <v>15</v>
      </c>
      <c r="B29" s="819" t="s">
        <v>406</v>
      </c>
      <c r="C29" s="792">
        <f aca="true" t="shared" si="2" ref="C29:I29">SUM(C27:C28)</f>
        <v>250634800</v>
      </c>
      <c r="D29" s="809">
        <f t="shared" si="2"/>
        <v>16135642</v>
      </c>
      <c r="E29" s="809">
        <f t="shared" si="2"/>
        <v>46899832</v>
      </c>
      <c r="F29" s="809">
        <f t="shared" si="2"/>
        <v>46899832</v>
      </c>
      <c r="G29" s="809">
        <f t="shared" si="2"/>
        <v>46899831</v>
      </c>
      <c r="H29" s="809">
        <f t="shared" si="2"/>
        <v>46899831</v>
      </c>
      <c r="I29" s="809">
        <f t="shared" si="2"/>
        <v>46899832</v>
      </c>
      <c r="J29" s="1174"/>
      <c r="K29" s="793">
        <f>SUM(K27:K28)</f>
        <v>16135642</v>
      </c>
    </row>
    <row r="30" spans="1:11" ht="14.25" thickBot="1" thickTop="1">
      <c r="A30" s="820"/>
      <c r="B30" s="1178"/>
      <c r="C30" s="1179"/>
      <c r="D30" s="1179"/>
      <c r="E30" s="1179"/>
      <c r="F30" s="1179"/>
      <c r="G30" s="1179"/>
      <c r="H30" s="1179"/>
      <c r="I30" s="1179"/>
      <c r="J30" s="1179"/>
      <c r="K30" s="1180"/>
    </row>
    <row r="31" spans="1:11" ht="16.5" thickBot="1" thickTop="1">
      <c r="A31" s="811">
        <v>16</v>
      </c>
      <c r="B31" s="1181" t="s">
        <v>1027</v>
      </c>
      <c r="C31" s="1182"/>
      <c r="D31" s="1182"/>
      <c r="E31" s="1182"/>
      <c r="F31" s="1182"/>
      <c r="G31" s="1182"/>
      <c r="H31" s="1182"/>
      <c r="I31" s="1182"/>
      <c r="J31" s="1183"/>
      <c r="K31" s="812"/>
    </row>
    <row r="32" spans="1:11" ht="12.75">
      <c r="A32" s="774">
        <v>17</v>
      </c>
      <c r="B32" s="778" t="s">
        <v>1018</v>
      </c>
      <c r="C32" s="787">
        <v>0</v>
      </c>
      <c r="D32" s="821">
        <v>0</v>
      </c>
      <c r="E32" s="821">
        <v>0</v>
      </c>
      <c r="F32" s="821">
        <v>0</v>
      </c>
      <c r="G32" s="831"/>
      <c r="H32" s="831"/>
      <c r="I32" s="831"/>
      <c r="J32" s="777">
        <v>0</v>
      </c>
      <c r="K32" s="1171"/>
    </row>
    <row r="33" spans="1:11" ht="13.5" thickBot="1">
      <c r="A33" s="774">
        <v>18</v>
      </c>
      <c r="B33" s="778" t="s">
        <v>1029</v>
      </c>
      <c r="C33" s="788">
        <v>242560000</v>
      </c>
      <c r="D33" s="816">
        <v>242560000</v>
      </c>
      <c r="E33" s="780">
        <v>0</v>
      </c>
      <c r="F33" s="780">
        <v>0</v>
      </c>
      <c r="G33" s="832"/>
      <c r="H33" s="832"/>
      <c r="I33" s="833"/>
      <c r="J33" s="781">
        <v>242560000</v>
      </c>
      <c r="K33" s="1172"/>
    </row>
    <row r="34" spans="1:11" ht="13.5" thickBot="1">
      <c r="A34" s="774">
        <v>19</v>
      </c>
      <c r="B34" s="782" t="s">
        <v>979</v>
      </c>
      <c r="C34" s="806">
        <f aca="true" t="shared" si="3" ref="C34:J34">SUM(C32:C33)</f>
        <v>242560000</v>
      </c>
      <c r="D34" s="783">
        <f t="shared" si="3"/>
        <v>242560000</v>
      </c>
      <c r="E34" s="783">
        <f t="shared" si="3"/>
        <v>0</v>
      </c>
      <c r="F34" s="783">
        <f t="shared" si="3"/>
        <v>0</v>
      </c>
      <c r="G34" s="825"/>
      <c r="H34" s="825"/>
      <c r="I34" s="825"/>
      <c r="J34" s="784">
        <f t="shared" si="3"/>
        <v>242560000</v>
      </c>
      <c r="K34" s="1173"/>
    </row>
    <row r="35" spans="1:11" ht="7.5" customHeight="1" thickBot="1">
      <c r="A35" s="774"/>
      <c r="B35" s="1175"/>
      <c r="C35" s="1176"/>
      <c r="D35" s="1176"/>
      <c r="E35" s="1176"/>
      <c r="F35" s="1176"/>
      <c r="G35" s="1176"/>
      <c r="H35" s="1176"/>
      <c r="I35" s="1176"/>
      <c r="J35" s="1177"/>
      <c r="K35" s="773"/>
    </row>
    <row r="36" spans="1:12" ht="12.75">
      <c r="A36" s="785">
        <v>20</v>
      </c>
      <c r="B36" s="817" t="s">
        <v>980</v>
      </c>
      <c r="C36" s="787">
        <v>242560000</v>
      </c>
      <c r="D36" s="846">
        <v>0</v>
      </c>
      <c r="E36" s="776">
        <v>242560000</v>
      </c>
      <c r="F36" s="846">
        <v>0</v>
      </c>
      <c r="G36" s="831"/>
      <c r="H36" s="831"/>
      <c r="I36" s="831"/>
      <c r="J36" s="1171"/>
      <c r="K36" s="777">
        <v>242560000</v>
      </c>
      <c r="L36" s="822"/>
    </row>
    <row r="37" spans="1:11" ht="13.5" thickBot="1">
      <c r="A37" s="785">
        <v>21</v>
      </c>
      <c r="B37" s="807" t="s">
        <v>1017</v>
      </c>
      <c r="C37" s="788">
        <v>0</v>
      </c>
      <c r="D37" s="843">
        <v>0</v>
      </c>
      <c r="E37" s="843">
        <v>0</v>
      </c>
      <c r="F37" s="843">
        <v>0</v>
      </c>
      <c r="G37" s="832"/>
      <c r="H37" s="832"/>
      <c r="I37" s="833"/>
      <c r="J37" s="1172"/>
      <c r="K37" s="781">
        <v>0</v>
      </c>
    </row>
    <row r="38" spans="1:11" ht="13.5" thickBot="1">
      <c r="A38" s="818">
        <v>22</v>
      </c>
      <c r="B38" s="819" t="s">
        <v>406</v>
      </c>
      <c r="C38" s="792">
        <f>SUM(C36:C37)</f>
        <v>242560000</v>
      </c>
      <c r="D38" s="809">
        <f>SUM(D36:D37)</f>
        <v>0</v>
      </c>
      <c r="E38" s="809">
        <f>SUM(E36:E37)</f>
        <v>242560000</v>
      </c>
      <c r="F38" s="809">
        <f>SUM(F36:F37)</f>
        <v>0</v>
      </c>
      <c r="G38" s="825"/>
      <c r="H38" s="825"/>
      <c r="I38" s="825"/>
      <c r="J38" s="1174"/>
      <c r="K38" s="793">
        <f>SUM(K36:K37)</f>
        <v>242560000</v>
      </c>
    </row>
    <row r="39" spans="1:11" ht="14.25" thickBot="1" thickTop="1">
      <c r="A39" s="820"/>
      <c r="B39" s="1178"/>
      <c r="C39" s="1179"/>
      <c r="D39" s="1179"/>
      <c r="E39" s="1179"/>
      <c r="F39" s="1179"/>
      <c r="G39" s="1179"/>
      <c r="H39" s="1179"/>
      <c r="I39" s="1179"/>
      <c r="J39" s="1179"/>
      <c r="K39" s="1180"/>
    </row>
    <row r="40" spans="1:11" ht="16.5" thickBot="1" thickTop="1">
      <c r="A40" s="811">
        <v>23</v>
      </c>
      <c r="B40" s="1184" t="s">
        <v>1030</v>
      </c>
      <c r="C40" s="1185"/>
      <c r="D40" s="1185"/>
      <c r="E40" s="1185"/>
      <c r="F40" s="1185"/>
      <c r="G40" s="1185"/>
      <c r="H40" s="1185"/>
      <c r="I40" s="1185"/>
      <c r="J40" s="1185"/>
      <c r="K40" s="1186"/>
    </row>
    <row r="41" spans="1:20" ht="12.75">
      <c r="A41" s="774">
        <v>24</v>
      </c>
      <c r="B41" s="823" t="s">
        <v>1018</v>
      </c>
      <c r="C41" s="787">
        <v>1576053</v>
      </c>
      <c r="D41" s="821">
        <v>1576053</v>
      </c>
      <c r="E41" s="831"/>
      <c r="F41" s="831"/>
      <c r="G41" s="831"/>
      <c r="H41" s="831"/>
      <c r="I41" s="831"/>
      <c r="J41" s="781">
        <f>1587500+2500000</f>
        <v>4087500</v>
      </c>
      <c r="K41" s="1171"/>
      <c r="L41" s="838"/>
      <c r="M41" s="838"/>
      <c r="N41" s="838"/>
      <c r="O41" s="838"/>
      <c r="P41" s="838"/>
      <c r="Q41" s="838"/>
      <c r="R41" s="838"/>
      <c r="S41" s="838"/>
      <c r="T41" s="838"/>
    </row>
    <row r="42" spans="1:16" ht="13.5" thickBot="1">
      <c r="A42" s="774">
        <v>25</v>
      </c>
      <c r="B42" s="778" t="s">
        <v>1029</v>
      </c>
      <c r="C42" s="808">
        <v>19779919</v>
      </c>
      <c r="D42" s="816">
        <v>19779919</v>
      </c>
      <c r="E42" s="832"/>
      <c r="F42" s="832"/>
      <c r="G42" s="832"/>
      <c r="H42" s="832"/>
      <c r="I42" s="833"/>
      <c r="J42" s="781">
        <v>19779919</v>
      </c>
      <c r="K42" s="1172"/>
      <c r="L42" s="847"/>
      <c r="M42" s="847"/>
      <c r="N42" s="847"/>
      <c r="O42" s="847"/>
      <c r="P42" s="847"/>
    </row>
    <row r="43" spans="1:11" ht="13.5" thickBot="1">
      <c r="A43" s="774">
        <v>26</v>
      </c>
      <c r="B43" s="782" t="s">
        <v>979</v>
      </c>
      <c r="C43" s="806">
        <f>SUM(C41:C42)</f>
        <v>21355972</v>
      </c>
      <c r="D43" s="783">
        <f>SUM(D41:D42)</f>
        <v>21355972</v>
      </c>
      <c r="E43" s="836"/>
      <c r="F43" s="836"/>
      <c r="G43" s="836"/>
      <c r="H43" s="836"/>
      <c r="I43" s="837"/>
      <c r="J43" s="784">
        <f>SUM(J41+J42)</f>
        <v>23867419</v>
      </c>
      <c r="K43" s="1173"/>
    </row>
    <row r="44" spans="1:11" ht="7.5" customHeight="1" thickBot="1">
      <c r="A44" s="774"/>
      <c r="B44" s="1175"/>
      <c r="C44" s="1176"/>
      <c r="D44" s="1176"/>
      <c r="E44" s="1176"/>
      <c r="F44" s="1176"/>
      <c r="G44" s="1176"/>
      <c r="H44" s="1176"/>
      <c r="I44" s="1176"/>
      <c r="J44" s="1177"/>
      <c r="K44" s="773"/>
    </row>
    <row r="45" spans="1:11" ht="12.75">
      <c r="A45" s="785">
        <v>27</v>
      </c>
      <c r="B45" s="817" t="s">
        <v>1019</v>
      </c>
      <c r="C45" s="787">
        <v>20820975</v>
      </c>
      <c r="D45" s="821">
        <v>20820975</v>
      </c>
      <c r="E45" s="831"/>
      <c r="F45" s="831"/>
      <c r="G45" s="831"/>
      <c r="H45" s="831"/>
      <c r="I45" s="831"/>
      <c r="J45" s="1171"/>
      <c r="K45" s="777">
        <f>19779919+52056+989000</f>
        <v>20820975</v>
      </c>
    </row>
    <row r="46" spans="1:11" ht="13.5" thickBot="1">
      <c r="A46" s="785">
        <v>28</v>
      </c>
      <c r="B46" s="807" t="s">
        <v>1020</v>
      </c>
      <c r="C46" s="788">
        <v>534997</v>
      </c>
      <c r="D46" s="816">
        <v>534997</v>
      </c>
      <c r="E46" s="832"/>
      <c r="F46" s="832"/>
      <c r="G46" s="832"/>
      <c r="H46" s="832"/>
      <c r="I46" s="833"/>
      <c r="J46" s="1172"/>
      <c r="K46" s="781">
        <f>1535444+1511000</f>
        <v>3046444</v>
      </c>
    </row>
    <row r="47" spans="1:11" ht="13.5" thickBot="1">
      <c r="A47" s="818">
        <v>29</v>
      </c>
      <c r="B47" s="819" t="s">
        <v>406</v>
      </c>
      <c r="C47" s="792">
        <f>SUM(C45:C46)</f>
        <v>21355972</v>
      </c>
      <c r="D47" s="809">
        <f>SUM(D45:D46)</f>
        <v>21355972</v>
      </c>
      <c r="E47" s="834"/>
      <c r="F47" s="834"/>
      <c r="G47" s="834"/>
      <c r="H47" s="834"/>
      <c r="I47" s="835"/>
      <c r="J47" s="1173"/>
      <c r="K47" s="793">
        <f>SUM(K44:K46)</f>
        <v>23867419</v>
      </c>
    </row>
    <row r="48" spans="1:11" ht="13.5" thickTop="1">
      <c r="A48" s="801"/>
      <c r="B48" s="839"/>
      <c r="C48" s="840"/>
      <c r="D48" s="841"/>
      <c r="E48" s="841"/>
      <c r="F48" s="841"/>
      <c r="G48" s="841"/>
      <c r="H48" s="841"/>
      <c r="I48" s="841"/>
      <c r="J48" s="840"/>
      <c r="K48" s="840"/>
    </row>
  </sheetData>
  <sheetProtection/>
  <mergeCells count="29">
    <mergeCell ref="A8:A10"/>
    <mergeCell ref="B8:B10"/>
    <mergeCell ref="C9:C10"/>
    <mergeCell ref="B12:K12"/>
    <mergeCell ref="B13:J13"/>
    <mergeCell ref="B17:J17"/>
    <mergeCell ref="B22:J22"/>
    <mergeCell ref="B1:K1"/>
    <mergeCell ref="B4:K4"/>
    <mergeCell ref="C8:I8"/>
    <mergeCell ref="J8:J10"/>
    <mergeCell ref="K8:K10"/>
    <mergeCell ref="D9:I9"/>
    <mergeCell ref="K14:K16"/>
    <mergeCell ref="J18:J20"/>
    <mergeCell ref="B21:K21"/>
    <mergeCell ref="K41:K43"/>
    <mergeCell ref="J45:J47"/>
    <mergeCell ref="B35:J35"/>
    <mergeCell ref="B39:K39"/>
    <mergeCell ref="B40:K40"/>
    <mergeCell ref="B44:J44"/>
    <mergeCell ref="K23:K25"/>
    <mergeCell ref="J27:J29"/>
    <mergeCell ref="K32:K34"/>
    <mergeCell ref="J36:J38"/>
    <mergeCell ref="B26:J26"/>
    <mergeCell ref="B30:K30"/>
    <mergeCell ref="B31:J31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74"/>
  <sheetViews>
    <sheetView workbookViewId="0" topLeftCell="A1">
      <selection activeCell="A1" sqref="A1:I1"/>
    </sheetView>
  </sheetViews>
  <sheetFormatPr defaultColWidth="9.00390625" defaultRowHeight="12.75"/>
  <cols>
    <col min="1" max="1" width="6.125" style="207" customWidth="1"/>
    <col min="2" max="4" width="9.125" style="207" customWidth="1"/>
    <col min="5" max="5" width="40.375" style="207" customWidth="1"/>
    <col min="6" max="7" width="14.125" style="207" bestFit="1" customWidth="1"/>
    <col min="8" max="8" width="14.875" style="207" customWidth="1"/>
    <col min="9" max="9" width="16.00390625" style="207" bestFit="1" customWidth="1"/>
    <col min="10" max="16384" width="9.125" style="207" customWidth="1"/>
  </cols>
  <sheetData>
    <row r="1" spans="1:9" s="211" customFormat="1" ht="12.75">
      <c r="A1" s="881" t="s">
        <v>1076</v>
      </c>
      <c r="B1" s="881"/>
      <c r="C1" s="881"/>
      <c r="D1" s="881"/>
      <c r="E1" s="881"/>
      <c r="F1" s="881"/>
      <c r="G1" s="881"/>
      <c r="H1" s="881"/>
      <c r="I1" s="881"/>
    </row>
    <row r="2" spans="1:9" s="211" customFormat="1" ht="9.75" customHeight="1">
      <c r="A2" s="212"/>
      <c r="B2" s="213"/>
      <c r="C2" s="213"/>
      <c r="D2" s="213"/>
      <c r="E2" s="213"/>
      <c r="F2" s="213"/>
      <c r="G2" s="213"/>
      <c r="H2" s="213"/>
      <c r="I2" s="213"/>
    </row>
    <row r="3" spans="1:9" s="211" customFormat="1" ht="16.5">
      <c r="A3" s="882" t="s">
        <v>739</v>
      </c>
      <c r="B3" s="882"/>
      <c r="C3" s="882"/>
      <c r="D3" s="882"/>
      <c r="E3" s="882"/>
      <c r="F3" s="882"/>
      <c r="G3" s="882"/>
      <c r="H3" s="882"/>
      <c r="I3" s="882"/>
    </row>
    <row r="4" spans="1:9" s="211" customFormat="1" ht="12.75">
      <c r="A4" s="212"/>
      <c r="B4" s="213"/>
      <c r="C4" s="213"/>
      <c r="D4" s="213"/>
      <c r="E4" s="213"/>
      <c r="F4" s="213"/>
      <c r="G4" s="213"/>
      <c r="H4" s="213"/>
      <c r="I4" s="213"/>
    </row>
    <row r="5" spans="1:9" ht="78" customHeight="1">
      <c r="A5" s="883" t="s">
        <v>0</v>
      </c>
      <c r="B5" s="884"/>
      <c r="C5" s="884"/>
      <c r="D5" s="884"/>
      <c r="E5" s="885"/>
      <c r="F5" s="214" t="s">
        <v>104</v>
      </c>
      <c r="G5" s="214" t="s">
        <v>408</v>
      </c>
      <c r="H5" s="214" t="s">
        <v>1031</v>
      </c>
      <c r="I5" s="215" t="s">
        <v>401</v>
      </c>
    </row>
    <row r="6" spans="1:9" s="218" customFormat="1" ht="15">
      <c r="A6" s="216" t="s">
        <v>478</v>
      </c>
      <c r="B6" s="886" t="s">
        <v>479</v>
      </c>
      <c r="C6" s="887"/>
      <c r="D6" s="887"/>
      <c r="E6" s="888"/>
      <c r="F6" s="217" t="s">
        <v>480</v>
      </c>
      <c r="G6" s="217" t="s">
        <v>481</v>
      </c>
      <c r="H6" s="217" t="s">
        <v>482</v>
      </c>
      <c r="I6" s="217" t="s">
        <v>483</v>
      </c>
    </row>
    <row r="7" spans="1:9" ht="14.25" customHeight="1">
      <c r="A7" s="219" t="s">
        <v>1</v>
      </c>
      <c r="B7" s="876" t="s">
        <v>376</v>
      </c>
      <c r="C7" s="876"/>
      <c r="D7" s="876"/>
      <c r="E7" s="876"/>
      <c r="F7" s="206">
        <f>92387486-146050-511475+110000+169300+13200+89907417+30882431+135246+7051200+1250944-1094000-1300000-32740</f>
        <v>218822959</v>
      </c>
      <c r="G7" s="206">
        <f>80677920-2363520+2363520+492700-1250944+483000</f>
        <v>80402676</v>
      </c>
      <c r="H7" s="206">
        <f>166158515-4316832-4040568-396235-1002512-1404438-2940488+719400+478125+30000</f>
        <v>153284967</v>
      </c>
      <c r="I7" s="206">
        <f>SUM(F7:H7)</f>
        <v>452510602</v>
      </c>
    </row>
    <row r="8" spans="1:9" ht="13.5" customHeight="1">
      <c r="A8" s="219" t="s">
        <v>3</v>
      </c>
      <c r="B8" s="876" t="s">
        <v>4</v>
      </c>
      <c r="C8" s="876"/>
      <c r="D8" s="876"/>
      <c r="E8" s="876"/>
      <c r="F8" s="206">
        <f>21556765-32131-112525+430000+24200+37246+2904+9889529+3396993+29754+1898910+275208-567580+32740</f>
        <v>36862013</v>
      </c>
      <c r="G8" s="206">
        <f>17050148-519974+519974+108394-275208+106260</f>
        <v>16989594</v>
      </c>
      <c r="H8" s="206">
        <f>38950681-905752-967690-89062-220552-308976-638987+158268+105190+6000</f>
        <v>36089120</v>
      </c>
      <c r="I8" s="206">
        <f>SUM(F8:H8)</f>
        <v>89940727</v>
      </c>
    </row>
    <row r="9" spans="1:9" ht="12" customHeight="1">
      <c r="A9" s="219" t="s">
        <v>5</v>
      </c>
      <c r="B9" s="876" t="s">
        <v>6</v>
      </c>
      <c r="C9" s="876"/>
      <c r="D9" s="876"/>
      <c r="E9" s="876"/>
      <c r="F9" s="206">
        <f>218957105-2000000+3850000+500000+178181-1000000-1500000-500000+624000+6762752+1479371+22851+788800+17100+1204560+1176540+214270+608965+379000+255887+237516+8426434+6312014+1686276+1143687+20948+100000+48289-88773+24000+978201+7185532+42000+167805+24300+1867580</f>
        <v>260195191</v>
      </c>
      <c r="G9" s="206">
        <f>20762878+146050</f>
        <v>20908928</v>
      </c>
      <c r="H9" s="206">
        <f>59134971-100000-302000-1087176-947010-24000+34000</f>
        <v>56708785</v>
      </c>
      <c r="I9" s="206">
        <f>SUM(F9:H9)</f>
        <v>337812904</v>
      </c>
    </row>
    <row r="10" spans="1:9" ht="12.75">
      <c r="A10" s="219" t="s">
        <v>8</v>
      </c>
      <c r="B10" s="876" t="s">
        <v>9</v>
      </c>
      <c r="C10" s="876"/>
      <c r="D10" s="876"/>
      <c r="E10" s="876"/>
      <c r="F10" s="206">
        <f>SUM(F11,F12,F15:F20)</f>
        <v>3804900</v>
      </c>
      <c r="G10" s="206">
        <f>SUM(G11,G12,G15:G20)</f>
        <v>12486120</v>
      </c>
      <c r="H10" s="206">
        <f>SUM(H11,H12,H15:H20)</f>
        <v>0</v>
      </c>
      <c r="I10" s="206">
        <f>SUM(F10:H10)</f>
        <v>16291020</v>
      </c>
    </row>
    <row r="11" spans="1:9" ht="12.75">
      <c r="A11" s="202"/>
      <c r="B11" s="202" t="s">
        <v>10</v>
      </c>
      <c r="C11" s="879" t="s">
        <v>11</v>
      </c>
      <c r="D11" s="889"/>
      <c r="E11" s="880"/>
      <c r="F11" s="205">
        <v>0</v>
      </c>
      <c r="G11" s="205">
        <v>0</v>
      </c>
      <c r="H11" s="205">
        <v>0</v>
      </c>
      <c r="I11" s="206">
        <f>SUM(F11:H11)</f>
        <v>0</v>
      </c>
    </row>
    <row r="12" spans="1:9" ht="12.75">
      <c r="A12" s="202"/>
      <c r="B12" s="202" t="s">
        <v>12</v>
      </c>
      <c r="C12" s="865" t="s">
        <v>13</v>
      </c>
      <c r="D12" s="865"/>
      <c r="E12" s="865"/>
      <c r="F12" s="205">
        <f>SUM(F13:F14)</f>
        <v>0</v>
      </c>
      <c r="G12" s="205">
        <f>SUM(G13:G14)</f>
        <v>12486120</v>
      </c>
      <c r="H12" s="205">
        <f>SUM(H13:H14)</f>
        <v>0</v>
      </c>
      <c r="I12" s="206">
        <f aca="true" t="shared" si="0" ref="I12:I22">SUM(F12:H12)</f>
        <v>12486120</v>
      </c>
    </row>
    <row r="13" spans="1:9" ht="23.25" customHeight="1">
      <c r="A13" s="208"/>
      <c r="B13" s="202"/>
      <c r="C13" s="208"/>
      <c r="D13" s="872" t="s">
        <v>1046</v>
      </c>
      <c r="E13" s="873"/>
      <c r="F13" s="209"/>
      <c r="G13" s="209">
        <f>7530000+4680000</f>
        <v>12210000</v>
      </c>
      <c r="H13" s="209">
        <v>0</v>
      </c>
      <c r="I13" s="206">
        <f t="shared" si="0"/>
        <v>12210000</v>
      </c>
    </row>
    <row r="14" spans="1:9" ht="22.5" customHeight="1">
      <c r="A14" s="208"/>
      <c r="B14" s="202"/>
      <c r="C14" s="208"/>
      <c r="D14" s="877" t="s">
        <v>1047</v>
      </c>
      <c r="E14" s="878"/>
      <c r="F14" s="209"/>
      <c r="G14" s="209">
        <f>225720+50400</f>
        <v>276120</v>
      </c>
      <c r="H14" s="209">
        <v>0</v>
      </c>
      <c r="I14" s="206">
        <f t="shared" si="0"/>
        <v>276120</v>
      </c>
    </row>
    <row r="15" spans="1:9" ht="12.75" hidden="1">
      <c r="A15" s="202"/>
      <c r="B15" s="202" t="s">
        <v>155</v>
      </c>
      <c r="C15" s="865" t="s">
        <v>156</v>
      </c>
      <c r="D15" s="865"/>
      <c r="E15" s="865"/>
      <c r="F15" s="205">
        <v>0</v>
      </c>
      <c r="G15" s="205">
        <v>0</v>
      </c>
      <c r="H15" s="205">
        <v>0</v>
      </c>
      <c r="I15" s="206">
        <f t="shared" si="0"/>
        <v>0</v>
      </c>
    </row>
    <row r="16" spans="1:9" ht="12" customHeight="1" hidden="1">
      <c r="A16" s="202"/>
      <c r="B16" s="202" t="s">
        <v>157</v>
      </c>
      <c r="C16" s="879" t="s">
        <v>158</v>
      </c>
      <c r="D16" s="889"/>
      <c r="E16" s="880"/>
      <c r="F16" s="205">
        <f>SUM(F17:F18)</f>
        <v>0</v>
      </c>
      <c r="G16" s="205">
        <f>SUM(G17:G18)</f>
        <v>0</v>
      </c>
      <c r="H16" s="205">
        <f>SUM(H17:H18)</f>
        <v>0</v>
      </c>
      <c r="I16" s="206">
        <f t="shared" si="0"/>
        <v>0</v>
      </c>
    </row>
    <row r="17" spans="1:9" ht="13.5" customHeight="1" hidden="1">
      <c r="A17" s="208"/>
      <c r="B17" s="202" t="s">
        <v>159</v>
      </c>
      <c r="C17" s="202" t="s">
        <v>160</v>
      </c>
      <c r="D17" s="203"/>
      <c r="E17" s="204"/>
      <c r="F17" s="209">
        <v>0</v>
      </c>
      <c r="G17" s="209">
        <v>0</v>
      </c>
      <c r="H17" s="209">
        <v>0</v>
      </c>
      <c r="I17" s="206">
        <f t="shared" si="0"/>
        <v>0</v>
      </c>
    </row>
    <row r="18" spans="1:9" ht="12.75" hidden="1">
      <c r="A18" s="202"/>
      <c r="B18" s="202" t="s">
        <v>161</v>
      </c>
      <c r="C18" s="879" t="s">
        <v>162</v>
      </c>
      <c r="D18" s="889"/>
      <c r="E18" s="880"/>
      <c r="F18" s="205">
        <f>SUM(F19)</f>
        <v>0</v>
      </c>
      <c r="G18" s="205">
        <f>SUM(G19)</f>
        <v>0</v>
      </c>
      <c r="H18" s="205">
        <f>SUM(H19)</f>
        <v>0</v>
      </c>
      <c r="I18" s="206">
        <f t="shared" si="0"/>
        <v>0</v>
      </c>
    </row>
    <row r="19" spans="1:9" ht="12.75" hidden="1">
      <c r="A19" s="202"/>
      <c r="B19" s="202" t="s">
        <v>163</v>
      </c>
      <c r="C19" s="865" t="s">
        <v>14</v>
      </c>
      <c r="D19" s="865"/>
      <c r="E19" s="865"/>
      <c r="F19" s="205">
        <v>0</v>
      </c>
      <c r="G19" s="205">
        <v>0</v>
      </c>
      <c r="H19" s="205">
        <v>0</v>
      </c>
      <c r="I19" s="206">
        <f t="shared" si="0"/>
        <v>0</v>
      </c>
    </row>
    <row r="20" spans="1:9" ht="12.75">
      <c r="A20" s="202"/>
      <c r="B20" s="202" t="s">
        <v>164</v>
      </c>
      <c r="C20" s="879" t="s">
        <v>165</v>
      </c>
      <c r="D20" s="889"/>
      <c r="E20" s="880"/>
      <c r="F20" s="205">
        <f>SUM(F21:F22)</f>
        <v>3804900</v>
      </c>
      <c r="G20" s="205">
        <f>SUM(G21:G22)</f>
        <v>0</v>
      </c>
      <c r="H20" s="205">
        <f>SUM(H21:H22)</f>
        <v>0</v>
      </c>
      <c r="I20" s="206">
        <f t="shared" si="0"/>
        <v>3804900</v>
      </c>
    </row>
    <row r="21" spans="1:9" ht="12.75">
      <c r="A21" s="208"/>
      <c r="B21" s="208"/>
      <c r="C21" s="208"/>
      <c r="D21" s="879" t="s">
        <v>1049</v>
      </c>
      <c r="E21" s="880"/>
      <c r="F21" s="209">
        <v>1500000</v>
      </c>
      <c r="G21" s="209">
        <v>0</v>
      </c>
      <c r="H21" s="209">
        <v>0</v>
      </c>
      <c r="I21" s="206">
        <f t="shared" si="0"/>
        <v>1500000</v>
      </c>
    </row>
    <row r="22" spans="1:9" s="210" customFormat="1" ht="12.75">
      <c r="A22" s="208"/>
      <c r="B22" s="208"/>
      <c r="C22" s="208"/>
      <c r="D22" s="879" t="s">
        <v>1048</v>
      </c>
      <c r="E22" s="880"/>
      <c r="F22" s="209">
        <v>2304900</v>
      </c>
      <c r="G22" s="209">
        <v>0</v>
      </c>
      <c r="H22" s="209">
        <v>0</v>
      </c>
      <c r="I22" s="206">
        <f t="shared" si="0"/>
        <v>2304900</v>
      </c>
    </row>
    <row r="23" spans="1:9" ht="12" customHeight="1">
      <c r="A23" s="219" t="s">
        <v>166</v>
      </c>
      <c r="B23" s="866" t="s">
        <v>167</v>
      </c>
      <c r="C23" s="867"/>
      <c r="D23" s="867"/>
      <c r="E23" s="868"/>
      <c r="F23" s="206">
        <f>SUM(F56+F45+F43+F42+F41+F40+F29+F28+F27+F26+F24+F25)</f>
        <v>335749227</v>
      </c>
      <c r="G23" s="206">
        <f>SUM(G56+G45+G43+G42+G41+G40+G29+G28+G27+G26+G24+G25)</f>
        <v>67767</v>
      </c>
      <c r="H23" s="206">
        <f>SUM(H56+H45+H43+H42+H41+H40+H29+H28+H27+H26+H24+H25)</f>
        <v>1486017</v>
      </c>
      <c r="I23" s="206">
        <f>SUM(F23:H23)</f>
        <v>337303011</v>
      </c>
    </row>
    <row r="24" spans="1:9" ht="12.75" hidden="1">
      <c r="A24" s="208"/>
      <c r="B24" s="208"/>
      <c r="C24" s="208" t="s">
        <v>168</v>
      </c>
      <c r="D24" s="208" t="s">
        <v>169</v>
      </c>
      <c r="E24" s="208"/>
      <c r="F24" s="209">
        <v>0</v>
      </c>
      <c r="G24" s="209">
        <v>0</v>
      </c>
      <c r="H24" s="209">
        <v>0</v>
      </c>
      <c r="I24" s="220">
        <f>SUM(F24:H24)</f>
        <v>0</v>
      </c>
    </row>
    <row r="25" spans="1:9" ht="11.25" customHeight="1">
      <c r="A25" s="208"/>
      <c r="B25" s="208"/>
      <c r="C25" s="208" t="s">
        <v>170</v>
      </c>
      <c r="D25" s="879" t="s">
        <v>171</v>
      </c>
      <c r="E25" s="880"/>
      <c r="F25" s="209">
        <f>25603463+1419433+33742913</f>
        <v>60765809</v>
      </c>
      <c r="G25" s="209">
        <v>67767</v>
      </c>
      <c r="H25" s="209">
        <v>1486017</v>
      </c>
      <c r="I25" s="220">
        <f aca="true" t="shared" si="1" ref="I25:I59">SUM(F25:H25)</f>
        <v>62319593</v>
      </c>
    </row>
    <row r="26" spans="1:9" ht="12.75" hidden="1">
      <c r="A26" s="208"/>
      <c r="B26" s="208"/>
      <c r="C26" s="208" t="s">
        <v>172</v>
      </c>
      <c r="D26" s="874" t="s">
        <v>173</v>
      </c>
      <c r="E26" s="875"/>
      <c r="F26" s="209">
        <v>0</v>
      </c>
      <c r="G26" s="209">
        <v>0</v>
      </c>
      <c r="H26" s="209">
        <v>0</v>
      </c>
      <c r="I26" s="220">
        <f t="shared" si="1"/>
        <v>0</v>
      </c>
    </row>
    <row r="27" spans="1:9" ht="12.75" hidden="1">
      <c r="A27" s="208"/>
      <c r="B27" s="208"/>
      <c r="C27" s="208" t="s">
        <v>174</v>
      </c>
      <c r="D27" s="874" t="s">
        <v>175</v>
      </c>
      <c r="E27" s="875"/>
      <c r="F27" s="209">
        <v>0</v>
      </c>
      <c r="G27" s="209">
        <v>0</v>
      </c>
      <c r="H27" s="209">
        <v>0</v>
      </c>
      <c r="I27" s="220">
        <f t="shared" si="1"/>
        <v>0</v>
      </c>
    </row>
    <row r="28" spans="1:9" ht="12.75" hidden="1">
      <c r="A28" s="208"/>
      <c r="B28" s="208"/>
      <c r="C28" s="208" t="s">
        <v>196</v>
      </c>
      <c r="D28" s="874" t="s">
        <v>197</v>
      </c>
      <c r="E28" s="875"/>
      <c r="F28" s="209">
        <v>0</v>
      </c>
      <c r="G28" s="209">
        <v>0</v>
      </c>
      <c r="H28" s="209">
        <v>0</v>
      </c>
      <c r="I28" s="220">
        <f t="shared" si="1"/>
        <v>0</v>
      </c>
    </row>
    <row r="29" spans="1:9" ht="12" customHeight="1">
      <c r="A29" s="208"/>
      <c r="B29" s="208"/>
      <c r="C29" s="208" t="s">
        <v>198</v>
      </c>
      <c r="D29" s="872" t="s">
        <v>199</v>
      </c>
      <c r="E29" s="873"/>
      <c r="F29" s="209">
        <f>SUM(F30:F39)</f>
        <v>40723</v>
      </c>
      <c r="G29" s="209">
        <f>SUM(G30:G39)</f>
        <v>0</v>
      </c>
      <c r="H29" s="209">
        <f>SUM(H30:H39)</f>
        <v>0</v>
      </c>
      <c r="I29" s="220">
        <f t="shared" si="1"/>
        <v>40723</v>
      </c>
    </row>
    <row r="30" spans="1:9" ht="12.75" hidden="1">
      <c r="A30" s="221"/>
      <c r="B30" s="221"/>
      <c r="C30" s="222" t="s">
        <v>2</v>
      </c>
      <c r="D30" s="222" t="s">
        <v>176</v>
      </c>
      <c r="E30" s="222" t="s">
        <v>177</v>
      </c>
      <c r="F30" s="223">
        <v>0</v>
      </c>
      <c r="G30" s="223">
        <v>0</v>
      </c>
      <c r="H30" s="223">
        <v>0</v>
      </c>
      <c r="I30" s="220">
        <f t="shared" si="1"/>
        <v>0</v>
      </c>
    </row>
    <row r="31" spans="1:9" ht="12.75" hidden="1">
      <c r="A31" s="221"/>
      <c r="B31" s="221"/>
      <c r="C31" s="222"/>
      <c r="D31" s="222" t="s">
        <v>178</v>
      </c>
      <c r="E31" s="222" t="s">
        <v>179</v>
      </c>
      <c r="F31" s="223">
        <v>0</v>
      </c>
      <c r="G31" s="223">
        <v>0</v>
      </c>
      <c r="H31" s="223">
        <v>0</v>
      </c>
      <c r="I31" s="220">
        <f t="shared" si="1"/>
        <v>0</v>
      </c>
    </row>
    <row r="32" spans="1:9" ht="12.75" hidden="1">
      <c r="A32" s="221"/>
      <c r="B32" s="221"/>
      <c r="C32" s="222"/>
      <c r="D32" s="222" t="s">
        <v>180</v>
      </c>
      <c r="E32" s="222" t="s">
        <v>181</v>
      </c>
      <c r="F32" s="223">
        <v>0</v>
      </c>
      <c r="G32" s="223">
        <v>0</v>
      </c>
      <c r="H32" s="223">
        <v>0</v>
      </c>
      <c r="I32" s="220">
        <f t="shared" si="1"/>
        <v>0</v>
      </c>
    </row>
    <row r="33" spans="1:9" ht="12.75" hidden="1">
      <c r="A33" s="221"/>
      <c r="B33" s="221"/>
      <c r="C33" s="222"/>
      <c r="D33" s="222" t="s">
        <v>182</v>
      </c>
      <c r="E33" s="222" t="s">
        <v>183</v>
      </c>
      <c r="F33" s="223">
        <v>0</v>
      </c>
      <c r="G33" s="223">
        <v>0</v>
      </c>
      <c r="H33" s="223">
        <v>0</v>
      </c>
      <c r="I33" s="220">
        <f t="shared" si="1"/>
        <v>0</v>
      </c>
    </row>
    <row r="34" spans="1:9" ht="12.75" hidden="1">
      <c r="A34" s="221"/>
      <c r="B34" s="221"/>
      <c r="C34" s="222"/>
      <c r="D34" s="222" t="s">
        <v>184</v>
      </c>
      <c r="E34" s="222" t="s">
        <v>185</v>
      </c>
      <c r="F34" s="223">
        <v>0</v>
      </c>
      <c r="G34" s="223">
        <v>0</v>
      </c>
      <c r="H34" s="223">
        <v>0</v>
      </c>
      <c r="I34" s="220">
        <f t="shared" si="1"/>
        <v>0</v>
      </c>
    </row>
    <row r="35" spans="1:9" ht="12.75" hidden="1">
      <c r="A35" s="221"/>
      <c r="B35" s="221"/>
      <c r="C35" s="222"/>
      <c r="D35" s="222" t="s">
        <v>186</v>
      </c>
      <c r="E35" s="222" t="s">
        <v>187</v>
      </c>
      <c r="F35" s="223">
        <v>0</v>
      </c>
      <c r="G35" s="223">
        <v>0</v>
      </c>
      <c r="H35" s="223">
        <v>0</v>
      </c>
      <c r="I35" s="220">
        <f t="shared" si="1"/>
        <v>0</v>
      </c>
    </row>
    <row r="36" spans="1:9" ht="12.75" hidden="1">
      <c r="A36" s="221"/>
      <c r="B36" s="221"/>
      <c r="C36" s="222"/>
      <c r="D36" s="222" t="s">
        <v>188</v>
      </c>
      <c r="E36" s="222" t="s">
        <v>189</v>
      </c>
      <c r="F36" s="223">
        <v>0</v>
      </c>
      <c r="G36" s="223">
        <v>0</v>
      </c>
      <c r="H36" s="223">
        <v>0</v>
      </c>
      <c r="I36" s="220">
        <f t="shared" si="1"/>
        <v>0</v>
      </c>
    </row>
    <row r="37" spans="1:9" ht="12.75" hidden="1">
      <c r="A37" s="221"/>
      <c r="B37" s="221"/>
      <c r="C37" s="222"/>
      <c r="D37" s="222" t="s">
        <v>190</v>
      </c>
      <c r="E37" s="222" t="s">
        <v>191</v>
      </c>
      <c r="F37" s="223">
        <v>40723</v>
      </c>
      <c r="G37" s="223">
        <v>0</v>
      </c>
      <c r="H37" s="223">
        <v>0</v>
      </c>
      <c r="I37" s="220">
        <f t="shared" si="1"/>
        <v>40723</v>
      </c>
    </row>
    <row r="38" spans="1:9" ht="12.75" hidden="1">
      <c r="A38" s="221"/>
      <c r="B38" s="221"/>
      <c r="C38" s="222"/>
      <c r="D38" s="222" t="s">
        <v>192</v>
      </c>
      <c r="E38" s="222" t="s">
        <v>193</v>
      </c>
      <c r="F38" s="223">
        <v>0</v>
      </c>
      <c r="G38" s="223">
        <v>0</v>
      </c>
      <c r="H38" s="223">
        <v>0</v>
      </c>
      <c r="I38" s="220">
        <f t="shared" si="1"/>
        <v>0</v>
      </c>
    </row>
    <row r="39" spans="1:9" ht="12.75" hidden="1">
      <c r="A39" s="221"/>
      <c r="B39" s="221"/>
      <c r="C39" s="222"/>
      <c r="D39" s="222" t="s">
        <v>194</v>
      </c>
      <c r="E39" s="222" t="s">
        <v>195</v>
      </c>
      <c r="F39" s="223">
        <v>0</v>
      </c>
      <c r="G39" s="223">
        <v>0</v>
      </c>
      <c r="H39" s="223">
        <v>0</v>
      </c>
      <c r="I39" s="220">
        <f t="shared" si="1"/>
        <v>0</v>
      </c>
    </row>
    <row r="40" spans="1:9" ht="12.75" hidden="1">
      <c r="A40" s="208"/>
      <c r="B40" s="208"/>
      <c r="C40" s="208" t="s">
        <v>200</v>
      </c>
      <c r="D40" s="874" t="s">
        <v>201</v>
      </c>
      <c r="E40" s="875"/>
      <c r="F40" s="209">
        <v>0</v>
      </c>
      <c r="G40" s="209">
        <v>0</v>
      </c>
      <c r="H40" s="209">
        <v>0</v>
      </c>
      <c r="I40" s="220">
        <f t="shared" si="1"/>
        <v>0</v>
      </c>
    </row>
    <row r="41" spans="1:9" ht="21.75" customHeight="1">
      <c r="A41" s="208"/>
      <c r="B41" s="208"/>
      <c r="C41" s="208" t="s">
        <v>202</v>
      </c>
      <c r="D41" s="872" t="s">
        <v>906</v>
      </c>
      <c r="E41" s="873"/>
      <c r="F41" s="209">
        <v>9314000</v>
      </c>
      <c r="G41" s="209">
        <v>0</v>
      </c>
      <c r="H41" s="209">
        <v>0</v>
      </c>
      <c r="I41" s="220">
        <f t="shared" si="1"/>
        <v>9314000</v>
      </c>
    </row>
    <row r="42" spans="1:9" ht="12.75" hidden="1">
      <c r="A42" s="208"/>
      <c r="B42" s="208"/>
      <c r="C42" s="208" t="s">
        <v>213</v>
      </c>
      <c r="D42" s="874" t="s">
        <v>214</v>
      </c>
      <c r="E42" s="875"/>
      <c r="F42" s="209">
        <v>0</v>
      </c>
      <c r="G42" s="209">
        <v>0</v>
      </c>
      <c r="H42" s="209">
        <v>0</v>
      </c>
      <c r="I42" s="220">
        <f t="shared" si="1"/>
        <v>0</v>
      </c>
    </row>
    <row r="43" spans="1:9" ht="12.75" hidden="1">
      <c r="A43" s="208"/>
      <c r="B43" s="208"/>
      <c r="C43" s="208" t="s">
        <v>215</v>
      </c>
      <c r="D43" s="874" t="s">
        <v>216</v>
      </c>
      <c r="E43" s="875"/>
      <c r="F43" s="209">
        <v>0</v>
      </c>
      <c r="G43" s="209">
        <v>0</v>
      </c>
      <c r="H43" s="209">
        <v>0</v>
      </c>
      <c r="I43" s="220">
        <f t="shared" si="1"/>
        <v>0</v>
      </c>
    </row>
    <row r="44" spans="1:9" ht="12.75" hidden="1">
      <c r="A44" s="208"/>
      <c r="B44" s="208"/>
      <c r="C44" s="208" t="s">
        <v>217</v>
      </c>
      <c r="D44" s="874" t="s">
        <v>653</v>
      </c>
      <c r="E44" s="875"/>
      <c r="F44" s="209">
        <v>0</v>
      </c>
      <c r="G44" s="209">
        <v>0</v>
      </c>
      <c r="H44" s="209">
        <v>0</v>
      </c>
      <c r="I44" s="220">
        <f t="shared" si="1"/>
        <v>0</v>
      </c>
    </row>
    <row r="45" spans="1:9" ht="12.75" customHeight="1">
      <c r="A45" s="208"/>
      <c r="B45" s="208"/>
      <c r="C45" s="208" t="s">
        <v>219</v>
      </c>
      <c r="D45" s="872" t="s">
        <v>218</v>
      </c>
      <c r="E45" s="873"/>
      <c r="F45" s="209">
        <f>SUM(F46:F55)</f>
        <v>259789999</v>
      </c>
      <c r="G45" s="209">
        <f>SUM(G46:G55)</f>
        <v>0</v>
      </c>
      <c r="H45" s="209">
        <f>SUM(H46:H55)</f>
        <v>0</v>
      </c>
      <c r="I45" s="220">
        <f t="shared" si="1"/>
        <v>259789999</v>
      </c>
    </row>
    <row r="46" spans="1:9" ht="12.75" hidden="1">
      <c r="A46" s="224"/>
      <c r="B46" s="224"/>
      <c r="C46" s="222" t="s">
        <v>2</v>
      </c>
      <c r="D46" s="273" t="s">
        <v>176</v>
      </c>
      <c r="E46" s="273" t="s">
        <v>203</v>
      </c>
      <c r="F46" s="223">
        <v>0</v>
      </c>
      <c r="G46" s="223">
        <v>0</v>
      </c>
      <c r="H46" s="223">
        <v>0</v>
      </c>
      <c r="I46" s="220">
        <f t="shared" si="1"/>
        <v>0</v>
      </c>
    </row>
    <row r="47" spans="1:9" ht="12.75" hidden="1">
      <c r="A47" s="224"/>
      <c r="B47" s="224"/>
      <c r="C47" s="222"/>
      <c r="D47" s="273" t="s">
        <v>178</v>
      </c>
      <c r="E47" s="273" t="s">
        <v>650</v>
      </c>
      <c r="F47" s="223">
        <v>0</v>
      </c>
      <c r="G47" s="223"/>
      <c r="H47" s="223"/>
      <c r="I47" s="220">
        <f t="shared" si="1"/>
        <v>0</v>
      </c>
    </row>
    <row r="48" spans="1:9" ht="12.75" hidden="1">
      <c r="A48" s="224"/>
      <c r="B48" s="224"/>
      <c r="C48" s="222"/>
      <c r="D48" s="273" t="s">
        <v>180</v>
      </c>
      <c r="E48" s="273" t="s">
        <v>204</v>
      </c>
      <c r="F48" s="223">
        <f>100000</f>
        <v>100000</v>
      </c>
      <c r="G48" s="223">
        <v>0</v>
      </c>
      <c r="H48" s="223">
        <v>0</v>
      </c>
      <c r="I48" s="220">
        <f t="shared" si="1"/>
        <v>100000</v>
      </c>
    </row>
    <row r="49" spans="1:9" ht="12.75" hidden="1">
      <c r="A49" s="224"/>
      <c r="B49" s="224"/>
      <c r="C49" s="222"/>
      <c r="D49" s="273" t="s">
        <v>182</v>
      </c>
      <c r="E49" s="273" t="s">
        <v>205</v>
      </c>
      <c r="F49" s="223">
        <v>0</v>
      </c>
      <c r="G49" s="223">
        <v>0</v>
      </c>
      <c r="H49" s="223">
        <v>0</v>
      </c>
      <c r="I49" s="220">
        <f t="shared" si="1"/>
        <v>0</v>
      </c>
    </row>
    <row r="50" spans="1:9" ht="12.75" hidden="1">
      <c r="A50" s="224"/>
      <c r="B50" s="224"/>
      <c r="C50" s="222"/>
      <c r="D50" s="273" t="s">
        <v>184</v>
      </c>
      <c r="E50" s="273" t="s">
        <v>206</v>
      </c>
      <c r="F50" s="223">
        <v>0</v>
      </c>
      <c r="G50" s="223">
        <v>0</v>
      </c>
      <c r="H50" s="223">
        <v>0</v>
      </c>
      <c r="I50" s="220">
        <f t="shared" si="1"/>
        <v>0</v>
      </c>
    </row>
    <row r="51" spans="1:9" ht="12.75" hidden="1">
      <c r="A51" s="224"/>
      <c r="B51" s="224"/>
      <c r="C51" s="222"/>
      <c r="D51" s="273" t="s">
        <v>186</v>
      </c>
      <c r="E51" s="273" t="s">
        <v>207</v>
      </c>
      <c r="F51" s="223">
        <v>0</v>
      </c>
      <c r="G51" s="223">
        <v>0</v>
      </c>
      <c r="H51" s="223">
        <v>0</v>
      </c>
      <c r="I51" s="220">
        <f t="shared" si="1"/>
        <v>0</v>
      </c>
    </row>
    <row r="52" spans="1:9" ht="12.75" hidden="1">
      <c r="A52" s="221"/>
      <c r="B52" s="221"/>
      <c r="C52" s="222"/>
      <c r="D52" s="273" t="s">
        <v>188</v>
      </c>
      <c r="E52" s="273" t="s">
        <v>208</v>
      </c>
      <c r="F52" s="223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-1500000-788000+4000000-2645132+904841+3000000+1094000</f>
        <v>214489751</v>
      </c>
      <c r="G52" s="223">
        <v>0</v>
      </c>
      <c r="H52" s="223">
        <v>0</v>
      </c>
      <c r="I52" s="220">
        <f t="shared" si="1"/>
        <v>214489751</v>
      </c>
    </row>
    <row r="53" spans="1:9" ht="12.75" hidden="1">
      <c r="A53" s="221"/>
      <c r="B53" s="221"/>
      <c r="C53" s="222"/>
      <c r="D53" s="273" t="s">
        <v>190</v>
      </c>
      <c r="E53" s="273" t="s">
        <v>209</v>
      </c>
      <c r="F53" s="223">
        <f>3224350+35026110+6949788</f>
        <v>45200248</v>
      </c>
      <c r="G53" s="223">
        <v>0</v>
      </c>
      <c r="H53" s="223">
        <v>0</v>
      </c>
      <c r="I53" s="220">
        <f t="shared" si="1"/>
        <v>45200248</v>
      </c>
    </row>
    <row r="54" spans="1:9" ht="12.75" hidden="1">
      <c r="A54" s="224"/>
      <c r="B54" s="224"/>
      <c r="C54" s="222"/>
      <c r="D54" s="273" t="s">
        <v>192</v>
      </c>
      <c r="E54" s="273" t="s">
        <v>211</v>
      </c>
      <c r="F54" s="223">
        <v>0</v>
      </c>
      <c r="G54" s="223">
        <v>0</v>
      </c>
      <c r="H54" s="223">
        <v>0</v>
      </c>
      <c r="I54" s="220">
        <f t="shared" si="1"/>
        <v>0</v>
      </c>
    </row>
    <row r="55" spans="1:9" ht="12.75" hidden="1">
      <c r="A55" s="224"/>
      <c r="B55" s="224"/>
      <c r="C55" s="222"/>
      <c r="D55" s="273" t="s">
        <v>194</v>
      </c>
      <c r="E55" s="273" t="s">
        <v>212</v>
      </c>
      <c r="F55" s="223">
        <v>0</v>
      </c>
      <c r="G55" s="223">
        <v>0</v>
      </c>
      <c r="H55" s="223">
        <v>0</v>
      </c>
      <c r="I55" s="220">
        <f t="shared" si="1"/>
        <v>0</v>
      </c>
    </row>
    <row r="56" spans="1:9" ht="12.75">
      <c r="A56" s="224"/>
      <c r="B56" s="224"/>
      <c r="C56" s="208" t="s">
        <v>654</v>
      </c>
      <c r="D56" s="872" t="s">
        <v>220</v>
      </c>
      <c r="E56" s="873"/>
      <c r="F56" s="209">
        <f>SUM(F57:F59)</f>
        <v>5838696</v>
      </c>
      <c r="G56" s="209">
        <f>SUM(G57:G59)</f>
        <v>0</v>
      </c>
      <c r="H56" s="209">
        <f>SUM(H57:H59)</f>
        <v>0</v>
      </c>
      <c r="I56" s="220">
        <f t="shared" si="1"/>
        <v>5838696</v>
      </c>
    </row>
    <row r="57" spans="1:9" ht="12.75">
      <c r="A57" s="221"/>
      <c r="B57" s="221"/>
      <c r="C57" s="225" t="s">
        <v>2</v>
      </c>
      <c r="D57" s="226"/>
      <c r="E57" s="227" t="s">
        <v>515</v>
      </c>
      <c r="F57" s="223">
        <f>1000000-40723-500000+1553784+750000-668467-1467722-100000-130000-50000</f>
        <v>346872</v>
      </c>
      <c r="G57" s="223">
        <v>0</v>
      </c>
      <c r="H57" s="223">
        <v>0</v>
      </c>
      <c r="I57" s="220">
        <f>SUM(F57:H57)</f>
        <v>346872</v>
      </c>
    </row>
    <row r="58" spans="1:9" ht="12.75">
      <c r="A58" s="221"/>
      <c r="B58" s="221"/>
      <c r="C58" s="222"/>
      <c r="D58" s="226"/>
      <c r="E58" s="227" t="s">
        <v>806</v>
      </c>
      <c r="F58" s="223">
        <f>300000+153824</f>
        <v>453824</v>
      </c>
      <c r="G58" s="223">
        <v>0</v>
      </c>
      <c r="H58" s="223">
        <v>0</v>
      </c>
      <c r="I58" s="220">
        <f t="shared" si="1"/>
        <v>453824</v>
      </c>
    </row>
    <row r="59" spans="1:9" ht="12.75">
      <c r="A59" s="221"/>
      <c r="B59" s="221"/>
      <c r="C59" s="222"/>
      <c r="D59" s="226"/>
      <c r="E59" s="227" t="s">
        <v>805</v>
      </c>
      <c r="F59" s="223">
        <f>389000+4649000</f>
        <v>5038000</v>
      </c>
      <c r="G59" s="223">
        <v>0</v>
      </c>
      <c r="H59" s="223">
        <v>0</v>
      </c>
      <c r="I59" s="220">
        <f t="shared" si="1"/>
        <v>5038000</v>
      </c>
    </row>
    <row r="60" spans="1:9" ht="12" customHeight="1">
      <c r="A60" s="219" t="s">
        <v>147</v>
      </c>
      <c r="B60" s="866" t="s">
        <v>403</v>
      </c>
      <c r="C60" s="867"/>
      <c r="D60" s="867"/>
      <c r="E60" s="868"/>
      <c r="F60" s="206">
        <f>44821928-2059095+3150000+500000+9000000+1707563+1398066+100000+88773+500000+242560000+3832400+17861888+6019000</f>
        <v>329480523</v>
      </c>
      <c r="G60" s="206">
        <v>500000</v>
      </c>
      <c r="H60" s="206">
        <f>685340-127000</f>
        <v>558340</v>
      </c>
      <c r="I60" s="206">
        <f>SUM(F60:H60)</f>
        <v>330538863</v>
      </c>
    </row>
    <row r="61" spans="1:9" ht="12.75">
      <c r="A61" s="219" t="s">
        <v>149</v>
      </c>
      <c r="B61" s="866" t="s">
        <v>148</v>
      </c>
      <c r="C61" s="867"/>
      <c r="D61" s="867"/>
      <c r="E61" s="868"/>
      <c r="F61" s="206">
        <f>16495909+2645132+19779919+2500000+5000000</f>
        <v>46420960</v>
      </c>
      <c r="G61" s="206">
        <v>0</v>
      </c>
      <c r="H61" s="206">
        <f>704850-508000</f>
        <v>196850</v>
      </c>
      <c r="I61" s="206">
        <f aca="true" t="shared" si="2" ref="I61:I71">SUM(F61:H61)</f>
        <v>46617810</v>
      </c>
    </row>
    <row r="62" spans="1:9" ht="12.75">
      <c r="A62" s="219" t="s">
        <v>151</v>
      </c>
      <c r="B62" s="866" t="s">
        <v>150</v>
      </c>
      <c r="C62" s="867"/>
      <c r="D62" s="867"/>
      <c r="E62" s="868"/>
      <c r="F62" s="206">
        <f>SUM(F63:F71)</f>
        <v>46542179</v>
      </c>
      <c r="G62" s="206">
        <f>SUM(G63:G71)</f>
        <v>0</v>
      </c>
      <c r="H62" s="206">
        <f>SUM(H63:H71)</f>
        <v>0</v>
      </c>
      <c r="I62" s="206">
        <f t="shared" si="2"/>
        <v>46542179</v>
      </c>
    </row>
    <row r="63" spans="1:9" ht="12.75" hidden="1">
      <c r="A63" s="202"/>
      <c r="B63" s="202" t="s">
        <v>222</v>
      </c>
      <c r="C63" s="865" t="s">
        <v>223</v>
      </c>
      <c r="D63" s="865"/>
      <c r="E63" s="865"/>
      <c r="F63" s="205">
        <v>0</v>
      </c>
      <c r="G63" s="205">
        <v>0</v>
      </c>
      <c r="H63" s="205">
        <v>0</v>
      </c>
      <c r="I63" s="206">
        <f t="shared" si="2"/>
        <v>0</v>
      </c>
    </row>
    <row r="64" spans="1:9" ht="12.75" hidden="1">
      <c r="A64" s="202"/>
      <c r="B64" s="202" t="s">
        <v>224</v>
      </c>
      <c r="C64" s="865" t="s">
        <v>225</v>
      </c>
      <c r="D64" s="865"/>
      <c r="E64" s="865"/>
      <c r="F64" s="205">
        <v>0</v>
      </c>
      <c r="G64" s="205">
        <v>0</v>
      </c>
      <c r="H64" s="205">
        <v>0</v>
      </c>
      <c r="I64" s="206">
        <f t="shared" si="2"/>
        <v>0</v>
      </c>
    </row>
    <row r="65" spans="1:9" ht="12.75" hidden="1">
      <c r="A65" s="202" t="s">
        <v>221</v>
      </c>
      <c r="B65" s="202" t="s">
        <v>226</v>
      </c>
      <c r="C65" s="865" t="s">
        <v>227</v>
      </c>
      <c r="D65" s="865"/>
      <c r="E65" s="865"/>
      <c r="F65" s="205">
        <v>0</v>
      </c>
      <c r="G65" s="205">
        <v>0</v>
      </c>
      <c r="H65" s="205">
        <v>0</v>
      </c>
      <c r="I65" s="206">
        <f t="shared" si="2"/>
        <v>0</v>
      </c>
    </row>
    <row r="66" spans="1:9" ht="12.75" hidden="1">
      <c r="A66" s="202"/>
      <c r="B66" s="202" t="s">
        <v>228</v>
      </c>
      <c r="C66" s="865" t="s">
        <v>229</v>
      </c>
      <c r="D66" s="865"/>
      <c r="E66" s="865"/>
      <c r="F66" s="205">
        <v>0</v>
      </c>
      <c r="G66" s="205">
        <v>0</v>
      </c>
      <c r="H66" s="205">
        <v>0</v>
      </c>
      <c r="I66" s="206">
        <f t="shared" si="2"/>
        <v>0</v>
      </c>
    </row>
    <row r="67" spans="1:9" ht="12.75" hidden="1">
      <c r="A67" s="202"/>
      <c r="B67" s="202" t="s">
        <v>230</v>
      </c>
      <c r="C67" s="865" t="s">
        <v>231</v>
      </c>
      <c r="D67" s="865"/>
      <c r="E67" s="865"/>
      <c r="F67" s="205">
        <v>0</v>
      </c>
      <c r="G67" s="205">
        <v>0</v>
      </c>
      <c r="H67" s="205">
        <v>0</v>
      </c>
      <c r="I67" s="206">
        <f t="shared" si="2"/>
        <v>0</v>
      </c>
    </row>
    <row r="68" spans="1:9" ht="12.75" hidden="1">
      <c r="A68" s="202"/>
      <c r="B68" s="202" t="s">
        <v>232</v>
      </c>
      <c r="C68" s="865" t="s">
        <v>233</v>
      </c>
      <c r="D68" s="865"/>
      <c r="E68" s="865"/>
      <c r="F68" s="205">
        <v>0</v>
      </c>
      <c r="G68" s="205">
        <v>0</v>
      </c>
      <c r="H68" s="205">
        <v>0</v>
      </c>
      <c r="I68" s="206">
        <f t="shared" si="2"/>
        <v>0</v>
      </c>
    </row>
    <row r="69" spans="1:9" ht="12.75" hidden="1">
      <c r="A69" s="202"/>
      <c r="B69" s="202" t="s">
        <v>234</v>
      </c>
      <c r="C69" s="865" t="s">
        <v>235</v>
      </c>
      <c r="D69" s="865"/>
      <c r="E69" s="865"/>
      <c r="F69" s="205">
        <v>0</v>
      </c>
      <c r="G69" s="205">
        <v>0</v>
      </c>
      <c r="H69" s="205">
        <v>0</v>
      </c>
      <c r="I69" s="206">
        <f t="shared" si="2"/>
        <v>0</v>
      </c>
    </row>
    <row r="70" spans="1:9" ht="12.75" hidden="1">
      <c r="A70" s="202"/>
      <c r="B70" s="202" t="s">
        <v>236</v>
      </c>
      <c r="C70" s="865" t="s">
        <v>656</v>
      </c>
      <c r="D70" s="865"/>
      <c r="E70" s="865"/>
      <c r="F70" s="205">
        <v>0</v>
      </c>
      <c r="G70" s="205">
        <v>0</v>
      </c>
      <c r="H70" s="205">
        <v>0</v>
      </c>
      <c r="I70" s="206">
        <f>SUM(F70:H70)</f>
        <v>0</v>
      </c>
    </row>
    <row r="71" spans="1:9" ht="12.75">
      <c r="A71" s="202"/>
      <c r="B71" s="202" t="s">
        <v>655</v>
      </c>
      <c r="C71" s="865" t="s">
        <v>804</v>
      </c>
      <c r="D71" s="865"/>
      <c r="E71" s="865"/>
      <c r="F71" s="205">
        <f>1609020+80026110-35026110+788000-904841+50000</f>
        <v>46542179</v>
      </c>
      <c r="G71" s="205">
        <v>0</v>
      </c>
      <c r="H71" s="205">
        <v>0</v>
      </c>
      <c r="I71" s="742">
        <f t="shared" si="2"/>
        <v>46542179</v>
      </c>
    </row>
    <row r="72" spans="1:9" ht="12.75">
      <c r="A72" s="219" t="s">
        <v>153</v>
      </c>
      <c r="B72" s="866" t="s">
        <v>152</v>
      </c>
      <c r="C72" s="867"/>
      <c r="D72" s="867"/>
      <c r="E72" s="868"/>
      <c r="F72" s="206">
        <v>17567323</v>
      </c>
      <c r="G72" s="206">
        <v>0</v>
      </c>
      <c r="H72" s="206">
        <v>0</v>
      </c>
      <c r="I72" s="206">
        <f>SUM(F72:H72)</f>
        <v>17567323</v>
      </c>
    </row>
    <row r="73" spans="1:9" ht="12.75">
      <c r="A73" s="228"/>
      <c r="B73" s="229"/>
      <c r="C73" s="229"/>
      <c r="D73" s="229"/>
      <c r="E73" s="229"/>
      <c r="F73" s="230"/>
      <c r="G73" s="231"/>
      <c r="H73" s="231"/>
      <c r="I73" s="232"/>
    </row>
    <row r="74" spans="1:9" ht="15.75">
      <c r="A74" s="869" t="s">
        <v>237</v>
      </c>
      <c r="B74" s="870"/>
      <c r="C74" s="870"/>
      <c r="D74" s="870"/>
      <c r="E74" s="871"/>
      <c r="F74" s="233">
        <f>SUM(F7+F8+F9+F10+F23+F60+F61+F62+F72)</f>
        <v>1295445275</v>
      </c>
      <c r="G74" s="233">
        <f>SUM(G7+G8+G9+G10+G23+G60+G61+G62+G72)</f>
        <v>131355085</v>
      </c>
      <c r="H74" s="233">
        <f>SUM(H7+H8+H9+H10+H23+H60+H61+H62+H72)</f>
        <v>248324079</v>
      </c>
      <c r="I74" s="233">
        <f>SUM(I7+I8+I9+I10+I23+I60+I61+I62+I72)</f>
        <v>1675124439</v>
      </c>
    </row>
  </sheetData>
  <sheetProtection/>
  <mergeCells count="46">
    <mergeCell ref="B23:E23"/>
    <mergeCell ref="D21:E21"/>
    <mergeCell ref="D22:E22"/>
    <mergeCell ref="C16:E16"/>
    <mergeCell ref="C18:E18"/>
    <mergeCell ref="C19:E19"/>
    <mergeCell ref="C20:E20"/>
    <mergeCell ref="A1:I1"/>
    <mergeCell ref="A3:I3"/>
    <mergeCell ref="A5:E5"/>
    <mergeCell ref="B6:E6"/>
    <mergeCell ref="B7:E7"/>
    <mergeCell ref="C12:E12"/>
    <mergeCell ref="C11:E11"/>
    <mergeCell ref="D26:E26"/>
    <mergeCell ref="D27:E27"/>
    <mergeCell ref="D28:E28"/>
    <mergeCell ref="B10:E10"/>
    <mergeCell ref="B8:E8"/>
    <mergeCell ref="B9:E9"/>
    <mergeCell ref="D13:E13"/>
    <mergeCell ref="D14:E14"/>
    <mergeCell ref="C15:E15"/>
    <mergeCell ref="D25:E25"/>
    <mergeCell ref="D29:E29"/>
    <mergeCell ref="D40:E40"/>
    <mergeCell ref="D41:E41"/>
    <mergeCell ref="D42:E42"/>
    <mergeCell ref="D43:E43"/>
    <mergeCell ref="D44:E44"/>
    <mergeCell ref="B62:E62"/>
    <mergeCell ref="C63:E63"/>
    <mergeCell ref="C64:E64"/>
    <mergeCell ref="B61:E61"/>
    <mergeCell ref="D45:E45"/>
    <mergeCell ref="D56:E56"/>
    <mergeCell ref="B60:E60"/>
    <mergeCell ref="C71:E71"/>
    <mergeCell ref="B72:E72"/>
    <mergeCell ref="A74:E74"/>
    <mergeCell ref="C65:E65"/>
    <mergeCell ref="C66:E66"/>
    <mergeCell ref="C67:E67"/>
    <mergeCell ref="C68:E68"/>
    <mergeCell ref="C69:E69"/>
    <mergeCell ref="C70:E70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2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125" style="105" bestFit="1" customWidth="1"/>
    <col min="2" max="2" width="55.125" style="38" bestFit="1" customWidth="1"/>
    <col min="3" max="3" width="12.25390625" style="38" bestFit="1" customWidth="1"/>
    <col min="4" max="4" width="12.00390625" style="38" bestFit="1" customWidth="1"/>
    <col min="5" max="5" width="13.375" style="38" bestFit="1" customWidth="1"/>
    <col min="6" max="6" width="53.875" style="38" bestFit="1" customWidth="1"/>
    <col min="7" max="8" width="13.25390625" style="38" bestFit="1" customWidth="1"/>
    <col min="9" max="9" width="13.25390625" style="38" customWidth="1"/>
    <col min="10" max="16384" width="9.125" style="38" customWidth="1"/>
  </cols>
  <sheetData>
    <row r="1" spans="6:10" ht="12.75" customHeight="1">
      <c r="F1" s="893" t="s">
        <v>1077</v>
      </c>
      <c r="G1" s="894"/>
      <c r="H1" s="894"/>
      <c r="I1" s="894"/>
      <c r="J1" s="89"/>
    </row>
    <row r="2" spans="2:9" ht="15.75">
      <c r="B2" s="895" t="s">
        <v>807</v>
      </c>
      <c r="C2" s="895"/>
      <c r="D2" s="895"/>
      <c r="E2" s="895"/>
      <c r="F2" s="895"/>
      <c r="G2" s="895"/>
      <c r="H2" s="895"/>
      <c r="I2" s="895"/>
    </row>
    <row r="3" ht="8.25" customHeight="1"/>
    <row r="4" spans="1:9" s="39" customFormat="1" ht="15" customHeight="1">
      <c r="A4" s="897" t="s">
        <v>484</v>
      </c>
      <c r="B4" s="896" t="s">
        <v>490</v>
      </c>
      <c r="C4" s="896"/>
      <c r="D4" s="896"/>
      <c r="E4" s="896"/>
      <c r="F4" s="896" t="s">
        <v>398</v>
      </c>
      <c r="G4" s="896"/>
      <c r="H4" s="896"/>
      <c r="I4" s="896"/>
    </row>
    <row r="5" spans="1:9" s="42" customFormat="1" ht="14.25">
      <c r="A5" s="897"/>
      <c r="B5" s="40" t="s">
        <v>397</v>
      </c>
      <c r="C5" s="41" t="s">
        <v>369</v>
      </c>
      <c r="D5" s="41" t="s">
        <v>368</v>
      </c>
      <c r="E5" s="41" t="s">
        <v>472</v>
      </c>
      <c r="F5" s="40" t="s">
        <v>397</v>
      </c>
      <c r="G5" s="41" t="s">
        <v>369</v>
      </c>
      <c r="H5" s="41" t="s">
        <v>368</v>
      </c>
      <c r="I5" s="41" t="s">
        <v>472</v>
      </c>
    </row>
    <row r="6" spans="1:9" s="104" customFormat="1" ht="12">
      <c r="A6" s="897"/>
      <c r="B6" s="103" t="s">
        <v>478</v>
      </c>
      <c r="C6" s="103" t="s">
        <v>479</v>
      </c>
      <c r="D6" s="103" t="s">
        <v>480</v>
      </c>
      <c r="E6" s="103" t="s">
        <v>481</v>
      </c>
      <c r="F6" s="103" t="s">
        <v>482</v>
      </c>
      <c r="G6" s="103" t="s">
        <v>483</v>
      </c>
      <c r="H6" s="103" t="s">
        <v>485</v>
      </c>
      <c r="I6" s="103" t="s">
        <v>486</v>
      </c>
    </row>
    <row r="7" spans="1:9" s="64" customFormat="1" ht="14.25">
      <c r="A7" s="103">
        <v>1</v>
      </c>
      <c r="B7" s="63" t="s">
        <v>586</v>
      </c>
      <c r="C7" s="81">
        <f>SUM(C8)</f>
        <v>1036941376</v>
      </c>
      <c r="D7" s="81">
        <f>SUM(D33,D8)</f>
        <v>525672187</v>
      </c>
      <c r="E7" s="81">
        <f aca="true" t="shared" si="0" ref="E7:E31">SUM(C7:D7)</f>
        <v>1562613563</v>
      </c>
      <c r="F7" s="63" t="s">
        <v>587</v>
      </c>
      <c r="G7" s="81">
        <f>SUM(G8,G33)</f>
        <v>1228820264</v>
      </c>
      <c r="H7" s="81">
        <f>SUM(H8,H33)</f>
        <v>428736852</v>
      </c>
      <c r="I7" s="81">
        <f aca="true" t="shared" si="1" ref="I7:I12">SUM(G7:H7)</f>
        <v>1657557116</v>
      </c>
    </row>
    <row r="8" spans="1:9" s="73" customFormat="1" ht="12.75">
      <c r="A8" s="106">
        <v>2</v>
      </c>
      <c r="B8" s="70" t="s">
        <v>508</v>
      </c>
      <c r="C8" s="71">
        <f>SUM(C29+C18+C14+C9)</f>
        <v>1036941376</v>
      </c>
      <c r="D8" s="71">
        <f>SUM(D29+D18+D14+D9)</f>
        <v>0</v>
      </c>
      <c r="E8" s="71">
        <f t="shared" si="0"/>
        <v>1036941376</v>
      </c>
      <c r="F8" s="72" t="s">
        <v>512</v>
      </c>
      <c r="G8" s="71">
        <f>SUM(G9:G13)</f>
        <v>1228820264</v>
      </c>
      <c r="H8" s="71">
        <f>SUM(H9:H13)</f>
        <v>5038000</v>
      </c>
      <c r="I8" s="71">
        <f t="shared" si="1"/>
        <v>1233858264</v>
      </c>
    </row>
    <row r="9" spans="1:9" s="45" customFormat="1" ht="12.75">
      <c r="A9" s="106">
        <v>3</v>
      </c>
      <c r="B9" s="79" t="s">
        <v>15</v>
      </c>
      <c r="C9" s="60">
        <f>SUM(C10:C13)</f>
        <v>799540469</v>
      </c>
      <c r="D9" s="60">
        <f>SUM(D10:D13)</f>
        <v>0</v>
      </c>
      <c r="E9" s="60">
        <f t="shared" si="0"/>
        <v>799540469</v>
      </c>
      <c r="F9" s="80" t="s">
        <v>513</v>
      </c>
      <c r="G9" s="60">
        <f>325122848-2363520+2363520-146050-511475+110000+169300+13200+89907417+30882431+492700+719400+135246+7051200+1250944-1250944-1094000-1300000-32740+483000+478125+30000</f>
        <v>452510602</v>
      </c>
      <c r="H9" s="60">
        <v>0</v>
      </c>
      <c r="I9" s="60">
        <f t="shared" si="1"/>
        <v>452510602</v>
      </c>
    </row>
    <row r="10" spans="1:9" s="45" customFormat="1" ht="12.75">
      <c r="A10" s="103">
        <v>4</v>
      </c>
      <c r="B10" s="57" t="s">
        <v>16</v>
      </c>
      <c r="C10" s="62">
        <f>486768355+1835612+6949788+1614100+1000000+4556666+5138000+18133038+767984+9413647-38760</f>
        <v>536138430</v>
      </c>
      <c r="D10" s="62">
        <v>0</v>
      </c>
      <c r="E10" s="62">
        <f t="shared" si="0"/>
        <v>536138430</v>
      </c>
      <c r="F10" s="80" t="s">
        <v>820</v>
      </c>
      <c r="G10" s="60">
        <f>74426575-519974+519974-32131-112525+430000+24200+37246+2904+9889529+3396993+108394+158268+29754+1898910+275208-275208-567580+32740+106260+105190+6000</f>
        <v>89940727</v>
      </c>
      <c r="H10" s="60">
        <v>0</v>
      </c>
      <c r="I10" s="60">
        <f t="shared" si="1"/>
        <v>89940727</v>
      </c>
    </row>
    <row r="11" spans="1:9" s="45" customFormat="1" ht="12.75">
      <c r="A11" s="106">
        <v>5</v>
      </c>
      <c r="B11" s="57" t="s">
        <v>818</v>
      </c>
      <c r="C11" s="62">
        <v>0</v>
      </c>
      <c r="D11" s="62">
        <v>0</v>
      </c>
      <c r="E11" s="62">
        <f t="shared" si="0"/>
        <v>0</v>
      </c>
      <c r="F11" s="80" t="s">
        <v>39</v>
      </c>
      <c r="G11" s="60">
        <f>297365778-2000000-947010+3850000+500000+178181-1000000-1500000-500000+624000+6762752+1479371+22851+788800+17100+1204560+1176540+214270+608965+379000+255887+237516+8426434+6312014+1686276+1143687+20948+100000+48289-88773+146050+24000+978201+7185532+42000-24000+167805+24300+1867580+34000</f>
        <v>337812904</v>
      </c>
      <c r="H11" s="60">
        <v>0</v>
      </c>
      <c r="I11" s="60">
        <f t="shared" si="1"/>
        <v>337812904</v>
      </c>
    </row>
    <row r="12" spans="1:9" s="45" customFormat="1" ht="12.75">
      <c r="A12" s="106">
        <v>6</v>
      </c>
      <c r="B12" s="57" t="s">
        <v>17</v>
      </c>
      <c r="C12" s="62">
        <f>93495106+4438250+3850000+108223380+40591438+750000+165000+978201+16135642-7951337+589260+583315</f>
        <v>261848255</v>
      </c>
      <c r="D12" s="62">
        <v>0</v>
      </c>
      <c r="E12" s="62">
        <f t="shared" si="0"/>
        <v>261848255</v>
      </c>
      <c r="F12" s="80" t="s">
        <v>40</v>
      </c>
      <c r="G12" s="60">
        <v>16291020</v>
      </c>
      <c r="H12" s="60">
        <v>0</v>
      </c>
      <c r="I12" s="60">
        <f t="shared" si="1"/>
        <v>16291020</v>
      </c>
    </row>
    <row r="13" spans="1:9" s="45" customFormat="1" ht="12.75">
      <c r="A13" s="106"/>
      <c r="B13" s="57" t="s">
        <v>910</v>
      </c>
      <c r="C13" s="62">
        <f>1486017+67767</f>
        <v>1553784</v>
      </c>
      <c r="D13" s="62">
        <v>0</v>
      </c>
      <c r="E13" s="62">
        <f t="shared" si="0"/>
        <v>1553784</v>
      </c>
      <c r="F13" s="84" t="s">
        <v>43</v>
      </c>
      <c r="G13" s="60">
        <f>SUM(G14:G18)</f>
        <v>332265011</v>
      </c>
      <c r="H13" s="60">
        <f>SUM(H14:H18)</f>
        <v>5038000</v>
      </c>
      <c r="I13" s="60">
        <f aca="true" t="shared" si="2" ref="I13:I18">SUM(G13:H13)</f>
        <v>337303011</v>
      </c>
    </row>
    <row r="14" spans="1:9" s="45" customFormat="1" ht="12.75">
      <c r="A14" s="103">
        <v>7</v>
      </c>
      <c r="B14" s="79" t="s">
        <v>21</v>
      </c>
      <c r="C14" s="60">
        <f>SUM(C15:C17)</f>
        <v>182010000</v>
      </c>
      <c r="D14" s="60">
        <f>SUM(D15:D17)</f>
        <v>0</v>
      </c>
      <c r="E14" s="60">
        <f t="shared" si="0"/>
        <v>182010000</v>
      </c>
      <c r="F14" s="59" t="s">
        <v>41</v>
      </c>
      <c r="G14" s="62">
        <v>40723</v>
      </c>
      <c r="H14" s="62">
        <v>0</v>
      </c>
      <c r="I14" s="62">
        <f t="shared" si="2"/>
        <v>40723</v>
      </c>
    </row>
    <row r="15" spans="1:9" s="46" customFormat="1" ht="12.75">
      <c r="A15" s="106">
        <v>8</v>
      </c>
      <c r="B15" s="57" t="s">
        <v>133</v>
      </c>
      <c r="C15" s="62">
        <f>26700000+135800000+50000-50000</f>
        <v>162500000</v>
      </c>
      <c r="D15" s="62">
        <v>0</v>
      </c>
      <c r="E15" s="62">
        <f t="shared" si="0"/>
        <v>162500000</v>
      </c>
      <c r="F15" s="59" t="s">
        <v>819</v>
      </c>
      <c r="G15" s="62">
        <v>9314000</v>
      </c>
      <c r="H15" s="62">
        <v>0</v>
      </c>
      <c r="I15" s="62">
        <f t="shared" si="2"/>
        <v>9314000</v>
      </c>
    </row>
    <row r="16" spans="1:9" s="46" customFormat="1" ht="12.75">
      <c r="A16" s="106">
        <v>9</v>
      </c>
      <c r="B16" s="58" t="s">
        <v>51</v>
      </c>
      <c r="C16" s="62">
        <v>19200000</v>
      </c>
      <c r="D16" s="62">
        <v>0</v>
      </c>
      <c r="E16" s="62">
        <f t="shared" si="0"/>
        <v>19200000</v>
      </c>
      <c r="F16" s="59" t="s">
        <v>42</v>
      </c>
      <c r="G16" s="62">
        <f>222919392-8000000-1200000+35026110+782000+854000-1607000-1500000-788000+4000000-2645132+904841+6949788+3000000+1094000</f>
        <v>259789999</v>
      </c>
      <c r="H16" s="62">
        <v>0</v>
      </c>
      <c r="I16" s="62">
        <f t="shared" si="2"/>
        <v>259789999</v>
      </c>
    </row>
    <row r="17" spans="1:9" s="46" customFormat="1" ht="12.75">
      <c r="A17" s="103">
        <v>10</v>
      </c>
      <c r="B17" s="57" t="s">
        <v>22</v>
      </c>
      <c r="C17" s="62">
        <v>310000</v>
      </c>
      <c r="D17" s="62">
        <v>0</v>
      </c>
      <c r="E17" s="62">
        <f t="shared" si="0"/>
        <v>310000</v>
      </c>
      <c r="F17" s="59" t="s">
        <v>44</v>
      </c>
      <c r="G17" s="62">
        <f>2300000-40723-500000-1000000+6865581+30016102-6762752+153824-102829-50995-5512457-430000-379000-4649000-255887-18738763+1553784+750000-668467-1467722-100000-130000-50000</f>
        <v>800696</v>
      </c>
      <c r="H17" s="62">
        <f>3550000+389000-680000+4649000-2870000</f>
        <v>5038000</v>
      </c>
      <c r="I17" s="62">
        <f t="shared" si="2"/>
        <v>5838696</v>
      </c>
    </row>
    <row r="18" spans="1:9" s="46" customFormat="1" ht="12.75">
      <c r="A18" s="106">
        <v>11</v>
      </c>
      <c r="B18" s="79" t="s">
        <v>23</v>
      </c>
      <c r="C18" s="60">
        <f>SUM(C19:C28)</f>
        <v>55390907</v>
      </c>
      <c r="D18" s="60">
        <f>SUM(D19:D28)</f>
        <v>0</v>
      </c>
      <c r="E18" s="60">
        <f t="shared" si="0"/>
        <v>55390907</v>
      </c>
      <c r="F18" s="59" t="s">
        <v>909</v>
      </c>
      <c r="G18" s="62">
        <f>25603463+1419433+67767+1486017+33742913</f>
        <v>62319593</v>
      </c>
      <c r="H18" s="60">
        <v>0</v>
      </c>
      <c r="I18" s="62">
        <f t="shared" si="2"/>
        <v>62319593</v>
      </c>
    </row>
    <row r="19" spans="1:9" s="45" customFormat="1" ht="12.75">
      <c r="A19" s="106">
        <v>12</v>
      </c>
      <c r="B19" s="57" t="s">
        <v>657</v>
      </c>
      <c r="C19" s="62">
        <f>7900000+1850953</f>
        <v>9750953</v>
      </c>
      <c r="D19" s="62">
        <v>0</v>
      </c>
      <c r="E19" s="62">
        <f t="shared" si="0"/>
        <v>9750953</v>
      </c>
      <c r="F19" s="59"/>
      <c r="G19" s="62"/>
      <c r="H19" s="60"/>
      <c r="I19" s="62"/>
    </row>
    <row r="20" spans="1:9" s="45" customFormat="1" ht="12.75">
      <c r="A20" s="103">
        <v>13</v>
      </c>
      <c r="B20" s="57" t="s">
        <v>24</v>
      </c>
      <c r="C20" s="62">
        <f>18796705+4800000+67100+90000+77805+70000</f>
        <v>23901610</v>
      </c>
      <c r="D20" s="62">
        <v>0</v>
      </c>
      <c r="E20" s="62">
        <f t="shared" si="0"/>
        <v>23901610</v>
      </c>
      <c r="F20" s="59"/>
      <c r="G20" s="62"/>
      <c r="H20" s="62"/>
      <c r="I20" s="62"/>
    </row>
    <row r="21" spans="1:9" s="45" customFormat="1" ht="12.75">
      <c r="A21" s="106">
        <v>14</v>
      </c>
      <c r="B21" s="57" t="s">
        <v>25</v>
      </c>
      <c r="C21" s="62">
        <f>7015322+32122+20948+80928</f>
        <v>7149320</v>
      </c>
      <c r="D21" s="62">
        <v>0</v>
      </c>
      <c r="E21" s="62">
        <f t="shared" si="0"/>
        <v>7149320</v>
      </c>
      <c r="F21" s="59"/>
      <c r="G21" s="62"/>
      <c r="H21" s="62"/>
      <c r="I21" s="62"/>
    </row>
    <row r="22" spans="1:9" s="45" customFormat="1" ht="12.75">
      <c r="A22" s="106">
        <v>15</v>
      </c>
      <c r="B22" s="57" t="s">
        <v>608</v>
      </c>
      <c r="C22" s="62">
        <v>639000</v>
      </c>
      <c r="D22" s="62">
        <v>0</v>
      </c>
      <c r="E22" s="62">
        <f t="shared" si="0"/>
        <v>639000</v>
      </c>
      <c r="F22" s="59"/>
      <c r="G22" s="62"/>
      <c r="H22" s="62"/>
      <c r="I22" s="62"/>
    </row>
    <row r="23" spans="1:9" s="45" customFormat="1" ht="12.75">
      <c r="A23" s="103">
        <v>16</v>
      </c>
      <c r="B23" s="57" t="s">
        <v>26</v>
      </c>
      <c r="C23" s="62">
        <v>5289800</v>
      </c>
      <c r="D23" s="62">
        <v>0</v>
      </c>
      <c r="E23" s="62">
        <f t="shared" si="0"/>
        <v>5289800</v>
      </c>
      <c r="F23" s="59"/>
      <c r="G23" s="62"/>
      <c r="H23" s="62"/>
      <c r="I23" s="62"/>
    </row>
    <row r="24" spans="1:9" s="45" customFormat="1" ht="12.75">
      <c r="A24" s="106">
        <v>17</v>
      </c>
      <c r="B24" s="57" t="s">
        <v>27</v>
      </c>
      <c r="C24" s="62">
        <f>5888578+1296000+451243+19072+24300</f>
        <v>7679193</v>
      </c>
      <c r="D24" s="62">
        <v>0</v>
      </c>
      <c r="E24" s="62">
        <f t="shared" si="0"/>
        <v>7679193</v>
      </c>
      <c r="F24" s="44"/>
      <c r="G24" s="62"/>
      <c r="H24" s="61"/>
      <c r="I24" s="61"/>
    </row>
    <row r="25" spans="1:9" s="45" customFormat="1" ht="12.75">
      <c r="A25" s="106">
        <v>18</v>
      </c>
      <c r="B25" s="57" t="s">
        <v>330</v>
      </c>
      <c r="C25" s="62">
        <v>0</v>
      </c>
      <c r="D25" s="62">
        <v>0</v>
      </c>
      <c r="E25" s="62">
        <f t="shared" si="0"/>
        <v>0</v>
      </c>
      <c r="F25" s="44"/>
      <c r="G25" s="62"/>
      <c r="H25" s="61"/>
      <c r="I25" s="61"/>
    </row>
    <row r="26" spans="1:9" s="45" customFormat="1" ht="12.75">
      <c r="A26" s="106">
        <v>19</v>
      </c>
      <c r="B26" s="57" t="s">
        <v>856</v>
      </c>
      <c r="C26" s="62">
        <f>6000</f>
        <v>6000</v>
      </c>
      <c r="D26" s="62">
        <v>0</v>
      </c>
      <c r="E26" s="62">
        <f t="shared" si="0"/>
        <v>6000</v>
      </c>
      <c r="F26" s="44"/>
      <c r="G26" s="62"/>
      <c r="H26" s="61"/>
      <c r="I26" s="61"/>
    </row>
    <row r="27" spans="1:9" s="45" customFormat="1" ht="12.75">
      <c r="A27" s="106"/>
      <c r="B27" s="57" t="s">
        <v>983</v>
      </c>
      <c r="C27" s="62">
        <v>42000</v>
      </c>
      <c r="D27" s="62">
        <v>0</v>
      </c>
      <c r="E27" s="62">
        <f>SUM(C27:D27)</f>
        <v>42000</v>
      </c>
      <c r="F27" s="44"/>
      <c r="G27" s="62"/>
      <c r="H27" s="61"/>
      <c r="I27" s="61"/>
    </row>
    <row r="28" spans="1:9" s="43" customFormat="1" ht="12.75">
      <c r="A28" s="103">
        <v>20</v>
      </c>
      <c r="B28" s="57" t="s">
        <v>984</v>
      </c>
      <c r="C28" s="62">
        <f>918587+14444</f>
        <v>933031</v>
      </c>
      <c r="D28" s="62">
        <v>0</v>
      </c>
      <c r="E28" s="62">
        <f t="shared" si="0"/>
        <v>933031</v>
      </c>
      <c r="F28" s="44"/>
      <c r="G28" s="61"/>
      <c r="H28" s="61"/>
      <c r="I28" s="61"/>
    </row>
    <row r="29" spans="1:9" s="43" customFormat="1" ht="12.75">
      <c r="A29" s="106">
        <v>21</v>
      </c>
      <c r="B29" s="79" t="s">
        <v>33</v>
      </c>
      <c r="C29" s="60">
        <f>SUM(C30:C31)</f>
        <v>0</v>
      </c>
      <c r="D29" s="60">
        <v>0</v>
      </c>
      <c r="E29" s="60">
        <f t="shared" si="0"/>
        <v>0</v>
      </c>
      <c r="F29" s="44"/>
      <c r="G29" s="61"/>
      <c r="H29" s="61"/>
      <c r="I29" s="61"/>
    </row>
    <row r="30" spans="1:9" s="43" customFormat="1" ht="12.75">
      <c r="A30" s="106">
        <v>22</v>
      </c>
      <c r="B30" s="57" t="s">
        <v>34</v>
      </c>
      <c r="C30" s="62">
        <v>0</v>
      </c>
      <c r="D30" s="62">
        <v>0</v>
      </c>
      <c r="E30" s="62">
        <f t="shared" si="0"/>
        <v>0</v>
      </c>
      <c r="F30" s="44"/>
      <c r="G30" s="61"/>
      <c r="H30" s="61"/>
      <c r="I30" s="61"/>
    </row>
    <row r="31" spans="1:9" s="43" customFormat="1" ht="12.75">
      <c r="A31" s="103">
        <v>23</v>
      </c>
      <c r="B31" s="57" t="s">
        <v>35</v>
      </c>
      <c r="C31" s="62">
        <v>0</v>
      </c>
      <c r="D31" s="62">
        <v>0</v>
      </c>
      <c r="E31" s="62">
        <f t="shared" si="0"/>
        <v>0</v>
      </c>
      <c r="F31" s="44"/>
      <c r="G31" s="61"/>
      <c r="H31" s="61"/>
      <c r="I31" s="61"/>
    </row>
    <row r="32" spans="1:9" s="43" customFormat="1" ht="12.75">
      <c r="A32" s="106">
        <v>24</v>
      </c>
      <c r="B32" s="57"/>
      <c r="C32" s="62"/>
      <c r="D32" s="62"/>
      <c r="E32" s="62"/>
      <c r="F32" s="44"/>
      <c r="G32" s="61"/>
      <c r="H32" s="61"/>
      <c r="I32" s="61"/>
    </row>
    <row r="33" spans="1:9" s="73" customFormat="1" ht="12.75">
      <c r="A33" s="106">
        <v>25</v>
      </c>
      <c r="B33" s="74" t="s">
        <v>511</v>
      </c>
      <c r="C33" s="71">
        <f>SUM(C42+C37+C34)</f>
        <v>0</v>
      </c>
      <c r="D33" s="71">
        <f>SUM(D42+D37+D34)</f>
        <v>525672187</v>
      </c>
      <c r="E33" s="71">
        <f>SUM(D33:D33)</f>
        <v>525672187</v>
      </c>
      <c r="F33" s="72" t="s">
        <v>364</v>
      </c>
      <c r="G33" s="71">
        <f>SUM(G34:G36)</f>
        <v>0</v>
      </c>
      <c r="H33" s="71">
        <f>SUM(H34:H36)</f>
        <v>423698852</v>
      </c>
      <c r="I33" s="71">
        <f aca="true" t="shared" si="3" ref="I33:I41">SUM(G33:H33)</f>
        <v>423698852</v>
      </c>
    </row>
    <row r="34" spans="1:9" s="43" customFormat="1" ht="12.75">
      <c r="A34" s="103">
        <v>26</v>
      </c>
      <c r="B34" s="79" t="s">
        <v>18</v>
      </c>
      <c r="C34" s="60">
        <f>SUM(C35:C36)</f>
        <v>0</v>
      </c>
      <c r="D34" s="60">
        <f>SUM(D35:D36)</f>
        <v>312808836</v>
      </c>
      <c r="E34" s="60">
        <f>SUM(D34:D34)</f>
        <v>312808836</v>
      </c>
      <c r="F34" s="80" t="s">
        <v>45</v>
      </c>
      <c r="G34" s="60">
        <v>0</v>
      </c>
      <c r="H34" s="60">
        <f>46007268-2059095-127000+3150000+500000+9000000+1707563+1398066+100000+88773+500000+242560000+3832400+17861888+6019000</f>
        <v>330538863</v>
      </c>
      <c r="I34" s="60">
        <f t="shared" si="3"/>
        <v>330538863</v>
      </c>
    </row>
    <row r="35" spans="1:9" s="43" customFormat="1" ht="12.75">
      <c r="A35" s="106">
        <v>27</v>
      </c>
      <c r="B35" s="57" t="s">
        <v>19</v>
      </c>
      <c r="C35" s="62">
        <v>0</v>
      </c>
      <c r="D35" s="62">
        <v>0</v>
      </c>
      <c r="E35" s="62">
        <f aca="true" t="shared" si="4" ref="E35:E44">SUM(D35:D35)</f>
        <v>0</v>
      </c>
      <c r="F35" s="80" t="s">
        <v>46</v>
      </c>
      <c r="G35" s="60">
        <v>0</v>
      </c>
      <c r="H35" s="60">
        <f>17200759-508000+2645132+19779919+2500000+5000000</f>
        <v>46617810</v>
      </c>
      <c r="I35" s="60">
        <f t="shared" si="3"/>
        <v>46617810</v>
      </c>
    </row>
    <row r="36" spans="1:9" s="43" customFormat="1" ht="12.75">
      <c r="A36" s="106">
        <v>28</v>
      </c>
      <c r="B36" s="57" t="s">
        <v>20</v>
      </c>
      <c r="C36" s="62">
        <v>0</v>
      </c>
      <c r="D36" s="62">
        <f>3150000+9000000+1707563+1398066+242560000+19779919+2500000+3832400+17861888+5000000+6019000</f>
        <v>312808836</v>
      </c>
      <c r="E36" s="62">
        <f t="shared" si="4"/>
        <v>312808836</v>
      </c>
      <c r="F36" s="80" t="s">
        <v>47</v>
      </c>
      <c r="G36" s="60">
        <f>SUM(G37:G41)</f>
        <v>0</v>
      </c>
      <c r="H36" s="60">
        <f>SUM(H37:H41)</f>
        <v>46542179</v>
      </c>
      <c r="I36" s="60">
        <f t="shared" si="3"/>
        <v>46542179</v>
      </c>
    </row>
    <row r="37" spans="1:9" s="43" customFormat="1" ht="12.75">
      <c r="A37" s="103">
        <v>29</v>
      </c>
      <c r="B37" s="79" t="s">
        <v>28</v>
      </c>
      <c r="C37" s="60">
        <f>SUM(C38:C41)</f>
        <v>0</v>
      </c>
      <c r="D37" s="60">
        <f>SUM(D38:D41)</f>
        <v>209863351</v>
      </c>
      <c r="E37" s="60">
        <f t="shared" si="4"/>
        <v>209863351</v>
      </c>
      <c r="F37" s="59" t="s">
        <v>48</v>
      </c>
      <c r="G37" s="62">
        <v>0</v>
      </c>
      <c r="H37" s="62">
        <v>0</v>
      </c>
      <c r="I37" s="62">
        <f t="shared" si="3"/>
        <v>0</v>
      </c>
    </row>
    <row r="38" spans="1:9" s="43" customFormat="1" ht="12.75">
      <c r="A38" s="106">
        <v>30</v>
      </c>
      <c r="B38" s="57" t="s">
        <v>29</v>
      </c>
      <c r="C38" s="62">
        <v>0</v>
      </c>
      <c r="D38" s="62">
        <v>0</v>
      </c>
      <c r="E38" s="62">
        <f t="shared" si="4"/>
        <v>0</v>
      </c>
      <c r="F38" s="59" t="s">
        <v>49</v>
      </c>
      <c r="G38" s="62">
        <v>0</v>
      </c>
      <c r="H38" s="62">
        <v>0</v>
      </c>
      <c r="I38" s="62">
        <f t="shared" si="3"/>
        <v>0</v>
      </c>
    </row>
    <row r="39" spans="1:9" s="45" customFormat="1" ht="12.75">
      <c r="A39" s="106">
        <v>31</v>
      </c>
      <c r="B39" s="57" t="s">
        <v>30</v>
      </c>
      <c r="C39" s="62">
        <f>SUM(C40:C41)</f>
        <v>0</v>
      </c>
      <c r="D39" s="62">
        <f>1311000+286688375-44651334-20303278-30534250+9314000+500000+7102216-1172953-1614100-500000-4556666-5138000-10181701-767984+33742913-9374887</f>
        <v>209863351</v>
      </c>
      <c r="E39" s="62">
        <f t="shared" si="4"/>
        <v>209863351</v>
      </c>
      <c r="F39" s="59" t="s">
        <v>50</v>
      </c>
      <c r="G39" s="62">
        <v>0</v>
      </c>
      <c r="H39" s="62">
        <v>0</v>
      </c>
      <c r="I39" s="62">
        <f t="shared" si="3"/>
        <v>0</v>
      </c>
    </row>
    <row r="40" spans="1:9" s="45" customFormat="1" ht="12.75">
      <c r="A40" s="103">
        <v>32</v>
      </c>
      <c r="B40" s="57" t="s">
        <v>31</v>
      </c>
      <c r="C40" s="62">
        <v>0</v>
      </c>
      <c r="D40" s="62">
        <v>0</v>
      </c>
      <c r="E40" s="62">
        <f t="shared" si="4"/>
        <v>0</v>
      </c>
      <c r="F40" s="59" t="s">
        <v>52</v>
      </c>
      <c r="G40" s="62">
        <v>0</v>
      </c>
      <c r="H40" s="62">
        <v>0</v>
      </c>
      <c r="I40" s="62">
        <f t="shared" si="3"/>
        <v>0</v>
      </c>
    </row>
    <row r="41" spans="1:9" s="47" customFormat="1" ht="13.5">
      <c r="A41" s="106">
        <v>33</v>
      </c>
      <c r="B41" s="57" t="s">
        <v>32</v>
      </c>
      <c r="C41" s="62">
        <v>0</v>
      </c>
      <c r="D41" s="62">
        <v>0</v>
      </c>
      <c r="E41" s="62">
        <f t="shared" si="4"/>
        <v>0</v>
      </c>
      <c r="F41" s="59" t="s">
        <v>53</v>
      </c>
      <c r="G41" s="62">
        <v>0</v>
      </c>
      <c r="H41" s="62">
        <f>81635130-35026110+788000-904841+50000</f>
        <v>46542179</v>
      </c>
      <c r="I41" s="62">
        <f t="shared" si="3"/>
        <v>46542179</v>
      </c>
    </row>
    <row r="42" spans="1:9" s="47" customFormat="1" ht="13.5">
      <c r="A42" s="106">
        <v>34</v>
      </c>
      <c r="B42" s="79" t="s">
        <v>36</v>
      </c>
      <c r="C42" s="60">
        <f>SUM(C43:C44)</f>
        <v>0</v>
      </c>
      <c r="D42" s="60">
        <f>SUM(D43:D44)</f>
        <v>3000000</v>
      </c>
      <c r="E42" s="60">
        <f t="shared" si="4"/>
        <v>3000000</v>
      </c>
      <c r="F42" s="59"/>
      <c r="G42" s="62"/>
      <c r="H42" s="62"/>
      <c r="I42" s="62"/>
    </row>
    <row r="43" spans="1:9" s="47" customFormat="1" ht="13.5">
      <c r="A43" s="103">
        <v>35</v>
      </c>
      <c r="B43" s="57" t="s">
        <v>811</v>
      </c>
      <c r="C43" s="62">
        <v>0</v>
      </c>
      <c r="D43" s="62">
        <v>0</v>
      </c>
      <c r="E43" s="62">
        <f t="shared" si="4"/>
        <v>0</v>
      </c>
      <c r="F43" s="48"/>
      <c r="G43" s="62"/>
      <c r="H43" s="62"/>
      <c r="I43" s="62"/>
    </row>
    <row r="44" spans="1:9" s="47" customFormat="1" ht="13.5">
      <c r="A44" s="106">
        <v>36</v>
      </c>
      <c r="B44" s="57" t="s">
        <v>810</v>
      </c>
      <c r="C44" s="62">
        <v>0</v>
      </c>
      <c r="D44" s="62">
        <v>3000000</v>
      </c>
      <c r="E44" s="62">
        <f t="shared" si="4"/>
        <v>3000000</v>
      </c>
      <c r="F44" s="48"/>
      <c r="G44" s="62"/>
      <c r="H44" s="62"/>
      <c r="I44" s="62"/>
    </row>
    <row r="45" spans="1:9" s="49" customFormat="1" ht="6" customHeight="1">
      <c r="A45" s="898"/>
      <c r="B45" s="899"/>
      <c r="C45" s="899"/>
      <c r="D45" s="899"/>
      <c r="E45" s="899"/>
      <c r="F45" s="899"/>
      <c r="G45" s="899"/>
      <c r="H45" s="899"/>
      <c r="I45" s="900"/>
    </row>
    <row r="46" spans="1:9" s="49" customFormat="1" ht="15">
      <c r="A46" s="106">
        <v>37</v>
      </c>
      <c r="B46" s="901" t="s">
        <v>588</v>
      </c>
      <c r="C46" s="902"/>
      <c r="D46" s="902"/>
      <c r="E46" s="902"/>
      <c r="F46" s="902"/>
      <c r="G46" s="160">
        <f>C7-G7</f>
        <v>-191878888</v>
      </c>
      <c r="H46" s="160">
        <f>D7-H7</f>
        <v>96935335</v>
      </c>
      <c r="I46" s="160">
        <f>SUM(G46:H46)</f>
        <v>-94943553</v>
      </c>
    </row>
    <row r="47" spans="1:9" s="49" customFormat="1" ht="6" customHeight="1">
      <c r="A47" s="890"/>
      <c r="B47" s="891"/>
      <c r="C47" s="891"/>
      <c r="D47" s="891"/>
      <c r="E47" s="891"/>
      <c r="F47" s="891"/>
      <c r="G47" s="891"/>
      <c r="H47" s="891"/>
      <c r="I47" s="892"/>
    </row>
    <row r="48" spans="1:9" s="67" customFormat="1" ht="28.5">
      <c r="A48" s="106">
        <v>38</v>
      </c>
      <c r="B48" s="63" t="s">
        <v>365</v>
      </c>
      <c r="C48" s="65">
        <f>SUM(C49:C50)</f>
        <v>74723224</v>
      </c>
      <c r="D48" s="65">
        <f>SUM(D49:D50)</f>
        <v>37787652</v>
      </c>
      <c r="E48" s="65">
        <f>SUM(E49:E50)</f>
        <v>112510876</v>
      </c>
      <c r="F48" s="66"/>
      <c r="G48" s="65"/>
      <c r="H48" s="65"/>
      <c r="I48" s="65"/>
    </row>
    <row r="49" spans="1:9" s="76" customFormat="1" ht="13.5">
      <c r="A49" s="103">
        <v>39</v>
      </c>
      <c r="B49" s="77" t="s">
        <v>812</v>
      </c>
      <c r="C49" s="71">
        <f>20790707+20000000+6865581+213817+1486017</f>
        <v>49356122</v>
      </c>
      <c r="D49" s="71">
        <v>33138652</v>
      </c>
      <c r="E49" s="71">
        <f aca="true" t="shared" si="5" ref="E49:E55">SUM(C49:D49)</f>
        <v>82494774</v>
      </c>
      <c r="F49" s="72"/>
      <c r="G49" s="71"/>
      <c r="H49" s="71"/>
      <c r="I49" s="71"/>
    </row>
    <row r="50" spans="1:9" s="76" customFormat="1" ht="13.5">
      <c r="A50" s="103">
        <v>40</v>
      </c>
      <c r="B50" s="77" t="s">
        <v>813</v>
      </c>
      <c r="C50" s="71">
        <v>25367102</v>
      </c>
      <c r="D50" s="71">
        <v>4649000</v>
      </c>
      <c r="E50" s="71">
        <f t="shared" si="5"/>
        <v>30016102</v>
      </c>
      <c r="F50" s="72"/>
      <c r="G50" s="71"/>
      <c r="H50" s="71"/>
      <c r="I50" s="71"/>
    </row>
    <row r="51" spans="1:9" s="67" customFormat="1" ht="28.5">
      <c r="A51" s="106">
        <v>41</v>
      </c>
      <c r="B51" s="63" t="s">
        <v>366</v>
      </c>
      <c r="C51" s="65">
        <f>SUM(C52:C54)</f>
        <v>0</v>
      </c>
      <c r="D51" s="65">
        <f>SUM(D52:D54)</f>
        <v>0</v>
      </c>
      <c r="E51" s="65">
        <f t="shared" si="5"/>
        <v>0</v>
      </c>
      <c r="F51" s="82" t="s">
        <v>367</v>
      </c>
      <c r="G51" s="65">
        <f>SUM(G52:G54)</f>
        <v>17567323</v>
      </c>
      <c r="H51" s="65">
        <f>SUM(H52:H54)</f>
        <v>0</v>
      </c>
      <c r="I51" s="65">
        <f>SUM(G51:H51)</f>
        <v>17567323</v>
      </c>
    </row>
    <row r="52" spans="1:9" s="76" customFormat="1" ht="13.5">
      <c r="A52" s="106">
        <v>42</v>
      </c>
      <c r="B52" s="75" t="s">
        <v>814</v>
      </c>
      <c r="C52" s="71">
        <v>0</v>
      </c>
      <c r="D52" s="71">
        <v>0</v>
      </c>
      <c r="E52" s="71">
        <f t="shared" si="5"/>
        <v>0</v>
      </c>
      <c r="F52" s="72" t="s">
        <v>816</v>
      </c>
      <c r="G52" s="71">
        <v>0</v>
      </c>
      <c r="H52" s="71">
        <v>0</v>
      </c>
      <c r="I52" s="71">
        <f>SUM(G52:H52)</f>
        <v>0</v>
      </c>
    </row>
    <row r="53" spans="1:9" s="78" customFormat="1" ht="12.75">
      <c r="A53" s="106">
        <v>43</v>
      </c>
      <c r="B53" s="75" t="s">
        <v>815</v>
      </c>
      <c r="C53" s="71">
        <v>0</v>
      </c>
      <c r="D53" s="71">
        <v>0</v>
      </c>
      <c r="E53" s="71">
        <f>SUM(C53:D53)</f>
        <v>0</v>
      </c>
      <c r="F53" s="72" t="s">
        <v>817</v>
      </c>
      <c r="G53" s="71">
        <v>0</v>
      </c>
      <c r="H53" s="71">
        <v>0</v>
      </c>
      <c r="I53" s="71">
        <f>SUM(G53:H53)</f>
        <v>0</v>
      </c>
    </row>
    <row r="54" spans="1:9" s="78" customFormat="1" ht="12.75">
      <c r="A54" s="106">
        <v>44</v>
      </c>
      <c r="B54" s="75" t="s">
        <v>808</v>
      </c>
      <c r="C54" s="71">
        <v>0</v>
      </c>
      <c r="D54" s="71">
        <v>0</v>
      </c>
      <c r="E54" s="71">
        <f>SUM(C54:D54)</f>
        <v>0</v>
      </c>
      <c r="F54" s="75" t="s">
        <v>809</v>
      </c>
      <c r="G54" s="71">
        <v>17567323</v>
      </c>
      <c r="H54" s="71"/>
      <c r="I54" s="71"/>
    </row>
    <row r="55" spans="1:9" s="69" customFormat="1" ht="15.75">
      <c r="A55" s="106">
        <v>45</v>
      </c>
      <c r="B55" s="68" t="s">
        <v>491</v>
      </c>
      <c r="C55" s="83">
        <f>SUM(C7,C48,C51)</f>
        <v>1111664600</v>
      </c>
      <c r="D55" s="83">
        <f>SUM(D7,D48,D51)</f>
        <v>563459839</v>
      </c>
      <c r="E55" s="83">
        <f t="shared" si="5"/>
        <v>1675124439</v>
      </c>
      <c r="F55" s="68" t="s">
        <v>377</v>
      </c>
      <c r="G55" s="83">
        <f>SUM(G7,G51)</f>
        <v>1246387587</v>
      </c>
      <c r="H55" s="83">
        <f>SUM(H7,H51)</f>
        <v>428736852</v>
      </c>
      <c r="I55" s="83">
        <f>SUM(G55:H55)</f>
        <v>1675124439</v>
      </c>
    </row>
    <row r="62" ht="15">
      <c r="B62" s="50"/>
    </row>
  </sheetData>
  <sheetProtection/>
  <mergeCells count="8">
    <mergeCell ref="A47:I47"/>
    <mergeCell ref="F1:I1"/>
    <mergeCell ref="B2:I2"/>
    <mergeCell ref="B4:E4"/>
    <mergeCell ref="F4:I4"/>
    <mergeCell ref="A4:A6"/>
    <mergeCell ref="A45:I45"/>
    <mergeCell ref="B46:F4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2"/>
  <sheetViews>
    <sheetView zoomScale="95" zoomScaleNormal="95" zoomScalePageLayoutView="0" workbookViewId="0" topLeftCell="L1">
      <pane ySplit="7" topLeftCell="A8" activePane="bottomLeft" state="frozen"/>
      <selection pane="topLeft" activeCell="A1" sqref="A1"/>
      <selection pane="bottomLeft" activeCell="U1" sqref="U1:Z1"/>
    </sheetView>
  </sheetViews>
  <sheetFormatPr defaultColWidth="8.875" defaultRowHeight="12.75"/>
  <cols>
    <col min="1" max="1" width="1.37890625" style="624" hidden="1" customWidth="1"/>
    <col min="2" max="2" width="8.00390625" style="625" hidden="1" customWidth="1"/>
    <col min="3" max="3" width="8.00390625" style="625" customWidth="1"/>
    <col min="4" max="4" width="4.625" style="626" bestFit="1" customWidth="1"/>
    <col min="5" max="5" width="27.75390625" style="624" customWidth="1"/>
    <col min="6" max="6" width="9.25390625" style="627" hidden="1" customWidth="1"/>
    <col min="7" max="7" width="11.375" style="624" bestFit="1" customWidth="1"/>
    <col min="8" max="8" width="11.125" style="624" customWidth="1"/>
    <col min="9" max="9" width="11.375" style="624" customWidth="1"/>
    <col min="10" max="11" width="10.25390625" style="624" customWidth="1"/>
    <col min="12" max="12" width="11.375" style="624" bestFit="1" customWidth="1"/>
    <col min="13" max="13" width="11.375" style="624" customWidth="1"/>
    <col min="14" max="14" width="11.00390625" style="624" customWidth="1"/>
    <col min="15" max="15" width="9.875" style="624" customWidth="1"/>
    <col min="16" max="16" width="8.25390625" style="624" customWidth="1"/>
    <col min="17" max="19" width="9.625" style="624" customWidth="1"/>
    <col min="20" max="20" width="10.00390625" style="624" customWidth="1"/>
    <col min="21" max="21" width="9.625" style="624" bestFit="1" customWidth="1"/>
    <col min="22" max="22" width="11.375" style="624" bestFit="1" customWidth="1"/>
    <col min="23" max="23" width="10.625" style="624" customWidth="1"/>
    <col min="24" max="24" width="11.125" style="624" customWidth="1"/>
    <col min="25" max="25" width="10.625" style="624" customWidth="1"/>
    <col min="26" max="26" width="12.00390625" style="680" customWidth="1"/>
    <col min="27" max="27" width="14.375" style="624" customWidth="1"/>
    <col min="28" max="28" width="9.875" style="624" bestFit="1" customWidth="1"/>
    <col min="29" max="16384" width="8.875" style="624" customWidth="1"/>
  </cols>
  <sheetData>
    <row r="1" spans="3:26" ht="15">
      <c r="C1" s="912"/>
      <c r="O1" s="211"/>
      <c r="P1" s="211"/>
      <c r="Q1" s="211"/>
      <c r="R1" s="211"/>
      <c r="S1" s="211"/>
      <c r="T1" s="211"/>
      <c r="U1" s="913" t="s">
        <v>1078</v>
      </c>
      <c r="V1" s="914"/>
      <c r="W1" s="914"/>
      <c r="X1" s="914"/>
      <c r="Y1" s="914"/>
      <c r="Z1" s="914"/>
    </row>
    <row r="2" spans="1:26" ht="15.75">
      <c r="A2" s="628"/>
      <c r="B2" s="629"/>
      <c r="C2" s="912"/>
      <c r="D2" s="629"/>
      <c r="E2" s="915" t="s">
        <v>740</v>
      </c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  <c r="Z2" s="915"/>
    </row>
    <row r="3" ht="12.75" thickBot="1">
      <c r="Z3" s="630"/>
    </row>
    <row r="4" spans="2:26" s="631" customFormat="1" ht="12.75" customHeight="1">
      <c r="B4" s="632"/>
      <c r="C4" s="632"/>
      <c r="D4" s="916" t="s">
        <v>484</v>
      </c>
      <c r="E4" s="919" t="s">
        <v>397</v>
      </c>
      <c r="F4" s="922" t="s">
        <v>404</v>
      </c>
      <c r="G4" s="925" t="s">
        <v>405</v>
      </c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7"/>
      <c r="Z4" s="928" t="s">
        <v>406</v>
      </c>
    </row>
    <row r="5" spans="2:26" s="633" customFormat="1" ht="12" customHeight="1">
      <c r="B5" s="634"/>
      <c r="C5" s="634"/>
      <c r="D5" s="917"/>
      <c r="E5" s="920"/>
      <c r="F5" s="923"/>
      <c r="G5" s="635" t="s">
        <v>1</v>
      </c>
      <c r="H5" s="635" t="s">
        <v>3</v>
      </c>
      <c r="I5" s="635" t="s">
        <v>5</v>
      </c>
      <c r="J5" s="635" t="s">
        <v>8</v>
      </c>
      <c r="K5" s="726"/>
      <c r="L5" s="907" t="s">
        <v>761</v>
      </c>
      <c r="M5" s="907"/>
      <c r="N5" s="907"/>
      <c r="O5" s="907"/>
      <c r="P5" s="907"/>
      <c r="Q5" s="907"/>
      <c r="R5" s="907"/>
      <c r="S5" s="907"/>
      <c r="T5" s="907"/>
      <c r="U5" s="908"/>
      <c r="V5" s="637" t="s">
        <v>147</v>
      </c>
      <c r="W5" s="637" t="s">
        <v>149</v>
      </c>
      <c r="X5" s="635" t="s">
        <v>151</v>
      </c>
      <c r="Y5" s="635" t="s">
        <v>153</v>
      </c>
      <c r="Z5" s="929"/>
    </row>
    <row r="6" spans="2:26" s="633" customFormat="1" ht="53.25" customHeight="1">
      <c r="B6" s="634"/>
      <c r="C6" s="634"/>
      <c r="D6" s="917"/>
      <c r="E6" s="921"/>
      <c r="F6" s="924"/>
      <c r="G6" s="638" t="s">
        <v>376</v>
      </c>
      <c r="H6" s="638" t="s">
        <v>747</v>
      </c>
      <c r="I6" s="638" t="s">
        <v>399</v>
      </c>
      <c r="J6" s="638" t="s">
        <v>9</v>
      </c>
      <c r="K6" s="638" t="s">
        <v>171</v>
      </c>
      <c r="L6" s="638" t="s">
        <v>146</v>
      </c>
      <c r="M6" s="638" t="s">
        <v>1037</v>
      </c>
      <c r="N6" s="638" t="s">
        <v>913</v>
      </c>
      <c r="O6" s="638" t="s">
        <v>477</v>
      </c>
      <c r="P6" s="638" t="s">
        <v>489</v>
      </c>
      <c r="Q6" s="638" t="s">
        <v>515</v>
      </c>
      <c r="R6" s="638" t="s">
        <v>914</v>
      </c>
      <c r="S6" s="638" t="s">
        <v>915</v>
      </c>
      <c r="T6" s="638" t="s">
        <v>762</v>
      </c>
      <c r="U6" s="638" t="s">
        <v>54</v>
      </c>
      <c r="V6" s="636" t="s">
        <v>372</v>
      </c>
      <c r="W6" s="636" t="s">
        <v>409</v>
      </c>
      <c r="X6" s="638" t="s">
        <v>760</v>
      </c>
      <c r="Y6" s="638" t="s">
        <v>152</v>
      </c>
      <c r="Z6" s="930"/>
    </row>
    <row r="7" spans="2:26" s="639" customFormat="1" ht="12">
      <c r="B7" s="640"/>
      <c r="C7" s="640"/>
      <c r="D7" s="918"/>
      <c r="E7" s="641" t="s">
        <v>478</v>
      </c>
      <c r="F7" s="642" t="s">
        <v>479</v>
      </c>
      <c r="G7" s="643" t="s">
        <v>479</v>
      </c>
      <c r="H7" s="643" t="s">
        <v>480</v>
      </c>
      <c r="I7" s="644" t="s">
        <v>481</v>
      </c>
      <c r="J7" s="641" t="s">
        <v>482</v>
      </c>
      <c r="K7" s="641" t="s">
        <v>483</v>
      </c>
      <c r="L7" s="644" t="s">
        <v>485</v>
      </c>
      <c r="M7" s="644" t="s">
        <v>486</v>
      </c>
      <c r="N7" s="644" t="s">
        <v>428</v>
      </c>
      <c r="O7" s="644" t="s">
        <v>429</v>
      </c>
      <c r="P7" s="644" t="s">
        <v>430</v>
      </c>
      <c r="Q7" s="644" t="s">
        <v>431</v>
      </c>
      <c r="R7" s="644" t="s">
        <v>432</v>
      </c>
      <c r="S7" s="644" t="s">
        <v>433</v>
      </c>
      <c r="T7" s="644" t="s">
        <v>434</v>
      </c>
      <c r="U7" s="643" t="s">
        <v>435</v>
      </c>
      <c r="V7" s="644" t="s">
        <v>1038</v>
      </c>
      <c r="W7" s="644" t="s">
        <v>1039</v>
      </c>
      <c r="X7" s="645" t="s">
        <v>1040</v>
      </c>
      <c r="Y7" s="646" t="s">
        <v>1041</v>
      </c>
      <c r="Z7" s="647" t="s">
        <v>1042</v>
      </c>
    </row>
    <row r="8" spans="1:26" s="655" customFormat="1" ht="36">
      <c r="A8" s="624"/>
      <c r="B8" s="625"/>
      <c r="C8" s="625" t="s">
        <v>66</v>
      </c>
      <c r="D8" s="648" t="s">
        <v>436</v>
      </c>
      <c r="E8" s="649" t="s">
        <v>67</v>
      </c>
      <c r="F8" s="650"/>
      <c r="G8" s="651">
        <f>24532623+1250944</f>
        <v>25783567</v>
      </c>
      <c r="H8" s="651">
        <f>5426893+430000+275208</f>
        <v>6132101</v>
      </c>
      <c r="I8" s="652">
        <f>13291370-240000-64800+3850000+500000-1500000+379000+24300</f>
        <v>16239870</v>
      </c>
      <c r="J8" s="652">
        <v>0</v>
      </c>
      <c r="K8" s="652"/>
      <c r="L8" s="652">
        <f>20240556-8000000+35026110+4000000+904841+3000000+1094000</f>
        <v>56265507</v>
      </c>
      <c r="M8" s="652">
        <v>9314000</v>
      </c>
      <c r="N8" s="652"/>
      <c r="O8" s="652">
        <v>0</v>
      </c>
      <c r="P8" s="652">
        <v>0</v>
      </c>
      <c r="Q8" s="652">
        <v>0</v>
      </c>
      <c r="R8" s="652"/>
      <c r="S8" s="652"/>
      <c r="T8" s="652">
        <v>0</v>
      </c>
      <c r="U8" s="652">
        <v>0</v>
      </c>
      <c r="V8" s="651">
        <f>3000000+3150000+500000+500000</f>
        <v>7150000</v>
      </c>
      <c r="W8" s="652">
        <v>0</v>
      </c>
      <c r="X8" s="653">
        <f>80026110-35026110</f>
        <v>45000000</v>
      </c>
      <c r="Y8" s="652">
        <v>0</v>
      </c>
      <c r="Z8" s="654">
        <f aca="true" t="shared" si="0" ref="Z8:Z56">SUM(G8:Y8)</f>
        <v>165885045</v>
      </c>
    </row>
    <row r="9" spans="1:26" s="655" customFormat="1" ht="23.25" customHeight="1">
      <c r="A9" s="624"/>
      <c r="B9" s="625"/>
      <c r="C9" s="625" t="s">
        <v>741</v>
      </c>
      <c r="D9" s="656" t="s">
        <v>437</v>
      </c>
      <c r="E9" s="657" t="s">
        <v>742</v>
      </c>
      <c r="F9" s="658"/>
      <c r="G9" s="659">
        <v>0</v>
      </c>
      <c r="H9" s="659">
        <v>0</v>
      </c>
      <c r="I9" s="659">
        <v>100000</v>
      </c>
      <c r="J9" s="659">
        <v>0</v>
      </c>
      <c r="K9" s="659"/>
      <c r="L9" s="659">
        <v>0</v>
      </c>
      <c r="M9" s="659"/>
      <c r="N9" s="659"/>
      <c r="O9" s="659">
        <v>0</v>
      </c>
      <c r="P9" s="659">
        <v>0</v>
      </c>
      <c r="Q9" s="659">
        <v>0</v>
      </c>
      <c r="R9" s="659"/>
      <c r="S9" s="659"/>
      <c r="T9" s="659">
        <v>0</v>
      </c>
      <c r="U9" s="659">
        <v>0</v>
      </c>
      <c r="V9" s="659">
        <v>0</v>
      </c>
      <c r="W9" s="653">
        <v>0</v>
      </c>
      <c r="X9" s="653">
        <v>0</v>
      </c>
      <c r="Y9" s="653">
        <v>0</v>
      </c>
      <c r="Z9" s="654">
        <f t="shared" si="0"/>
        <v>100000</v>
      </c>
    </row>
    <row r="10" spans="1:26" s="655" customFormat="1" ht="24">
      <c r="A10" s="624"/>
      <c r="B10" s="625" t="s">
        <v>58</v>
      </c>
      <c r="C10" s="625" t="s">
        <v>61</v>
      </c>
      <c r="D10" s="656" t="s">
        <v>438</v>
      </c>
      <c r="E10" s="657" t="s">
        <v>62</v>
      </c>
      <c r="F10" s="658"/>
      <c r="G10" s="659">
        <v>0</v>
      </c>
      <c r="H10" s="659">
        <v>0</v>
      </c>
      <c r="I10" s="653">
        <f>34752594-250000-67500+6762752</f>
        <v>41197846</v>
      </c>
      <c r="J10" s="653">
        <v>0</v>
      </c>
      <c r="K10" s="653"/>
      <c r="L10" s="653">
        <f>43528000-782000+782000</f>
        <v>43528000</v>
      </c>
      <c r="M10" s="653"/>
      <c r="N10" s="653"/>
      <c r="O10" s="653">
        <v>0</v>
      </c>
      <c r="P10" s="653">
        <v>0</v>
      </c>
      <c r="Q10" s="653">
        <v>0</v>
      </c>
      <c r="R10" s="653"/>
      <c r="S10" s="653"/>
      <c r="T10" s="653">
        <v>0</v>
      </c>
      <c r="U10" s="653">
        <v>0</v>
      </c>
      <c r="V10" s="659">
        <f>3700000+9000000</f>
        <v>12700000</v>
      </c>
      <c r="W10" s="653">
        <f>1000000+2500000</f>
        <v>3500000</v>
      </c>
      <c r="X10" s="653">
        <f>1609020-904841</f>
        <v>704179</v>
      </c>
      <c r="Y10" s="653">
        <v>0</v>
      </c>
      <c r="Z10" s="654">
        <f t="shared" si="0"/>
        <v>101630025</v>
      </c>
    </row>
    <row r="11" spans="1:26" s="655" customFormat="1" ht="36">
      <c r="A11" s="624"/>
      <c r="B11" s="625" t="s">
        <v>59</v>
      </c>
      <c r="C11" s="625" t="s">
        <v>63</v>
      </c>
      <c r="D11" s="656" t="s">
        <v>439</v>
      </c>
      <c r="E11" s="657" t="s">
        <v>612</v>
      </c>
      <c r="F11" s="658"/>
      <c r="G11" s="659">
        <f>4288690-1094000-32740</f>
        <v>3161950</v>
      </c>
      <c r="H11" s="659">
        <f>997329+32740</f>
        <v>1030069</v>
      </c>
      <c r="I11" s="653">
        <f>1016560+1686276</f>
        <v>2702836</v>
      </c>
      <c r="J11" s="653">
        <v>0</v>
      </c>
      <c r="K11" s="653"/>
      <c r="L11" s="653">
        <v>0</v>
      </c>
      <c r="M11" s="653"/>
      <c r="N11" s="653"/>
      <c r="O11" s="653">
        <v>0</v>
      </c>
      <c r="P11" s="653">
        <v>0</v>
      </c>
      <c r="Q11" s="653">
        <v>0</v>
      </c>
      <c r="R11" s="653"/>
      <c r="S11" s="653"/>
      <c r="T11" s="653">
        <v>0</v>
      </c>
      <c r="U11" s="653">
        <v>0</v>
      </c>
      <c r="V11" s="659"/>
      <c r="W11" s="653">
        <v>0</v>
      </c>
      <c r="X11" s="653">
        <v>0</v>
      </c>
      <c r="Y11" s="653">
        <v>0</v>
      </c>
      <c r="Z11" s="654">
        <f t="shared" si="0"/>
        <v>6894855</v>
      </c>
    </row>
    <row r="12" spans="1:26" s="655" customFormat="1" ht="24">
      <c r="A12" s="624"/>
      <c r="B12" s="625" t="s">
        <v>60</v>
      </c>
      <c r="C12" s="625" t="s">
        <v>68</v>
      </c>
      <c r="D12" s="656" t="s">
        <v>440</v>
      </c>
      <c r="E12" s="657" t="s">
        <v>415</v>
      </c>
      <c r="F12" s="658"/>
      <c r="G12" s="659">
        <f>1874804-1300000</f>
        <v>574804</v>
      </c>
      <c r="H12" s="659">
        <f>1214310-567580</f>
        <v>646730</v>
      </c>
      <c r="I12" s="653">
        <f>6352096-2000000+167805+1867580</f>
        <v>6387481</v>
      </c>
      <c r="J12" s="653">
        <v>0</v>
      </c>
      <c r="K12" s="653"/>
      <c r="L12" s="653">
        <v>0</v>
      </c>
      <c r="M12" s="653"/>
      <c r="N12" s="653"/>
      <c r="O12" s="653">
        <v>0</v>
      </c>
      <c r="P12" s="653">
        <v>0</v>
      </c>
      <c r="Q12" s="653">
        <v>0</v>
      </c>
      <c r="R12" s="653"/>
      <c r="S12" s="653"/>
      <c r="T12" s="653">
        <v>0</v>
      </c>
      <c r="U12" s="653">
        <v>0</v>
      </c>
      <c r="V12" s="659">
        <v>0</v>
      </c>
      <c r="W12" s="653">
        <v>0</v>
      </c>
      <c r="X12" s="653">
        <v>0</v>
      </c>
      <c r="Y12" s="653">
        <v>0</v>
      </c>
      <c r="Z12" s="654">
        <f t="shared" si="0"/>
        <v>7609015</v>
      </c>
    </row>
    <row r="13" spans="1:26" s="655" customFormat="1" ht="24">
      <c r="A13" s="624"/>
      <c r="B13" s="625"/>
      <c r="C13" s="625" t="s">
        <v>917</v>
      </c>
      <c r="D13" s="656" t="s">
        <v>441</v>
      </c>
      <c r="E13" s="657" t="s">
        <v>916</v>
      </c>
      <c r="F13" s="658"/>
      <c r="G13" s="659"/>
      <c r="H13" s="659"/>
      <c r="I13" s="659"/>
      <c r="J13" s="659"/>
      <c r="K13" s="659">
        <f>25603463+1419433+33742913</f>
        <v>60765809</v>
      </c>
      <c r="L13" s="659"/>
      <c r="M13" s="659"/>
      <c r="N13" s="659"/>
      <c r="O13" s="659"/>
      <c r="P13" s="659"/>
      <c r="Q13" s="659"/>
      <c r="R13" s="659"/>
      <c r="S13" s="659"/>
      <c r="T13" s="659"/>
      <c r="U13" s="659"/>
      <c r="V13" s="659"/>
      <c r="W13" s="653"/>
      <c r="X13" s="653"/>
      <c r="Y13" s="653"/>
      <c r="Z13" s="654">
        <f t="shared" si="0"/>
        <v>60765809</v>
      </c>
    </row>
    <row r="14" spans="1:26" s="655" customFormat="1" ht="23.25" customHeight="1">
      <c r="A14" s="624"/>
      <c r="B14" s="625"/>
      <c r="C14" s="625" t="s">
        <v>743</v>
      </c>
      <c r="D14" s="656" t="s">
        <v>442</v>
      </c>
      <c r="E14" s="657" t="s">
        <v>744</v>
      </c>
      <c r="F14" s="658"/>
      <c r="G14" s="659">
        <v>0</v>
      </c>
      <c r="H14" s="659">
        <v>0</v>
      </c>
      <c r="I14" s="659">
        <f>237516+48289</f>
        <v>285805</v>
      </c>
      <c r="J14" s="659">
        <v>0</v>
      </c>
      <c r="K14" s="659"/>
      <c r="L14" s="659">
        <v>0</v>
      </c>
      <c r="M14" s="659"/>
      <c r="N14" s="659"/>
      <c r="O14" s="659">
        <v>0</v>
      </c>
      <c r="P14" s="659">
        <v>0</v>
      </c>
      <c r="Q14" s="659">
        <v>0</v>
      </c>
      <c r="R14" s="659"/>
      <c r="S14" s="659"/>
      <c r="T14" s="659">
        <v>0</v>
      </c>
      <c r="U14" s="659">
        <v>0</v>
      </c>
      <c r="V14" s="659">
        <v>0</v>
      </c>
      <c r="W14" s="653">
        <v>0</v>
      </c>
      <c r="X14" s="653">
        <v>0</v>
      </c>
      <c r="Y14" s="653">
        <v>17567323</v>
      </c>
      <c r="Z14" s="654">
        <f t="shared" si="0"/>
        <v>17853128</v>
      </c>
    </row>
    <row r="15" spans="1:26" s="655" customFormat="1" ht="23.25" customHeight="1">
      <c r="A15" s="624"/>
      <c r="B15" s="625"/>
      <c r="C15" s="625" t="s">
        <v>911</v>
      </c>
      <c r="D15" s="656" t="s">
        <v>443</v>
      </c>
      <c r="E15" s="657" t="s">
        <v>912</v>
      </c>
      <c r="F15" s="658"/>
      <c r="G15" s="659"/>
      <c r="H15" s="659"/>
      <c r="I15" s="659"/>
      <c r="J15" s="659"/>
      <c r="K15" s="659"/>
      <c r="L15" s="659"/>
      <c r="M15" s="659"/>
      <c r="N15" s="659">
        <v>40723</v>
      </c>
      <c r="O15" s="659"/>
      <c r="P15" s="659"/>
      <c r="Q15" s="659"/>
      <c r="R15" s="659"/>
      <c r="S15" s="659"/>
      <c r="T15" s="659"/>
      <c r="U15" s="659"/>
      <c r="V15" s="659"/>
      <c r="W15" s="653"/>
      <c r="X15" s="653"/>
      <c r="Y15" s="653"/>
      <c r="Z15" s="654">
        <f t="shared" si="0"/>
        <v>40723</v>
      </c>
    </row>
    <row r="16" spans="1:26" s="655" customFormat="1" ht="24">
      <c r="A16" s="624">
        <v>20215</v>
      </c>
      <c r="B16" s="625" t="s">
        <v>61</v>
      </c>
      <c r="C16" s="625" t="s">
        <v>72</v>
      </c>
      <c r="D16" s="656" t="s">
        <v>444</v>
      </c>
      <c r="E16" s="657" t="s">
        <v>73</v>
      </c>
      <c r="F16" s="658"/>
      <c r="G16" s="659">
        <f>31329200+13200</f>
        <v>31342400</v>
      </c>
      <c r="H16" s="659">
        <f>6988684+2904</f>
        <v>6991588</v>
      </c>
      <c r="I16" s="653">
        <f>9066178+22851-88773</f>
        <v>9000256</v>
      </c>
      <c r="J16" s="653">
        <v>0</v>
      </c>
      <c r="K16" s="653"/>
      <c r="L16" s="653">
        <v>0</v>
      </c>
      <c r="M16" s="653"/>
      <c r="N16" s="653"/>
      <c r="O16" s="653">
        <v>0</v>
      </c>
      <c r="P16" s="653">
        <v>0</v>
      </c>
      <c r="Q16" s="653">
        <v>0</v>
      </c>
      <c r="R16" s="653"/>
      <c r="S16" s="653"/>
      <c r="T16" s="653">
        <v>0</v>
      </c>
      <c r="U16" s="653">
        <v>0</v>
      </c>
      <c r="V16" s="659">
        <v>88773</v>
      </c>
      <c r="W16" s="653">
        <v>254000</v>
      </c>
      <c r="X16" s="653">
        <v>0</v>
      </c>
      <c r="Y16" s="653">
        <v>0</v>
      </c>
      <c r="Z16" s="654">
        <f t="shared" si="0"/>
        <v>47677017</v>
      </c>
    </row>
    <row r="17" spans="1:26" s="655" customFormat="1" ht="24" customHeight="1">
      <c r="A17" s="624"/>
      <c r="B17" s="625"/>
      <c r="C17" s="625" t="s">
        <v>1059</v>
      </c>
      <c r="D17" s="656" t="s">
        <v>445</v>
      </c>
      <c r="E17" s="657" t="s">
        <v>1060</v>
      </c>
      <c r="F17" s="658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>
        <f>242560000+3832400+17861888</f>
        <v>264254288</v>
      </c>
      <c r="W17" s="653"/>
      <c r="X17" s="659"/>
      <c r="Y17" s="653"/>
      <c r="Z17" s="654">
        <f t="shared" si="0"/>
        <v>264254288</v>
      </c>
    </row>
    <row r="18" spans="1:26" s="655" customFormat="1" ht="24">
      <c r="A18" s="624"/>
      <c r="B18" s="625"/>
      <c r="C18" s="625" t="s">
        <v>920</v>
      </c>
      <c r="D18" s="656" t="s">
        <v>446</v>
      </c>
      <c r="E18" s="657" t="s">
        <v>921</v>
      </c>
      <c r="F18" s="658"/>
      <c r="G18" s="659">
        <v>30882431</v>
      </c>
      <c r="H18" s="659">
        <v>3396993</v>
      </c>
      <c r="I18" s="659">
        <v>6312014</v>
      </c>
      <c r="J18" s="659"/>
      <c r="K18" s="659"/>
      <c r="L18" s="659"/>
      <c r="M18" s="659"/>
      <c r="N18" s="659"/>
      <c r="O18" s="659"/>
      <c r="P18" s="659"/>
      <c r="Q18" s="659"/>
      <c r="R18" s="659"/>
      <c r="S18" s="659"/>
      <c r="T18" s="659"/>
      <c r="U18" s="659"/>
      <c r="V18" s="659">
        <v>1398066</v>
      </c>
      <c r="W18" s="653"/>
      <c r="X18" s="659"/>
      <c r="Y18" s="653"/>
      <c r="Z18" s="654">
        <f t="shared" si="0"/>
        <v>41989504</v>
      </c>
    </row>
    <row r="19" spans="1:26" s="655" customFormat="1" ht="24">
      <c r="A19" s="624"/>
      <c r="B19" s="625"/>
      <c r="C19" s="625" t="s">
        <v>922</v>
      </c>
      <c r="D19" s="656" t="s">
        <v>447</v>
      </c>
      <c r="E19" s="657" t="s">
        <v>923</v>
      </c>
      <c r="F19" s="658"/>
      <c r="G19" s="659">
        <v>89907417</v>
      </c>
      <c r="H19" s="659">
        <v>9889529</v>
      </c>
      <c r="I19" s="659">
        <v>8426434</v>
      </c>
      <c r="J19" s="659"/>
      <c r="K19" s="659"/>
      <c r="L19" s="659"/>
      <c r="M19" s="659"/>
      <c r="N19" s="659"/>
      <c r="O19" s="659"/>
      <c r="P19" s="659"/>
      <c r="Q19" s="659"/>
      <c r="R19" s="659"/>
      <c r="S19" s="659"/>
      <c r="T19" s="659"/>
      <c r="U19" s="659"/>
      <c r="V19" s="659">
        <v>1707563</v>
      </c>
      <c r="W19" s="653"/>
      <c r="X19" s="659"/>
      <c r="Y19" s="653"/>
      <c r="Z19" s="654">
        <f t="shared" si="0"/>
        <v>109930943</v>
      </c>
    </row>
    <row r="20" spans="1:26" s="655" customFormat="1" ht="22.5" customHeight="1">
      <c r="A20" s="624"/>
      <c r="B20" s="625"/>
      <c r="C20" s="625" t="s">
        <v>746</v>
      </c>
      <c r="D20" s="656" t="s">
        <v>448</v>
      </c>
      <c r="E20" s="657" t="s">
        <v>745</v>
      </c>
      <c r="F20" s="658"/>
      <c r="G20" s="659">
        <v>0</v>
      </c>
      <c r="H20" s="659">
        <v>0</v>
      </c>
      <c r="I20" s="659">
        <v>0</v>
      </c>
      <c r="J20" s="659">
        <v>0</v>
      </c>
      <c r="K20" s="659"/>
      <c r="L20" s="659">
        <v>0</v>
      </c>
      <c r="M20" s="659"/>
      <c r="N20" s="659"/>
      <c r="O20" s="659">
        <v>0</v>
      </c>
      <c r="P20" s="659">
        <v>0</v>
      </c>
      <c r="Q20" s="659">
        <v>0</v>
      </c>
      <c r="R20" s="659"/>
      <c r="S20" s="659"/>
      <c r="T20" s="659">
        <v>0</v>
      </c>
      <c r="U20" s="659">
        <v>0</v>
      </c>
      <c r="V20" s="659">
        <f>17462500+100000</f>
        <v>17562500</v>
      </c>
      <c r="W20" s="653">
        <v>0</v>
      </c>
      <c r="X20" s="659">
        <v>0</v>
      </c>
      <c r="Y20" s="653">
        <v>0</v>
      </c>
      <c r="Z20" s="654">
        <f t="shared" si="0"/>
        <v>17562500</v>
      </c>
    </row>
    <row r="21" spans="2:26" ht="24">
      <c r="B21" s="625" t="s">
        <v>66</v>
      </c>
      <c r="C21" s="625" t="s">
        <v>59</v>
      </c>
      <c r="D21" s="656" t="s">
        <v>449</v>
      </c>
      <c r="E21" s="657" t="s">
        <v>613</v>
      </c>
      <c r="F21" s="658"/>
      <c r="G21" s="659">
        <v>0</v>
      </c>
      <c r="H21" s="659">
        <v>0</v>
      </c>
      <c r="I21" s="653">
        <v>0</v>
      </c>
      <c r="J21" s="653">
        <v>0</v>
      </c>
      <c r="K21" s="653"/>
      <c r="L21" s="653">
        <f>9850000-788000-2645132</f>
        <v>6416868</v>
      </c>
      <c r="M21" s="653"/>
      <c r="N21" s="653"/>
      <c r="O21" s="653">
        <v>0</v>
      </c>
      <c r="P21" s="653">
        <v>0</v>
      </c>
      <c r="Q21" s="653">
        <v>0</v>
      </c>
      <c r="R21" s="653"/>
      <c r="S21" s="653"/>
      <c r="T21" s="653">
        <v>0</v>
      </c>
      <c r="U21" s="653">
        <v>0</v>
      </c>
      <c r="V21" s="653">
        <v>525300</v>
      </c>
      <c r="W21" s="653">
        <v>2645132</v>
      </c>
      <c r="X21" s="653">
        <v>0</v>
      </c>
      <c r="Y21" s="653">
        <v>0</v>
      </c>
      <c r="Z21" s="654">
        <f t="shared" si="0"/>
        <v>9587300</v>
      </c>
    </row>
    <row r="22" spans="2:26" ht="24">
      <c r="B22" s="625" t="s">
        <v>68</v>
      </c>
      <c r="C22" s="625" t="s">
        <v>74</v>
      </c>
      <c r="D22" s="656" t="s">
        <v>450</v>
      </c>
      <c r="E22" s="657" t="s">
        <v>75</v>
      </c>
      <c r="F22" s="658"/>
      <c r="G22" s="659">
        <v>0</v>
      </c>
      <c r="H22" s="659">
        <v>0</v>
      </c>
      <c r="I22" s="653">
        <f>1000000-1000000</f>
        <v>0</v>
      </c>
      <c r="J22" s="653">
        <v>0</v>
      </c>
      <c r="K22" s="653"/>
      <c r="L22" s="653">
        <v>0</v>
      </c>
      <c r="M22" s="653"/>
      <c r="N22" s="653"/>
      <c r="O22" s="653">
        <v>0</v>
      </c>
      <c r="P22" s="653">
        <v>0</v>
      </c>
      <c r="Q22" s="653">
        <v>0</v>
      </c>
      <c r="R22" s="653"/>
      <c r="S22" s="653"/>
      <c r="T22" s="653">
        <v>0</v>
      </c>
      <c r="U22" s="653">
        <v>0</v>
      </c>
      <c r="V22" s="653">
        <f>3225085+6019000</f>
        <v>9244085</v>
      </c>
      <c r="W22" s="653">
        <v>0</v>
      </c>
      <c r="X22" s="653">
        <v>0</v>
      </c>
      <c r="Y22" s="653">
        <v>0</v>
      </c>
      <c r="Z22" s="654">
        <f t="shared" si="0"/>
        <v>9244085</v>
      </c>
    </row>
    <row r="23" spans="3:26" ht="22.5" customHeight="1">
      <c r="C23" s="625" t="s">
        <v>918</v>
      </c>
      <c r="D23" s="656" t="s">
        <v>451</v>
      </c>
      <c r="E23" s="657" t="s">
        <v>919</v>
      </c>
      <c r="F23" s="660"/>
      <c r="G23" s="659"/>
      <c r="H23" s="659"/>
      <c r="I23" s="653"/>
      <c r="J23" s="653"/>
      <c r="K23" s="653"/>
      <c r="L23" s="653">
        <v>6949788</v>
      </c>
      <c r="M23" s="653"/>
      <c r="N23" s="653"/>
      <c r="O23" s="653"/>
      <c r="P23" s="653"/>
      <c r="Q23" s="653"/>
      <c r="R23" s="653"/>
      <c r="S23" s="653"/>
      <c r="T23" s="653"/>
      <c r="U23" s="653"/>
      <c r="V23" s="653"/>
      <c r="W23" s="653"/>
      <c r="X23" s="653"/>
      <c r="Y23" s="653"/>
      <c r="Z23" s="654">
        <f t="shared" si="0"/>
        <v>6949788</v>
      </c>
    </row>
    <row r="24" spans="1:26" ht="36">
      <c r="A24" s="624">
        <v>751791</v>
      </c>
      <c r="B24" s="625" t="s">
        <v>69</v>
      </c>
      <c r="C24" s="625" t="s">
        <v>55</v>
      </c>
      <c r="D24" s="656" t="s">
        <v>452</v>
      </c>
      <c r="E24" s="657" t="s">
        <v>56</v>
      </c>
      <c r="F24" s="660"/>
      <c r="G24" s="653">
        <v>0</v>
      </c>
      <c r="H24" s="659">
        <v>0</v>
      </c>
      <c r="I24" s="653">
        <v>747243</v>
      </c>
      <c r="J24" s="653">
        <v>0</v>
      </c>
      <c r="K24" s="653"/>
      <c r="L24" s="653">
        <v>2500000</v>
      </c>
      <c r="M24" s="653"/>
      <c r="N24" s="653"/>
      <c r="O24" s="653">
        <v>0</v>
      </c>
      <c r="P24" s="653">
        <v>0</v>
      </c>
      <c r="Q24" s="653">
        <v>0</v>
      </c>
      <c r="R24" s="653"/>
      <c r="S24" s="653"/>
      <c r="T24" s="653">
        <v>0</v>
      </c>
      <c r="U24" s="653">
        <v>0</v>
      </c>
      <c r="V24" s="653">
        <v>0</v>
      </c>
      <c r="W24" s="653">
        <v>0</v>
      </c>
      <c r="X24" s="653">
        <v>0</v>
      </c>
      <c r="Y24" s="653">
        <v>0</v>
      </c>
      <c r="Z24" s="654">
        <f t="shared" si="0"/>
        <v>3247243</v>
      </c>
    </row>
    <row r="25" spans="1:26" ht="24">
      <c r="A25" s="624">
        <v>751834</v>
      </c>
      <c r="B25" s="625" t="s">
        <v>70</v>
      </c>
      <c r="C25" s="625" t="s">
        <v>57</v>
      </c>
      <c r="D25" s="656" t="s">
        <v>453</v>
      </c>
      <c r="E25" s="657" t="s">
        <v>413</v>
      </c>
      <c r="F25" s="658"/>
      <c r="G25" s="659">
        <v>0</v>
      </c>
      <c r="H25" s="659">
        <v>0</v>
      </c>
      <c r="I25" s="653">
        <f>11455754+608965</f>
        <v>12064719</v>
      </c>
      <c r="J25" s="653">
        <v>0</v>
      </c>
      <c r="K25" s="653"/>
      <c r="L25" s="653">
        <v>0</v>
      </c>
      <c r="M25" s="653"/>
      <c r="N25" s="653"/>
      <c r="O25" s="653">
        <v>0</v>
      </c>
      <c r="P25" s="653">
        <v>0</v>
      </c>
      <c r="Q25" s="653">
        <v>0</v>
      </c>
      <c r="R25" s="653"/>
      <c r="S25" s="653"/>
      <c r="T25" s="653">
        <v>0</v>
      </c>
      <c r="U25" s="653">
        <v>0</v>
      </c>
      <c r="V25" s="653">
        <v>0</v>
      </c>
      <c r="W25" s="653">
        <v>0</v>
      </c>
      <c r="X25" s="653">
        <v>0</v>
      </c>
      <c r="Y25" s="653">
        <v>0</v>
      </c>
      <c r="Z25" s="654">
        <f t="shared" si="0"/>
        <v>12064719</v>
      </c>
    </row>
    <row r="26" spans="1:26" ht="24" customHeight="1">
      <c r="A26" s="624">
        <v>751966</v>
      </c>
      <c r="B26" s="625" t="s">
        <v>72</v>
      </c>
      <c r="C26" s="625" t="s">
        <v>69</v>
      </c>
      <c r="D26" s="656" t="s">
        <v>454</v>
      </c>
      <c r="E26" s="657" t="s">
        <v>416</v>
      </c>
      <c r="F26" s="658"/>
      <c r="G26" s="659">
        <v>0</v>
      </c>
      <c r="H26" s="653">
        <v>0</v>
      </c>
      <c r="I26" s="653">
        <v>23114000</v>
      </c>
      <c r="J26" s="653">
        <v>0</v>
      </c>
      <c r="K26" s="653"/>
      <c r="L26" s="653">
        <v>0</v>
      </c>
      <c r="M26" s="653"/>
      <c r="N26" s="653"/>
      <c r="O26" s="653">
        <v>0</v>
      </c>
      <c r="P26" s="653">
        <v>0</v>
      </c>
      <c r="Q26" s="653">
        <v>0</v>
      </c>
      <c r="R26" s="653"/>
      <c r="S26" s="653"/>
      <c r="T26" s="653">
        <v>0</v>
      </c>
      <c r="U26" s="653">
        <v>0</v>
      </c>
      <c r="V26" s="659">
        <v>0</v>
      </c>
      <c r="W26" s="653">
        <v>0</v>
      </c>
      <c r="X26" s="653">
        <v>0</v>
      </c>
      <c r="Y26" s="653">
        <v>0</v>
      </c>
      <c r="Z26" s="654">
        <f t="shared" si="0"/>
        <v>23114000</v>
      </c>
    </row>
    <row r="27" spans="1:26" ht="24" customHeight="1">
      <c r="A27" s="624">
        <v>751999</v>
      </c>
      <c r="B27" s="625" t="s">
        <v>74</v>
      </c>
      <c r="C27" s="625" t="s">
        <v>65</v>
      </c>
      <c r="D27" s="656" t="s">
        <v>455</v>
      </c>
      <c r="E27" s="657" t="s">
        <v>614</v>
      </c>
      <c r="F27" s="658"/>
      <c r="G27" s="659">
        <v>0</v>
      </c>
      <c r="H27" s="659">
        <v>0</v>
      </c>
      <c r="I27" s="653">
        <v>170000</v>
      </c>
      <c r="J27" s="653">
        <v>0</v>
      </c>
      <c r="K27" s="653"/>
      <c r="L27" s="653">
        <f>32626000-854000+854000</f>
        <v>32626000</v>
      </c>
      <c r="M27" s="653"/>
      <c r="N27" s="653"/>
      <c r="O27" s="653">
        <v>0</v>
      </c>
      <c r="P27" s="653">
        <v>0</v>
      </c>
      <c r="Q27" s="653">
        <v>0</v>
      </c>
      <c r="R27" s="653"/>
      <c r="S27" s="653"/>
      <c r="T27" s="653">
        <v>0</v>
      </c>
      <c r="U27" s="653">
        <v>0</v>
      </c>
      <c r="V27" s="659">
        <v>0</v>
      </c>
      <c r="W27" s="653">
        <v>5000000</v>
      </c>
      <c r="X27" s="653">
        <v>0</v>
      </c>
      <c r="Y27" s="653">
        <v>0</v>
      </c>
      <c r="Z27" s="654">
        <f t="shared" si="0"/>
        <v>37796000</v>
      </c>
    </row>
    <row r="28" spans="2:27" ht="24">
      <c r="B28" s="625" t="s">
        <v>76</v>
      </c>
      <c r="C28" s="625" t="s">
        <v>70</v>
      </c>
      <c r="D28" s="656" t="s">
        <v>456</v>
      </c>
      <c r="E28" s="657" t="s">
        <v>615</v>
      </c>
      <c r="F28" s="658"/>
      <c r="G28" s="659">
        <v>217000</v>
      </c>
      <c r="H28" s="659">
        <v>43686</v>
      </c>
      <c r="I28" s="653">
        <f>10729014-550000-148500-209790-500000+1204560+42000</f>
        <v>10567284</v>
      </c>
      <c r="J28" s="653">
        <v>0</v>
      </c>
      <c r="K28" s="653"/>
      <c r="L28" s="653">
        <f>18843000-1200000</f>
        <v>17643000</v>
      </c>
      <c r="M28" s="653"/>
      <c r="N28" s="653"/>
      <c r="O28" s="653">
        <v>0</v>
      </c>
      <c r="P28" s="653">
        <v>0</v>
      </c>
      <c r="Q28" s="653">
        <v>0</v>
      </c>
      <c r="R28" s="653"/>
      <c r="S28" s="653"/>
      <c r="T28" s="653">
        <v>0</v>
      </c>
      <c r="U28" s="653">
        <v>0</v>
      </c>
      <c r="V28" s="659">
        <f>10400-10400</f>
        <v>0</v>
      </c>
      <c r="W28" s="653">
        <v>0</v>
      </c>
      <c r="X28" s="653">
        <v>0</v>
      </c>
      <c r="Y28" s="653">
        <v>0</v>
      </c>
      <c r="Z28" s="654">
        <f t="shared" si="0"/>
        <v>28470970</v>
      </c>
      <c r="AA28" s="661"/>
    </row>
    <row r="29" spans="2:27" ht="24" customHeight="1">
      <c r="B29" s="625" t="s">
        <v>77</v>
      </c>
      <c r="C29" s="625" t="s">
        <v>77</v>
      </c>
      <c r="D29" s="903" t="s">
        <v>1061</v>
      </c>
      <c r="E29" s="657" t="s">
        <v>418</v>
      </c>
      <c r="F29" s="662"/>
      <c r="G29" s="653">
        <v>0</v>
      </c>
      <c r="H29" s="653">
        <v>0</v>
      </c>
      <c r="I29" s="653">
        <v>360000</v>
      </c>
      <c r="J29" s="653">
        <v>0</v>
      </c>
      <c r="K29" s="653"/>
      <c r="L29" s="653">
        <v>0</v>
      </c>
      <c r="M29" s="653"/>
      <c r="N29" s="653"/>
      <c r="O29" s="653">
        <v>0</v>
      </c>
      <c r="P29" s="653">
        <v>0</v>
      </c>
      <c r="Q29" s="653">
        <v>0</v>
      </c>
      <c r="R29" s="653"/>
      <c r="S29" s="653"/>
      <c r="T29" s="653">
        <v>0</v>
      </c>
      <c r="U29" s="653">
        <v>0</v>
      </c>
      <c r="V29" s="653">
        <v>0</v>
      </c>
      <c r="W29" s="653">
        <v>0</v>
      </c>
      <c r="X29" s="653">
        <v>0</v>
      </c>
      <c r="Y29" s="653">
        <v>0</v>
      </c>
      <c r="Z29" s="654">
        <f t="shared" si="0"/>
        <v>360000</v>
      </c>
      <c r="AA29" s="661"/>
    </row>
    <row r="30" spans="2:28" ht="24" customHeight="1">
      <c r="B30" s="625" t="s">
        <v>78</v>
      </c>
      <c r="C30" s="625" t="s">
        <v>78</v>
      </c>
      <c r="D30" s="903"/>
      <c r="E30" s="657" t="s">
        <v>419</v>
      </c>
      <c r="F30" s="662"/>
      <c r="G30" s="653">
        <f>11152853-146050-511475+169300</f>
        <v>10664628</v>
      </c>
      <c r="H30" s="653">
        <f>2491715-32131-112525+37246</f>
        <v>2384305</v>
      </c>
      <c r="I30" s="653">
        <f>18737080+178181+624000+788800+255887</f>
        <v>20583948</v>
      </c>
      <c r="J30" s="653">
        <v>0</v>
      </c>
      <c r="K30" s="653"/>
      <c r="L30" s="653">
        <v>0</v>
      </c>
      <c r="M30" s="653"/>
      <c r="N30" s="653"/>
      <c r="O30" s="653">
        <v>0</v>
      </c>
      <c r="P30" s="653">
        <v>0</v>
      </c>
      <c r="Q30" s="653">
        <v>0</v>
      </c>
      <c r="R30" s="653"/>
      <c r="S30" s="653"/>
      <c r="T30" s="653">
        <v>0</v>
      </c>
      <c r="U30" s="653">
        <v>0</v>
      </c>
      <c r="V30" s="653">
        <v>25400</v>
      </c>
      <c r="W30" s="653">
        <v>0</v>
      </c>
      <c r="X30" s="653">
        <v>0</v>
      </c>
      <c r="Y30" s="653">
        <v>0</v>
      </c>
      <c r="Z30" s="654">
        <f t="shared" si="0"/>
        <v>33658281</v>
      </c>
      <c r="AB30" s="624" t="s">
        <v>900</v>
      </c>
    </row>
    <row r="31" spans="1:28" ht="24" customHeight="1">
      <c r="A31" s="624">
        <v>851286</v>
      </c>
      <c r="B31" s="625" t="s">
        <v>79</v>
      </c>
      <c r="C31" s="625" t="s">
        <v>79</v>
      </c>
      <c r="D31" s="903"/>
      <c r="E31" s="657" t="s">
        <v>420</v>
      </c>
      <c r="F31" s="662"/>
      <c r="G31" s="653">
        <v>0</v>
      </c>
      <c r="H31" s="653">
        <v>0</v>
      </c>
      <c r="I31" s="653">
        <v>120000</v>
      </c>
      <c r="J31" s="653">
        <v>0</v>
      </c>
      <c r="K31" s="653"/>
      <c r="L31" s="653">
        <v>0</v>
      </c>
      <c r="M31" s="653"/>
      <c r="N31" s="653"/>
      <c r="O31" s="653">
        <v>0</v>
      </c>
      <c r="P31" s="653">
        <v>0</v>
      </c>
      <c r="Q31" s="653">
        <v>0</v>
      </c>
      <c r="R31" s="653"/>
      <c r="S31" s="653"/>
      <c r="T31" s="653">
        <v>0</v>
      </c>
      <c r="U31" s="653">
        <v>0</v>
      </c>
      <c r="V31" s="653">
        <v>0</v>
      </c>
      <c r="W31" s="653">
        <v>0</v>
      </c>
      <c r="X31" s="653">
        <v>0</v>
      </c>
      <c r="Y31" s="653">
        <v>0</v>
      </c>
      <c r="Z31" s="654">
        <f t="shared" si="0"/>
        <v>120000</v>
      </c>
      <c r="AB31" s="661">
        <f>SUM(Z29:Z32)</f>
        <v>57297965</v>
      </c>
    </row>
    <row r="32" spans="1:26" s="655" customFormat="1" ht="27" customHeight="1">
      <c r="A32" s="624">
        <v>851297</v>
      </c>
      <c r="B32" s="625" t="s">
        <v>80</v>
      </c>
      <c r="C32" s="625" t="s">
        <v>80</v>
      </c>
      <c r="D32" s="903"/>
      <c r="E32" s="657" t="s">
        <v>488</v>
      </c>
      <c r="F32" s="662"/>
      <c r="G32" s="653">
        <f>14479866+110000+135246</f>
        <v>14725112</v>
      </c>
      <c r="H32" s="653">
        <f>3242433+24200+29754</f>
        <v>3296387</v>
      </c>
      <c r="I32" s="653">
        <f>2735180+17100</f>
        <v>2752280</v>
      </c>
      <c r="J32" s="653">
        <v>0</v>
      </c>
      <c r="K32" s="653"/>
      <c r="L32" s="653">
        <v>0</v>
      </c>
      <c r="M32" s="653"/>
      <c r="N32" s="653"/>
      <c r="O32" s="653">
        <v>0</v>
      </c>
      <c r="P32" s="653">
        <v>0</v>
      </c>
      <c r="Q32" s="653">
        <v>0</v>
      </c>
      <c r="R32" s="653"/>
      <c r="S32" s="653"/>
      <c r="T32" s="653">
        <v>0</v>
      </c>
      <c r="U32" s="653">
        <v>0</v>
      </c>
      <c r="V32" s="653">
        <f>4445000-2059095</f>
        <v>2385905</v>
      </c>
      <c r="W32" s="653">
        <v>0</v>
      </c>
      <c r="X32" s="653">
        <v>0</v>
      </c>
      <c r="Y32" s="653">
        <v>0</v>
      </c>
      <c r="Z32" s="654">
        <f t="shared" si="0"/>
        <v>23159684</v>
      </c>
    </row>
    <row r="33" spans="1:26" s="655" customFormat="1" ht="24" customHeight="1">
      <c r="A33" s="624">
        <v>853322</v>
      </c>
      <c r="B33" s="625" t="s">
        <v>81</v>
      </c>
      <c r="C33" s="625" t="s">
        <v>96</v>
      </c>
      <c r="D33" s="656" t="s">
        <v>546</v>
      </c>
      <c r="E33" s="657" t="s">
        <v>97</v>
      </c>
      <c r="F33" s="663"/>
      <c r="G33" s="653">
        <v>0</v>
      </c>
      <c r="H33" s="653">
        <v>0</v>
      </c>
      <c r="I33" s="653">
        <v>0</v>
      </c>
      <c r="J33" s="653">
        <v>0</v>
      </c>
      <c r="K33" s="653"/>
      <c r="L33" s="653">
        <f>37833000-8393000-1607000</f>
        <v>27833000</v>
      </c>
      <c r="M33" s="653"/>
      <c r="N33" s="653"/>
      <c r="O33" s="653">
        <v>0</v>
      </c>
      <c r="P33" s="653">
        <v>0</v>
      </c>
      <c r="Q33" s="653">
        <v>0</v>
      </c>
      <c r="R33" s="653"/>
      <c r="S33" s="653"/>
      <c r="T33" s="653">
        <v>0</v>
      </c>
      <c r="U33" s="653">
        <v>0</v>
      </c>
      <c r="V33" s="653">
        <v>11201400</v>
      </c>
      <c r="W33" s="653">
        <v>0</v>
      </c>
      <c r="X33" s="653">
        <v>0</v>
      </c>
      <c r="Y33" s="653">
        <v>0</v>
      </c>
      <c r="Z33" s="654">
        <f t="shared" si="0"/>
        <v>39034400</v>
      </c>
    </row>
    <row r="34" spans="1:26" s="655" customFormat="1" ht="36">
      <c r="A34" s="624"/>
      <c r="B34" s="625" t="s">
        <v>83</v>
      </c>
      <c r="C34" s="625" t="s">
        <v>609</v>
      </c>
      <c r="D34" s="656" t="s">
        <v>547</v>
      </c>
      <c r="E34" s="664" t="s">
        <v>692</v>
      </c>
      <c r="F34" s="663"/>
      <c r="G34" s="653">
        <v>80000</v>
      </c>
      <c r="H34" s="653">
        <v>44359</v>
      </c>
      <c r="I34" s="653">
        <v>1752750</v>
      </c>
      <c r="J34" s="653">
        <v>0</v>
      </c>
      <c r="K34" s="653"/>
      <c r="L34" s="653">
        <v>0</v>
      </c>
      <c r="M34" s="653"/>
      <c r="N34" s="653"/>
      <c r="O34" s="653">
        <v>0</v>
      </c>
      <c r="P34" s="653">
        <v>0</v>
      </c>
      <c r="Q34" s="653">
        <v>0</v>
      </c>
      <c r="R34" s="653"/>
      <c r="S34" s="653"/>
      <c r="T34" s="653">
        <v>0</v>
      </c>
      <c r="U34" s="653">
        <v>0</v>
      </c>
      <c r="V34" s="653">
        <v>0</v>
      </c>
      <c r="W34" s="653">
        <f>4087500+19779919</f>
        <v>23867419</v>
      </c>
      <c r="X34" s="653">
        <v>0</v>
      </c>
      <c r="Y34" s="653">
        <v>0</v>
      </c>
      <c r="Z34" s="654">
        <f t="shared" si="0"/>
        <v>25744528</v>
      </c>
    </row>
    <row r="35" spans="1:26" ht="25.5" customHeight="1">
      <c r="A35" s="624">
        <v>853333</v>
      </c>
      <c r="B35" s="625" t="s">
        <v>87</v>
      </c>
      <c r="C35" s="625" t="s">
        <v>93</v>
      </c>
      <c r="D35" s="656" t="s">
        <v>548</v>
      </c>
      <c r="E35" s="664" t="s">
        <v>100</v>
      </c>
      <c r="F35" s="662"/>
      <c r="G35" s="653">
        <v>0</v>
      </c>
      <c r="H35" s="653">
        <v>0</v>
      </c>
      <c r="I35" s="653">
        <v>49530</v>
      </c>
      <c r="J35" s="653">
        <v>0</v>
      </c>
      <c r="K35" s="653"/>
      <c r="L35" s="665">
        <v>0</v>
      </c>
      <c r="M35" s="665"/>
      <c r="N35" s="665"/>
      <c r="O35" s="653">
        <v>0</v>
      </c>
      <c r="P35" s="653">
        <v>0</v>
      </c>
      <c r="Q35" s="653">
        <v>0</v>
      </c>
      <c r="R35" s="653"/>
      <c r="S35" s="653"/>
      <c r="T35" s="653">
        <v>0</v>
      </c>
      <c r="U35" s="653">
        <v>0</v>
      </c>
      <c r="V35" s="653">
        <v>0</v>
      </c>
      <c r="W35" s="653">
        <v>0</v>
      </c>
      <c r="X35" s="653">
        <v>0</v>
      </c>
      <c r="Y35" s="653">
        <v>0</v>
      </c>
      <c r="Z35" s="654">
        <f t="shared" si="0"/>
        <v>49530</v>
      </c>
    </row>
    <row r="36" spans="1:26" s="655" customFormat="1" ht="23.25" customHeight="1">
      <c r="A36" s="624"/>
      <c r="B36" s="625"/>
      <c r="C36" s="625" t="s">
        <v>987</v>
      </c>
      <c r="D36" s="656" t="s">
        <v>514</v>
      </c>
      <c r="E36" s="664" t="s">
        <v>988</v>
      </c>
      <c r="F36" s="663"/>
      <c r="G36" s="653"/>
      <c r="H36" s="653"/>
      <c r="I36" s="653">
        <v>978201</v>
      </c>
      <c r="J36" s="653"/>
      <c r="K36" s="653"/>
      <c r="L36" s="653"/>
      <c r="M36" s="653"/>
      <c r="N36" s="653"/>
      <c r="O36" s="653"/>
      <c r="P36" s="653"/>
      <c r="Q36" s="653"/>
      <c r="R36" s="653"/>
      <c r="S36" s="653"/>
      <c r="T36" s="653"/>
      <c r="U36" s="653"/>
      <c r="V36" s="653"/>
      <c r="W36" s="653"/>
      <c r="X36" s="653"/>
      <c r="Y36" s="653"/>
      <c r="Z36" s="654">
        <f t="shared" si="0"/>
        <v>978201</v>
      </c>
    </row>
    <row r="37" spans="1:26" s="655" customFormat="1" ht="24" customHeight="1">
      <c r="A37" s="624"/>
      <c r="B37" s="625" t="s">
        <v>84</v>
      </c>
      <c r="C37" s="625" t="s">
        <v>610</v>
      </c>
      <c r="D37" s="909" t="s">
        <v>1062</v>
      </c>
      <c r="E37" s="664" t="s">
        <v>616</v>
      </c>
      <c r="F37" s="663"/>
      <c r="G37" s="653">
        <v>0</v>
      </c>
      <c r="H37" s="653">
        <v>0</v>
      </c>
      <c r="I37" s="653">
        <v>0</v>
      </c>
      <c r="J37" s="653">
        <v>0</v>
      </c>
      <c r="K37" s="653"/>
      <c r="L37" s="653">
        <v>1100000</v>
      </c>
      <c r="M37" s="653"/>
      <c r="N37" s="653"/>
      <c r="O37" s="653">
        <v>0</v>
      </c>
      <c r="P37" s="653">
        <v>0</v>
      </c>
      <c r="Q37" s="653">
        <v>0</v>
      </c>
      <c r="R37" s="653"/>
      <c r="S37" s="653"/>
      <c r="T37" s="653">
        <v>0</v>
      </c>
      <c r="U37" s="653">
        <v>0</v>
      </c>
      <c r="V37" s="653">
        <v>0</v>
      </c>
      <c r="W37" s="653">
        <v>0</v>
      </c>
      <c r="X37" s="653">
        <v>0</v>
      </c>
      <c r="Y37" s="653">
        <v>0</v>
      </c>
      <c r="Z37" s="654">
        <f t="shared" si="0"/>
        <v>1100000</v>
      </c>
    </row>
    <row r="38" spans="1:26" s="655" customFormat="1" ht="23.25" customHeight="1">
      <c r="A38" s="624"/>
      <c r="B38" s="625" t="s">
        <v>85</v>
      </c>
      <c r="C38" s="625" t="s">
        <v>92</v>
      </c>
      <c r="D38" s="910"/>
      <c r="E38" s="664" t="s">
        <v>421</v>
      </c>
      <c r="F38" s="663"/>
      <c r="G38" s="653">
        <v>0</v>
      </c>
      <c r="H38" s="653">
        <v>0</v>
      </c>
      <c r="I38" s="653">
        <v>0</v>
      </c>
      <c r="J38" s="653">
        <v>0</v>
      </c>
      <c r="K38" s="653"/>
      <c r="L38" s="653">
        <f>3374212-50329</f>
        <v>3323883</v>
      </c>
      <c r="M38" s="653"/>
      <c r="N38" s="653"/>
      <c r="O38" s="653">
        <v>0</v>
      </c>
      <c r="P38" s="653">
        <v>0</v>
      </c>
      <c r="Q38" s="653">
        <v>0</v>
      </c>
      <c r="R38" s="653"/>
      <c r="S38" s="653"/>
      <c r="T38" s="653">
        <v>0</v>
      </c>
      <c r="U38" s="653">
        <v>0</v>
      </c>
      <c r="V38" s="653">
        <v>0</v>
      </c>
      <c r="W38" s="653">
        <v>0</v>
      </c>
      <c r="X38" s="653">
        <v>788000</v>
      </c>
      <c r="Y38" s="653">
        <v>0</v>
      </c>
      <c r="Z38" s="654">
        <f t="shared" si="0"/>
        <v>4111883</v>
      </c>
    </row>
    <row r="39" spans="2:28" ht="36">
      <c r="B39" s="625" t="s">
        <v>88</v>
      </c>
      <c r="C39" s="625" t="s">
        <v>94</v>
      </c>
      <c r="D39" s="910"/>
      <c r="E39" s="657" t="s">
        <v>617</v>
      </c>
      <c r="F39" s="662"/>
      <c r="G39" s="653">
        <v>0</v>
      </c>
      <c r="H39" s="653">
        <v>0</v>
      </c>
      <c r="I39" s="653">
        <v>0</v>
      </c>
      <c r="J39" s="653">
        <v>0</v>
      </c>
      <c r="K39" s="653"/>
      <c r="L39" s="665">
        <f>13435298-262038-1500000</f>
        <v>11673260</v>
      </c>
      <c r="M39" s="665"/>
      <c r="N39" s="665"/>
      <c r="O39" s="653">
        <v>0</v>
      </c>
      <c r="P39" s="653">
        <v>0</v>
      </c>
      <c r="Q39" s="653">
        <v>0</v>
      </c>
      <c r="R39" s="653"/>
      <c r="S39" s="653"/>
      <c r="T39" s="653">
        <v>0</v>
      </c>
      <c r="U39" s="653">
        <v>0</v>
      </c>
      <c r="V39" s="653"/>
      <c r="W39" s="653">
        <v>0</v>
      </c>
      <c r="X39" s="653">
        <v>50000</v>
      </c>
      <c r="Y39" s="653">
        <v>0</v>
      </c>
      <c r="Z39" s="654">
        <f t="shared" si="0"/>
        <v>11723260</v>
      </c>
      <c r="AB39" s="624" t="s">
        <v>899</v>
      </c>
    </row>
    <row r="40" spans="2:28" ht="24">
      <c r="B40" s="625" t="s">
        <v>89</v>
      </c>
      <c r="C40" s="625" t="s">
        <v>687</v>
      </c>
      <c r="D40" s="911"/>
      <c r="E40" s="657" t="s">
        <v>688</v>
      </c>
      <c r="F40" s="662"/>
      <c r="G40" s="653">
        <v>0</v>
      </c>
      <c r="H40" s="653">
        <v>0</v>
      </c>
      <c r="I40" s="653">
        <v>0</v>
      </c>
      <c r="J40" s="653">
        <v>0</v>
      </c>
      <c r="K40" s="653"/>
      <c r="L40" s="665">
        <f>6711326-267633</f>
        <v>6443693</v>
      </c>
      <c r="M40" s="665"/>
      <c r="N40" s="665"/>
      <c r="O40" s="653">
        <v>0</v>
      </c>
      <c r="P40" s="653">
        <v>0</v>
      </c>
      <c r="Q40" s="653">
        <v>0</v>
      </c>
      <c r="R40" s="653"/>
      <c r="S40" s="653"/>
      <c r="T40" s="653">
        <v>0</v>
      </c>
      <c r="U40" s="653">
        <v>0</v>
      </c>
      <c r="V40" s="653">
        <v>0</v>
      </c>
      <c r="W40" s="653">
        <v>0</v>
      </c>
      <c r="X40" s="653">
        <v>0</v>
      </c>
      <c r="Y40" s="653">
        <v>0</v>
      </c>
      <c r="Z40" s="654">
        <f t="shared" si="0"/>
        <v>6443693</v>
      </c>
      <c r="AB40" s="661">
        <f>SUM(Z37:Z40)</f>
        <v>23378836</v>
      </c>
    </row>
    <row r="41" spans="1:26" s="655" customFormat="1" ht="23.25" customHeight="1">
      <c r="A41" s="624"/>
      <c r="B41" s="625"/>
      <c r="C41" s="625" t="s">
        <v>76</v>
      </c>
      <c r="D41" s="656" t="s">
        <v>458</v>
      </c>
      <c r="E41" s="664" t="s">
        <v>748</v>
      </c>
      <c r="F41" s="663"/>
      <c r="G41" s="653">
        <v>0</v>
      </c>
      <c r="H41" s="653">
        <v>0</v>
      </c>
      <c r="I41" s="653">
        <v>0</v>
      </c>
      <c r="J41" s="653">
        <v>0</v>
      </c>
      <c r="K41" s="653"/>
      <c r="L41" s="653">
        <v>0</v>
      </c>
      <c r="M41" s="653"/>
      <c r="N41" s="653"/>
      <c r="O41" s="653">
        <v>0</v>
      </c>
      <c r="P41" s="653">
        <v>0</v>
      </c>
      <c r="Q41" s="653">
        <v>0</v>
      </c>
      <c r="R41" s="653"/>
      <c r="S41" s="653"/>
      <c r="T41" s="653">
        <v>0</v>
      </c>
      <c r="U41" s="653">
        <v>0</v>
      </c>
      <c r="V41" s="653">
        <v>1237243</v>
      </c>
      <c r="W41" s="653">
        <v>11154409</v>
      </c>
      <c r="X41" s="653">
        <v>0</v>
      </c>
      <c r="Y41" s="653">
        <v>0</v>
      </c>
      <c r="Z41" s="654">
        <f t="shared" si="0"/>
        <v>12391652</v>
      </c>
    </row>
    <row r="42" spans="3:26" ht="24">
      <c r="C42" s="625" t="s">
        <v>756</v>
      </c>
      <c r="D42" s="666" t="s">
        <v>459</v>
      </c>
      <c r="E42" s="657" t="s">
        <v>757</v>
      </c>
      <c r="F42" s="662"/>
      <c r="G42" s="653">
        <v>1782000</v>
      </c>
      <c r="H42" s="653">
        <v>392040</v>
      </c>
      <c r="I42" s="653">
        <v>57328858</v>
      </c>
      <c r="J42" s="653">
        <v>0</v>
      </c>
      <c r="K42" s="653"/>
      <c r="L42" s="653">
        <v>0</v>
      </c>
      <c r="M42" s="653"/>
      <c r="N42" s="653"/>
      <c r="O42" s="653">
        <v>0</v>
      </c>
      <c r="P42" s="653">
        <v>0</v>
      </c>
      <c r="Q42" s="653">
        <v>0</v>
      </c>
      <c r="R42" s="653"/>
      <c r="S42" s="653"/>
      <c r="T42" s="653">
        <v>0</v>
      </c>
      <c r="U42" s="653">
        <v>0</v>
      </c>
      <c r="V42" s="653">
        <v>0</v>
      </c>
      <c r="W42" s="653">
        <v>0</v>
      </c>
      <c r="X42" s="653">
        <v>0</v>
      </c>
      <c r="Y42" s="653">
        <v>0</v>
      </c>
      <c r="Z42" s="654">
        <f t="shared" si="0"/>
        <v>59502898</v>
      </c>
    </row>
    <row r="43" spans="3:26" ht="25.5" customHeight="1">
      <c r="C43" s="625" t="s">
        <v>985</v>
      </c>
      <c r="D43" s="666" t="s">
        <v>460</v>
      </c>
      <c r="E43" s="657" t="s">
        <v>986</v>
      </c>
      <c r="F43" s="662"/>
      <c r="G43" s="653"/>
      <c r="H43" s="653"/>
      <c r="I43" s="653">
        <v>24000</v>
      </c>
      <c r="J43" s="653"/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3"/>
      <c r="Y43" s="653"/>
      <c r="Z43" s="654">
        <f t="shared" si="0"/>
        <v>24000</v>
      </c>
    </row>
    <row r="44" spans="3:26" ht="24">
      <c r="C44" s="625" t="s">
        <v>758</v>
      </c>
      <c r="D44" s="666" t="s">
        <v>550</v>
      </c>
      <c r="E44" s="657" t="s">
        <v>759</v>
      </c>
      <c r="F44" s="662"/>
      <c r="G44" s="653">
        <v>0</v>
      </c>
      <c r="H44" s="653">
        <v>0</v>
      </c>
      <c r="I44" s="653">
        <v>2254350</v>
      </c>
      <c r="J44" s="653">
        <v>0</v>
      </c>
      <c r="K44" s="653"/>
      <c r="L44" s="653">
        <v>0</v>
      </c>
      <c r="M44" s="653"/>
      <c r="N44" s="653"/>
      <c r="O44" s="653">
        <v>0</v>
      </c>
      <c r="P44" s="653">
        <v>0</v>
      </c>
      <c r="Q44" s="653">
        <v>0</v>
      </c>
      <c r="R44" s="653"/>
      <c r="S44" s="653"/>
      <c r="T44" s="653">
        <v>0</v>
      </c>
      <c r="U44" s="653">
        <v>0</v>
      </c>
      <c r="V44" s="653">
        <v>0</v>
      </c>
      <c r="W44" s="653">
        <v>0</v>
      </c>
      <c r="X44" s="653">
        <v>0</v>
      </c>
      <c r="Y44" s="653">
        <v>0</v>
      </c>
      <c r="Z44" s="654">
        <f t="shared" si="0"/>
        <v>2254350</v>
      </c>
    </row>
    <row r="45" spans="3:26" ht="24">
      <c r="C45" s="625" t="s">
        <v>90</v>
      </c>
      <c r="D45" s="666" t="s">
        <v>461</v>
      </c>
      <c r="E45" s="657" t="s">
        <v>989</v>
      </c>
      <c r="F45" s="662"/>
      <c r="G45" s="653">
        <v>7051200</v>
      </c>
      <c r="H45" s="653">
        <v>1898910</v>
      </c>
      <c r="I45" s="653">
        <v>7185532</v>
      </c>
      <c r="J45" s="653"/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654">
        <f t="shared" si="0"/>
        <v>16135642</v>
      </c>
    </row>
    <row r="46" spans="3:26" ht="24">
      <c r="C46" s="625" t="s">
        <v>689</v>
      </c>
      <c r="D46" s="666" t="s">
        <v>487</v>
      </c>
      <c r="E46" s="657" t="s">
        <v>690</v>
      </c>
      <c r="F46" s="662"/>
      <c r="G46" s="653">
        <v>5250</v>
      </c>
      <c r="H46" s="653">
        <v>2292</v>
      </c>
      <c r="I46" s="653">
        <f>25488+100000</f>
        <v>125488</v>
      </c>
      <c r="J46" s="653">
        <v>0</v>
      </c>
      <c r="K46" s="653"/>
      <c r="L46" s="665">
        <v>0</v>
      </c>
      <c r="M46" s="665"/>
      <c r="N46" s="665"/>
      <c r="O46" s="653">
        <v>0</v>
      </c>
      <c r="P46" s="653">
        <v>0</v>
      </c>
      <c r="Q46" s="653">
        <v>0</v>
      </c>
      <c r="R46" s="653"/>
      <c r="S46" s="653"/>
      <c r="T46" s="653">
        <v>0</v>
      </c>
      <c r="U46" s="653">
        <v>0</v>
      </c>
      <c r="V46" s="653"/>
      <c r="W46" s="653">
        <v>0</v>
      </c>
      <c r="X46" s="653">
        <v>0</v>
      </c>
      <c r="Y46" s="653">
        <v>0</v>
      </c>
      <c r="Z46" s="654">
        <f t="shared" si="0"/>
        <v>133030</v>
      </c>
    </row>
    <row r="47" spans="2:26" ht="24" customHeight="1">
      <c r="B47" s="625" t="s">
        <v>90</v>
      </c>
      <c r="C47" s="625" t="s">
        <v>749</v>
      </c>
      <c r="D47" s="904" t="s">
        <v>1063</v>
      </c>
      <c r="E47" s="657" t="s">
        <v>751</v>
      </c>
      <c r="F47" s="662"/>
      <c r="G47" s="653">
        <v>0</v>
      </c>
      <c r="H47" s="653">
        <v>0</v>
      </c>
      <c r="I47" s="653">
        <f>14500000+1176540</f>
        <v>15676540</v>
      </c>
      <c r="J47" s="653">
        <v>0</v>
      </c>
      <c r="K47" s="653"/>
      <c r="L47" s="653">
        <f>25701000-9876000</f>
        <v>15825000</v>
      </c>
      <c r="M47" s="653"/>
      <c r="N47" s="653"/>
      <c r="O47" s="653">
        <v>0</v>
      </c>
      <c r="P47" s="653">
        <v>0</v>
      </c>
      <c r="Q47" s="653">
        <v>0</v>
      </c>
      <c r="R47" s="653"/>
      <c r="S47" s="653"/>
      <c r="T47" s="653">
        <v>0</v>
      </c>
      <c r="U47" s="653">
        <v>0</v>
      </c>
      <c r="V47" s="653">
        <v>0</v>
      </c>
      <c r="W47" s="653">
        <v>0</v>
      </c>
      <c r="X47" s="653">
        <v>0</v>
      </c>
      <c r="Y47" s="653">
        <v>0</v>
      </c>
      <c r="Z47" s="654">
        <f t="shared" si="0"/>
        <v>31501540</v>
      </c>
    </row>
    <row r="48" spans="2:26" ht="24" customHeight="1">
      <c r="B48" s="625" t="s">
        <v>91</v>
      </c>
      <c r="C48" s="625" t="s">
        <v>750</v>
      </c>
      <c r="D48" s="905"/>
      <c r="E48" s="657" t="s">
        <v>752</v>
      </c>
      <c r="F48" s="662"/>
      <c r="G48" s="653">
        <v>0</v>
      </c>
      <c r="H48" s="653">
        <v>0</v>
      </c>
      <c r="I48" s="653">
        <v>0</v>
      </c>
      <c r="J48" s="653">
        <v>0</v>
      </c>
      <c r="K48" s="653"/>
      <c r="L48" s="665">
        <f>11294000-2249000</f>
        <v>9045000</v>
      </c>
      <c r="M48" s="665"/>
      <c r="N48" s="665"/>
      <c r="O48" s="653">
        <v>0</v>
      </c>
      <c r="P48" s="653">
        <v>0</v>
      </c>
      <c r="Q48" s="653">
        <v>0</v>
      </c>
      <c r="R48" s="653"/>
      <c r="S48" s="653"/>
      <c r="T48" s="653">
        <v>0</v>
      </c>
      <c r="U48" s="653">
        <v>0</v>
      </c>
      <c r="V48" s="653">
        <v>0</v>
      </c>
      <c r="W48" s="653">
        <v>0</v>
      </c>
      <c r="X48" s="653">
        <v>0</v>
      </c>
      <c r="Y48" s="653">
        <v>0</v>
      </c>
      <c r="Z48" s="654">
        <f t="shared" si="0"/>
        <v>9045000</v>
      </c>
    </row>
    <row r="49" spans="3:28" ht="24" customHeight="1">
      <c r="C49" s="625" t="s">
        <v>82</v>
      </c>
      <c r="D49" s="905"/>
      <c r="E49" s="657" t="s">
        <v>753</v>
      </c>
      <c r="F49" s="662"/>
      <c r="G49" s="653">
        <v>0</v>
      </c>
      <c r="H49" s="653">
        <v>0</v>
      </c>
      <c r="I49" s="653">
        <v>0</v>
      </c>
      <c r="J49" s="653">
        <v>0</v>
      </c>
      <c r="K49" s="653"/>
      <c r="L49" s="653">
        <f>3419000-653000</f>
        <v>2766000</v>
      </c>
      <c r="M49" s="653"/>
      <c r="N49" s="653"/>
      <c r="O49" s="653">
        <v>0</v>
      </c>
      <c r="P49" s="653">
        <v>0</v>
      </c>
      <c r="Q49" s="653">
        <v>0</v>
      </c>
      <c r="R49" s="653"/>
      <c r="S49" s="653"/>
      <c r="T49" s="653">
        <v>0</v>
      </c>
      <c r="U49" s="653">
        <v>0</v>
      </c>
      <c r="V49" s="653">
        <v>0</v>
      </c>
      <c r="W49" s="653">
        <v>0</v>
      </c>
      <c r="X49" s="653">
        <v>0</v>
      </c>
      <c r="Y49" s="653">
        <v>0</v>
      </c>
      <c r="Z49" s="654">
        <f t="shared" si="0"/>
        <v>2766000</v>
      </c>
      <c r="AB49" s="661"/>
    </row>
    <row r="50" spans="3:26" ht="24" customHeight="1">
      <c r="C50" s="625" t="s">
        <v>85</v>
      </c>
      <c r="D50" s="905"/>
      <c r="E50" s="657" t="s">
        <v>754</v>
      </c>
      <c r="F50" s="662"/>
      <c r="G50" s="653">
        <v>0</v>
      </c>
      <c r="H50" s="653">
        <v>0</v>
      </c>
      <c r="I50" s="653">
        <v>0</v>
      </c>
      <c r="J50" s="653">
        <v>0</v>
      </c>
      <c r="K50" s="653"/>
      <c r="L50" s="653">
        <f>5394000-1203000</f>
        <v>4191000</v>
      </c>
      <c r="M50" s="653"/>
      <c r="N50" s="653"/>
      <c r="O50" s="653">
        <v>0</v>
      </c>
      <c r="P50" s="653">
        <v>0</v>
      </c>
      <c r="Q50" s="653">
        <v>0</v>
      </c>
      <c r="R50" s="653"/>
      <c r="S50" s="653"/>
      <c r="T50" s="653">
        <v>0</v>
      </c>
      <c r="U50" s="653">
        <v>0</v>
      </c>
      <c r="V50" s="653">
        <v>0</v>
      </c>
      <c r="W50" s="653">
        <v>0</v>
      </c>
      <c r="X50" s="653">
        <v>0</v>
      </c>
      <c r="Y50" s="653">
        <v>0</v>
      </c>
      <c r="Z50" s="654">
        <f t="shared" si="0"/>
        <v>4191000</v>
      </c>
    </row>
    <row r="51" spans="2:26" ht="24" customHeight="1">
      <c r="B51" s="625" t="s">
        <v>92</v>
      </c>
      <c r="C51" s="625" t="s">
        <v>87</v>
      </c>
      <c r="D51" s="905"/>
      <c r="E51" s="657" t="s">
        <v>509</v>
      </c>
      <c r="F51" s="662"/>
      <c r="G51" s="653">
        <v>0</v>
      </c>
      <c r="H51" s="653">
        <v>0</v>
      </c>
      <c r="I51" s="653">
        <f>2200000+214270</f>
        <v>2414270</v>
      </c>
      <c r="J51" s="653">
        <v>0</v>
      </c>
      <c r="K51" s="653"/>
      <c r="L51" s="653">
        <f>8971000-2187000</f>
        <v>6784000</v>
      </c>
      <c r="M51" s="653"/>
      <c r="N51" s="653"/>
      <c r="O51" s="653">
        <v>0</v>
      </c>
      <c r="P51" s="653">
        <v>0</v>
      </c>
      <c r="Q51" s="653">
        <v>0</v>
      </c>
      <c r="R51" s="653"/>
      <c r="S51" s="653"/>
      <c r="T51" s="653">
        <v>0</v>
      </c>
      <c r="U51" s="653">
        <v>0</v>
      </c>
      <c r="V51" s="653">
        <v>0</v>
      </c>
      <c r="W51" s="653">
        <v>0</v>
      </c>
      <c r="X51" s="653">
        <v>0</v>
      </c>
      <c r="Y51" s="653">
        <v>0</v>
      </c>
      <c r="Z51" s="654">
        <f t="shared" si="0"/>
        <v>9198270</v>
      </c>
    </row>
    <row r="52" spans="2:26" ht="24" customHeight="1">
      <c r="B52" s="625" t="s">
        <v>93</v>
      </c>
      <c r="C52" s="625" t="s">
        <v>88</v>
      </c>
      <c r="D52" s="906"/>
      <c r="E52" s="657" t="s">
        <v>510</v>
      </c>
      <c r="F52" s="662"/>
      <c r="G52" s="653">
        <v>0</v>
      </c>
      <c r="H52" s="653">
        <v>0</v>
      </c>
      <c r="I52" s="653">
        <v>0</v>
      </c>
      <c r="J52" s="653">
        <v>0</v>
      </c>
      <c r="K52" s="653"/>
      <c r="L52" s="653">
        <f>5744000-868000</f>
        <v>4876000</v>
      </c>
      <c r="M52" s="653"/>
      <c r="N52" s="653"/>
      <c r="O52" s="653">
        <v>0</v>
      </c>
      <c r="P52" s="653">
        <v>0</v>
      </c>
      <c r="Q52" s="653">
        <v>0</v>
      </c>
      <c r="R52" s="653"/>
      <c r="S52" s="653"/>
      <c r="T52" s="653">
        <v>0</v>
      </c>
      <c r="U52" s="653">
        <v>0</v>
      </c>
      <c r="V52" s="653">
        <v>0</v>
      </c>
      <c r="W52" s="653">
        <v>0</v>
      </c>
      <c r="X52" s="653">
        <v>0</v>
      </c>
      <c r="Y52" s="653">
        <v>0</v>
      </c>
      <c r="Z52" s="654">
        <f t="shared" si="0"/>
        <v>4876000</v>
      </c>
    </row>
    <row r="53" spans="2:26" ht="24">
      <c r="B53" s="625" t="s">
        <v>96</v>
      </c>
      <c r="C53" s="625" t="s">
        <v>91</v>
      </c>
      <c r="D53" s="666" t="s">
        <v>552</v>
      </c>
      <c r="E53" s="657" t="s">
        <v>755</v>
      </c>
      <c r="F53" s="662"/>
      <c r="G53" s="653">
        <v>0</v>
      </c>
      <c r="H53" s="653">
        <v>0</v>
      </c>
      <c r="I53" s="653">
        <v>0</v>
      </c>
      <c r="J53" s="653">
        <v>3804900</v>
      </c>
      <c r="K53" s="653"/>
      <c r="L53" s="653">
        <v>0</v>
      </c>
      <c r="M53" s="653"/>
      <c r="N53" s="653"/>
      <c r="O53" s="653">
        <v>0</v>
      </c>
      <c r="P53" s="653">
        <v>0</v>
      </c>
      <c r="Q53" s="653">
        <v>0</v>
      </c>
      <c r="R53" s="653"/>
      <c r="S53" s="653"/>
      <c r="T53" s="653">
        <v>0</v>
      </c>
      <c r="U53" s="653">
        <v>0</v>
      </c>
      <c r="V53" s="653">
        <v>0</v>
      </c>
      <c r="W53" s="653">
        <v>0</v>
      </c>
      <c r="X53" s="667">
        <v>0</v>
      </c>
      <c r="Y53" s="653">
        <v>0</v>
      </c>
      <c r="Z53" s="654">
        <f t="shared" si="0"/>
        <v>3804900</v>
      </c>
    </row>
    <row r="54" spans="3:26" ht="24">
      <c r="C54" s="625" t="s">
        <v>71</v>
      </c>
      <c r="D54" s="666" t="s">
        <v>553</v>
      </c>
      <c r="E54" s="657" t="s">
        <v>417</v>
      </c>
      <c r="F54" s="668"/>
      <c r="G54" s="669">
        <v>0</v>
      </c>
      <c r="H54" s="667">
        <v>0</v>
      </c>
      <c r="I54" s="667">
        <v>0</v>
      </c>
      <c r="J54" s="667">
        <v>0</v>
      </c>
      <c r="K54" s="667"/>
      <c r="L54" s="667">
        <v>0</v>
      </c>
      <c r="M54" s="667"/>
      <c r="N54" s="667"/>
      <c r="O54" s="667">
        <f>1000000-1000000</f>
        <v>0</v>
      </c>
      <c r="P54" s="667">
        <f>300000+153824</f>
        <v>453824</v>
      </c>
      <c r="Q54" s="667">
        <f>1000000-40723-500000+1553784+750000-668467-1467722-100000-130000-50000</f>
        <v>346872</v>
      </c>
      <c r="R54" s="667">
        <f>6865581-6762752-102829</f>
        <v>0</v>
      </c>
      <c r="S54" s="667">
        <f>30016102-50995-5512457-430000-379000-4649000-255887-18738763</f>
        <v>0</v>
      </c>
      <c r="T54" s="667">
        <f>3550000-680000-2870000</f>
        <v>0</v>
      </c>
      <c r="U54" s="667">
        <f>389000+4649000</f>
        <v>5038000</v>
      </c>
      <c r="V54" s="667">
        <v>0</v>
      </c>
      <c r="W54" s="667">
        <v>0</v>
      </c>
      <c r="X54" s="669">
        <v>0</v>
      </c>
      <c r="Y54" s="667">
        <v>0</v>
      </c>
      <c r="Z54" s="654">
        <f t="shared" si="0"/>
        <v>5838696</v>
      </c>
    </row>
    <row r="55" spans="3:26" ht="24" customHeight="1">
      <c r="C55" s="670" t="s">
        <v>611</v>
      </c>
      <c r="D55" s="666" t="s">
        <v>554</v>
      </c>
      <c r="E55" s="671" t="s">
        <v>390</v>
      </c>
      <c r="F55" s="668"/>
      <c r="G55" s="669">
        <v>2645200</v>
      </c>
      <c r="H55" s="667">
        <v>713024</v>
      </c>
      <c r="I55" s="667">
        <f>781050+1479371+1143687+20948</f>
        <v>3425056</v>
      </c>
      <c r="J55" s="667">
        <v>0</v>
      </c>
      <c r="K55" s="667"/>
      <c r="L55" s="667">
        <v>0</v>
      </c>
      <c r="M55" s="667"/>
      <c r="N55" s="667"/>
      <c r="O55" s="667">
        <v>0</v>
      </c>
      <c r="P55" s="669">
        <v>0</v>
      </c>
      <c r="Q55" s="669">
        <v>0</v>
      </c>
      <c r="R55" s="669"/>
      <c r="S55" s="669"/>
      <c r="T55" s="669">
        <v>0</v>
      </c>
      <c r="U55" s="669">
        <v>0</v>
      </c>
      <c r="V55" s="667">
        <v>0</v>
      </c>
      <c r="W55" s="667">
        <v>0</v>
      </c>
      <c r="X55" s="667">
        <v>0</v>
      </c>
      <c r="Y55" s="667">
        <v>0</v>
      </c>
      <c r="Z55" s="654">
        <f t="shared" si="0"/>
        <v>6783280</v>
      </c>
    </row>
    <row r="56" spans="3:26" ht="24">
      <c r="C56" s="670"/>
      <c r="D56" s="666" t="s">
        <v>555</v>
      </c>
      <c r="E56" s="671" t="s">
        <v>691</v>
      </c>
      <c r="F56" s="668"/>
      <c r="G56" s="669">
        <v>0</v>
      </c>
      <c r="H56" s="669">
        <v>0</v>
      </c>
      <c r="I56" s="669">
        <v>7848600</v>
      </c>
      <c r="J56" s="669">
        <v>0</v>
      </c>
      <c r="K56" s="669"/>
      <c r="L56" s="669">
        <v>0</v>
      </c>
      <c r="M56" s="669"/>
      <c r="N56" s="669"/>
      <c r="O56" s="669">
        <v>0</v>
      </c>
      <c r="P56" s="669">
        <v>0</v>
      </c>
      <c r="Q56" s="669">
        <v>0</v>
      </c>
      <c r="R56" s="669"/>
      <c r="S56" s="669"/>
      <c r="T56" s="669">
        <v>0</v>
      </c>
      <c r="U56" s="669">
        <v>0</v>
      </c>
      <c r="V56" s="669">
        <v>0</v>
      </c>
      <c r="W56" s="669">
        <v>0</v>
      </c>
      <c r="X56" s="669">
        <v>0</v>
      </c>
      <c r="Y56" s="731">
        <v>0</v>
      </c>
      <c r="Z56" s="654">
        <f t="shared" si="0"/>
        <v>7848600</v>
      </c>
    </row>
    <row r="57" spans="1:29" s="672" customFormat="1" ht="24" customHeight="1" thickBot="1">
      <c r="A57" s="672">
        <v>999997</v>
      </c>
      <c r="B57" s="670"/>
      <c r="D57" s="673" t="s">
        <v>847</v>
      </c>
      <c r="E57" s="674" t="s">
        <v>401</v>
      </c>
      <c r="F57" s="675">
        <f>SUM(F8:F53)</f>
        <v>0</v>
      </c>
      <c r="G57" s="676">
        <f aca="true" t="shared" si="1" ref="G57:Z57">SUM(G8:G56)</f>
        <v>218822959</v>
      </c>
      <c r="H57" s="676">
        <f t="shared" si="1"/>
        <v>36862013</v>
      </c>
      <c r="I57" s="676">
        <f t="shared" si="1"/>
        <v>260195191</v>
      </c>
      <c r="J57" s="676">
        <f t="shared" si="1"/>
        <v>3804900</v>
      </c>
      <c r="K57" s="676">
        <f t="shared" si="1"/>
        <v>60765809</v>
      </c>
      <c r="L57" s="676">
        <f t="shared" si="1"/>
        <v>259789999</v>
      </c>
      <c r="M57" s="676">
        <f t="shared" si="1"/>
        <v>9314000</v>
      </c>
      <c r="N57" s="676">
        <f t="shared" si="1"/>
        <v>40723</v>
      </c>
      <c r="O57" s="676">
        <f t="shared" si="1"/>
        <v>0</v>
      </c>
      <c r="P57" s="676">
        <f t="shared" si="1"/>
        <v>453824</v>
      </c>
      <c r="Q57" s="676">
        <f t="shared" si="1"/>
        <v>346872</v>
      </c>
      <c r="R57" s="676">
        <f t="shared" si="1"/>
        <v>0</v>
      </c>
      <c r="S57" s="676">
        <f t="shared" si="1"/>
        <v>0</v>
      </c>
      <c r="T57" s="676">
        <f t="shared" si="1"/>
        <v>0</v>
      </c>
      <c r="U57" s="676">
        <f t="shared" si="1"/>
        <v>5038000</v>
      </c>
      <c r="V57" s="676">
        <f t="shared" si="1"/>
        <v>329480523</v>
      </c>
      <c r="W57" s="676">
        <f t="shared" si="1"/>
        <v>46420960</v>
      </c>
      <c r="X57" s="676">
        <f t="shared" si="1"/>
        <v>46542179</v>
      </c>
      <c r="Y57" s="740">
        <f t="shared" si="1"/>
        <v>17567323</v>
      </c>
      <c r="Z57" s="741">
        <f t="shared" si="1"/>
        <v>1295445275</v>
      </c>
      <c r="AA57" s="677">
        <f>SUM(G57:Y57)</f>
        <v>1295445275</v>
      </c>
      <c r="AB57" s="678"/>
      <c r="AC57" s="678"/>
    </row>
    <row r="58" ht="12.75">
      <c r="E58" s="679"/>
    </row>
    <row r="62" ht="12">
      <c r="F62" s="681"/>
    </row>
  </sheetData>
  <sheetProtection/>
  <mergeCells count="12">
    <mergeCell ref="G4:Y4"/>
    <mergeCell ref="Z4:Z6"/>
    <mergeCell ref="D29:D32"/>
    <mergeCell ref="D47:D52"/>
    <mergeCell ref="L5:U5"/>
    <mergeCell ref="D37:D40"/>
    <mergeCell ref="C1:C2"/>
    <mergeCell ref="U1:Z1"/>
    <mergeCell ref="E2:Z2"/>
    <mergeCell ref="D4:D7"/>
    <mergeCell ref="E4:E6"/>
    <mergeCell ref="F4:F6"/>
  </mergeCells>
  <printOptions horizontalCentered="1"/>
  <pageMargins left="0" right="0" top="0.7874015748031497" bottom="0.7874015748031497" header="0.11811023622047245" footer="0.196850393700787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2"/>
  <sheetViews>
    <sheetView workbookViewId="0" topLeftCell="A1">
      <pane xSplit="5" ySplit="13" topLeftCell="F49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G1" sqref="G1:M1"/>
    </sheetView>
  </sheetViews>
  <sheetFormatPr defaultColWidth="9.00390625" defaultRowHeight="12.75"/>
  <cols>
    <col min="1" max="1" width="7.75390625" style="207" customWidth="1"/>
    <col min="2" max="2" width="31.75390625" style="207" customWidth="1"/>
    <col min="3" max="3" width="14.375" style="207" customWidth="1"/>
    <col min="4" max="4" width="16.25390625" style="207" bestFit="1" customWidth="1"/>
    <col min="5" max="5" width="13.75390625" style="207" bestFit="1" customWidth="1"/>
    <col min="6" max="6" width="16.25390625" style="207" bestFit="1" customWidth="1"/>
    <col min="7" max="8" width="12.875" style="207" customWidth="1"/>
    <col min="9" max="9" width="14.375" style="207" bestFit="1" customWidth="1"/>
    <col min="10" max="11" width="12.875" style="207" customWidth="1"/>
    <col min="12" max="12" width="15.00390625" style="207" customWidth="1"/>
    <col min="13" max="13" width="17.00390625" style="207" bestFit="1" customWidth="1"/>
    <col min="14" max="15" width="9.125" style="207" customWidth="1"/>
    <col min="16" max="16" width="12.875" style="207" bestFit="1" customWidth="1"/>
    <col min="17" max="16384" width="9.125" style="207" customWidth="1"/>
  </cols>
  <sheetData>
    <row r="1" spans="1:21" ht="12.75">
      <c r="A1" s="274"/>
      <c r="B1" s="275"/>
      <c r="C1" s="276"/>
      <c r="D1" s="276"/>
      <c r="E1" s="276"/>
      <c r="F1" s="276"/>
      <c r="G1" s="931" t="s">
        <v>1079</v>
      </c>
      <c r="H1" s="931"/>
      <c r="I1" s="932"/>
      <c r="J1" s="932"/>
      <c r="K1" s="932"/>
      <c r="L1" s="932"/>
      <c r="M1" s="932"/>
      <c r="N1" s="275"/>
      <c r="O1" s="275"/>
      <c r="P1" s="275"/>
      <c r="Q1" s="275"/>
      <c r="R1" s="277"/>
      <c r="S1" s="277"/>
      <c r="T1" s="277"/>
      <c r="U1" s="275"/>
    </row>
    <row r="2" spans="1:21" ht="12.75">
      <c r="A2" s="274"/>
      <c r="B2" s="275"/>
      <c r="C2" s="276"/>
      <c r="D2" s="276"/>
      <c r="E2" s="276"/>
      <c r="F2" s="276"/>
      <c r="G2" s="278"/>
      <c r="H2" s="278"/>
      <c r="I2" s="279"/>
      <c r="J2" s="279"/>
      <c r="K2" s="279"/>
      <c r="L2" s="279"/>
      <c r="M2" s="279"/>
      <c r="N2" s="275"/>
      <c r="O2" s="275"/>
      <c r="P2" s="275"/>
      <c r="Q2" s="275"/>
      <c r="R2" s="277"/>
      <c r="S2" s="277"/>
      <c r="T2" s="277"/>
      <c r="U2" s="275"/>
    </row>
    <row r="3" spans="1:27" ht="15.75" customHeight="1">
      <c r="A3" s="936" t="s">
        <v>821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</row>
    <row r="4" spans="1:27" ht="13.5" thickBot="1">
      <c r="A4" s="936"/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</row>
    <row r="5" spans="1:27" ht="16.5" thickBot="1">
      <c r="A5" s="958" t="s">
        <v>484</v>
      </c>
      <c r="B5" s="955" t="s">
        <v>397</v>
      </c>
      <c r="C5" s="961" t="s">
        <v>541</v>
      </c>
      <c r="D5" s="961"/>
      <c r="E5" s="961"/>
      <c r="F5" s="961"/>
      <c r="G5" s="961"/>
      <c r="H5" s="961"/>
      <c r="I5" s="961"/>
      <c r="J5" s="961"/>
      <c r="K5" s="961"/>
      <c r="L5" s="961"/>
      <c r="M5" s="962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82"/>
    </row>
    <row r="6" spans="1:13" ht="12.75" customHeight="1">
      <c r="A6" s="959"/>
      <c r="B6" s="956"/>
      <c r="C6" s="937" t="s">
        <v>542</v>
      </c>
      <c r="D6" s="940" t="s">
        <v>543</v>
      </c>
      <c r="E6" s="941"/>
      <c r="F6" s="942"/>
      <c r="G6" s="940" t="s">
        <v>544</v>
      </c>
      <c r="H6" s="941"/>
      <c r="I6" s="942"/>
      <c r="J6" s="940" t="s">
        <v>545</v>
      </c>
      <c r="K6" s="941"/>
      <c r="L6" s="942"/>
      <c r="M6" s="933" t="s">
        <v>406</v>
      </c>
    </row>
    <row r="7" spans="1:13" ht="12.75" customHeight="1">
      <c r="A7" s="959"/>
      <c r="B7" s="956"/>
      <c r="C7" s="938"/>
      <c r="D7" s="943"/>
      <c r="E7" s="944"/>
      <c r="F7" s="945"/>
      <c r="G7" s="943"/>
      <c r="H7" s="944"/>
      <c r="I7" s="945"/>
      <c r="J7" s="943"/>
      <c r="K7" s="944"/>
      <c r="L7" s="945"/>
      <c r="M7" s="934"/>
    </row>
    <row r="8" spans="1:13" ht="24" customHeight="1" thickBot="1">
      <c r="A8" s="960"/>
      <c r="B8" s="957"/>
      <c r="C8" s="939"/>
      <c r="D8" s="283" t="s">
        <v>101</v>
      </c>
      <c r="E8" s="284" t="s">
        <v>102</v>
      </c>
      <c r="F8" s="285" t="s">
        <v>103</v>
      </c>
      <c r="G8" s="286" t="s">
        <v>101</v>
      </c>
      <c r="H8" s="284" t="s">
        <v>102</v>
      </c>
      <c r="I8" s="285" t="s">
        <v>103</v>
      </c>
      <c r="J8" s="286" t="s">
        <v>101</v>
      </c>
      <c r="K8" s="284" t="s">
        <v>102</v>
      </c>
      <c r="L8" s="285" t="s">
        <v>103</v>
      </c>
      <c r="M8" s="935"/>
    </row>
    <row r="9" spans="1:13" ht="29.25" customHeight="1">
      <c r="A9" s="287" t="s">
        <v>436</v>
      </c>
      <c r="B9" s="288" t="s">
        <v>67</v>
      </c>
      <c r="C9" s="289" t="s">
        <v>845</v>
      </c>
      <c r="D9" s="290">
        <f>63491442-304800-8000000+35026110+9314000+3850000+500000+4000000-1500000+904841+430000+379000+3000000+1250944+275208+1094000+24300</f>
        <v>113735045</v>
      </c>
      <c r="E9" s="291">
        <f>83026110-35026110+3150000+500000+500000</f>
        <v>52150000</v>
      </c>
      <c r="F9" s="292">
        <f aca="true" t="shared" si="0" ref="F9:F57">SUM(D9:E9)</f>
        <v>165885045</v>
      </c>
      <c r="G9" s="293"/>
      <c r="H9" s="291"/>
      <c r="I9" s="292">
        <f aca="true" t="shared" si="1" ref="I9:I57">SUM(G9:H9)</f>
        <v>0</v>
      </c>
      <c r="J9" s="294"/>
      <c r="K9" s="295"/>
      <c r="L9" s="292">
        <f aca="true" t="shared" si="2" ref="L9:L48">SUM(J9:K9)</f>
        <v>0</v>
      </c>
      <c r="M9" s="296">
        <f aca="true" t="shared" si="3" ref="M9:M57">SUM(F9+I9+L9)</f>
        <v>165885045</v>
      </c>
    </row>
    <row r="10" spans="1:13" ht="21.75" customHeight="1">
      <c r="A10" s="297" t="s">
        <v>437</v>
      </c>
      <c r="B10" s="316" t="s">
        <v>742</v>
      </c>
      <c r="C10" s="298" t="s">
        <v>830</v>
      </c>
      <c r="D10" s="302">
        <v>100000</v>
      </c>
      <c r="E10" s="303"/>
      <c r="F10" s="292">
        <f t="shared" si="0"/>
        <v>100000</v>
      </c>
      <c r="G10" s="304"/>
      <c r="H10" s="303"/>
      <c r="I10" s="292">
        <f t="shared" si="1"/>
        <v>0</v>
      </c>
      <c r="J10" s="305"/>
      <c r="K10" s="306"/>
      <c r="L10" s="292">
        <f t="shared" si="2"/>
        <v>0</v>
      </c>
      <c r="M10" s="296">
        <f t="shared" si="3"/>
        <v>100000</v>
      </c>
    </row>
    <row r="11" spans="1:13" ht="29.25" customHeight="1">
      <c r="A11" s="297" t="s">
        <v>438</v>
      </c>
      <c r="B11" s="299" t="s">
        <v>62</v>
      </c>
      <c r="C11" s="298" t="s">
        <v>828</v>
      </c>
      <c r="D11" s="290">
        <f>78280594-317500-782000+782000+6762752</f>
        <v>84725846</v>
      </c>
      <c r="E11" s="291">
        <f>1000000+449520+2500000</f>
        <v>3949520</v>
      </c>
      <c r="F11" s="292">
        <f t="shared" si="0"/>
        <v>88675366</v>
      </c>
      <c r="G11" s="293"/>
      <c r="H11" s="291">
        <f>3700000+1159500-904841+9000000</f>
        <v>12954659</v>
      </c>
      <c r="I11" s="292">
        <f t="shared" si="1"/>
        <v>12954659</v>
      </c>
      <c r="J11" s="294"/>
      <c r="K11" s="295"/>
      <c r="L11" s="292">
        <f t="shared" si="2"/>
        <v>0</v>
      </c>
      <c r="M11" s="296">
        <f t="shared" si="3"/>
        <v>101630025</v>
      </c>
    </row>
    <row r="12" spans="1:13" ht="29.25" customHeight="1">
      <c r="A12" s="297" t="s">
        <v>439</v>
      </c>
      <c r="B12" s="299" t="s">
        <v>64</v>
      </c>
      <c r="C12" s="298" t="s">
        <v>828</v>
      </c>
      <c r="D12" s="290">
        <f>6302579+1686276-1094000+32740-32740</f>
        <v>6894855</v>
      </c>
      <c r="E12" s="291"/>
      <c r="F12" s="292">
        <f t="shared" si="0"/>
        <v>6894855</v>
      </c>
      <c r="G12" s="293"/>
      <c r="H12" s="291"/>
      <c r="I12" s="292">
        <f t="shared" si="1"/>
        <v>0</v>
      </c>
      <c r="J12" s="294"/>
      <c r="K12" s="295"/>
      <c r="L12" s="292">
        <f t="shared" si="2"/>
        <v>0</v>
      </c>
      <c r="M12" s="296">
        <f t="shared" si="3"/>
        <v>6894855</v>
      </c>
    </row>
    <row r="13" spans="1:13" ht="29.25" customHeight="1">
      <c r="A13" s="297" t="s">
        <v>440</v>
      </c>
      <c r="B13" s="299" t="s">
        <v>415</v>
      </c>
      <c r="C13" s="300"/>
      <c r="D13" s="290"/>
      <c r="E13" s="291"/>
      <c r="F13" s="292">
        <f t="shared" si="0"/>
        <v>0</v>
      </c>
      <c r="G13" s="293">
        <f>9441210-2000000+167805+1867580-1300000-567580</f>
        <v>7609015</v>
      </c>
      <c r="H13" s="291"/>
      <c r="I13" s="292">
        <f t="shared" si="1"/>
        <v>7609015</v>
      </c>
      <c r="J13" s="294"/>
      <c r="K13" s="295"/>
      <c r="L13" s="292">
        <f t="shared" si="2"/>
        <v>0</v>
      </c>
      <c r="M13" s="296">
        <f t="shared" si="3"/>
        <v>7609015</v>
      </c>
    </row>
    <row r="14" spans="1:13" ht="29.25" customHeight="1">
      <c r="A14" s="297" t="s">
        <v>441</v>
      </c>
      <c r="B14" s="299" t="s">
        <v>916</v>
      </c>
      <c r="C14" s="300"/>
      <c r="D14" s="290">
        <f>25603463+1419433+33742913</f>
        <v>60765809</v>
      </c>
      <c r="E14" s="291"/>
      <c r="F14" s="292">
        <f t="shared" si="0"/>
        <v>60765809</v>
      </c>
      <c r="G14" s="293"/>
      <c r="H14" s="291"/>
      <c r="I14" s="292">
        <f t="shared" si="1"/>
        <v>0</v>
      </c>
      <c r="J14" s="294"/>
      <c r="K14" s="295"/>
      <c r="L14" s="292">
        <f t="shared" si="2"/>
        <v>0</v>
      </c>
      <c r="M14" s="296">
        <f t="shared" si="3"/>
        <v>60765809</v>
      </c>
    </row>
    <row r="15" spans="1:13" ht="21.75" customHeight="1">
      <c r="A15" s="297" t="s">
        <v>442</v>
      </c>
      <c r="B15" s="316" t="s">
        <v>744</v>
      </c>
      <c r="C15" s="311"/>
      <c r="D15" s="302">
        <f>17567323+237516+48289</f>
        <v>17853128</v>
      </c>
      <c r="E15" s="303"/>
      <c r="F15" s="292">
        <f t="shared" si="0"/>
        <v>17853128</v>
      </c>
      <c r="G15" s="304"/>
      <c r="H15" s="303"/>
      <c r="I15" s="292">
        <f t="shared" si="1"/>
        <v>0</v>
      </c>
      <c r="J15" s="305"/>
      <c r="K15" s="306"/>
      <c r="L15" s="292">
        <f t="shared" si="2"/>
        <v>0</v>
      </c>
      <c r="M15" s="296">
        <f t="shared" si="3"/>
        <v>17853128</v>
      </c>
    </row>
    <row r="16" spans="1:13" ht="21.75" customHeight="1">
      <c r="A16" s="297" t="s">
        <v>443</v>
      </c>
      <c r="B16" s="316" t="s">
        <v>912</v>
      </c>
      <c r="C16" s="311"/>
      <c r="D16" s="290">
        <v>40723</v>
      </c>
      <c r="E16" s="291"/>
      <c r="F16" s="292">
        <f t="shared" si="0"/>
        <v>40723</v>
      </c>
      <c r="G16" s="293"/>
      <c r="H16" s="291"/>
      <c r="I16" s="292">
        <f t="shared" si="1"/>
        <v>0</v>
      </c>
      <c r="J16" s="294"/>
      <c r="K16" s="295"/>
      <c r="L16" s="292">
        <f t="shared" si="2"/>
        <v>0</v>
      </c>
      <c r="M16" s="296">
        <f t="shared" si="3"/>
        <v>40723</v>
      </c>
    </row>
    <row r="17" spans="1:13" ht="29.25" customHeight="1">
      <c r="A17" s="297" t="s">
        <v>444</v>
      </c>
      <c r="B17" s="299" t="s">
        <v>73</v>
      </c>
      <c r="C17" s="292" t="s">
        <v>829</v>
      </c>
      <c r="D17" s="290"/>
      <c r="E17" s="291"/>
      <c r="F17" s="292">
        <f t="shared" si="0"/>
        <v>0</v>
      </c>
      <c r="G17" s="293"/>
      <c r="H17" s="291"/>
      <c r="I17" s="292">
        <f t="shared" si="1"/>
        <v>0</v>
      </c>
      <c r="J17" s="294">
        <f>47384062+22851+13200+2904-88773</f>
        <v>47334244</v>
      </c>
      <c r="K17" s="295">
        <f>254000+88773</f>
        <v>342773</v>
      </c>
      <c r="L17" s="292">
        <f t="shared" si="2"/>
        <v>47677017</v>
      </c>
      <c r="M17" s="296">
        <f t="shared" si="3"/>
        <v>47677017</v>
      </c>
    </row>
    <row r="18" spans="1:13" ht="29.25" customHeight="1">
      <c r="A18" s="297" t="s">
        <v>445</v>
      </c>
      <c r="B18" s="299" t="s">
        <v>1060</v>
      </c>
      <c r="C18" s="298"/>
      <c r="D18" s="290"/>
      <c r="E18" s="291"/>
      <c r="F18" s="292">
        <f t="shared" si="0"/>
        <v>0</v>
      </c>
      <c r="G18" s="293"/>
      <c r="H18" s="291">
        <f>242560000+3832400+17861888</f>
        <v>264254288</v>
      </c>
      <c r="I18" s="292">
        <f t="shared" si="1"/>
        <v>264254288</v>
      </c>
      <c r="J18" s="294"/>
      <c r="K18" s="295"/>
      <c r="L18" s="292">
        <f t="shared" si="2"/>
        <v>0</v>
      </c>
      <c r="M18" s="296">
        <f t="shared" si="3"/>
        <v>264254288</v>
      </c>
    </row>
    <row r="19" spans="1:13" ht="29.25" customHeight="1">
      <c r="A19" s="297" t="s">
        <v>446</v>
      </c>
      <c r="B19" s="299" t="s">
        <v>924</v>
      </c>
      <c r="C19" s="298"/>
      <c r="D19" s="290">
        <f>30882431+3396993+6312014</f>
        <v>40591438</v>
      </c>
      <c r="E19" s="291">
        <v>1398066</v>
      </c>
      <c r="F19" s="292">
        <f t="shared" si="0"/>
        <v>41989504</v>
      </c>
      <c r="G19" s="293"/>
      <c r="H19" s="291"/>
      <c r="I19" s="292">
        <f t="shared" si="1"/>
        <v>0</v>
      </c>
      <c r="J19" s="294"/>
      <c r="K19" s="295"/>
      <c r="L19" s="292">
        <f t="shared" si="2"/>
        <v>0</v>
      </c>
      <c r="M19" s="296">
        <f t="shared" si="3"/>
        <v>41989504</v>
      </c>
    </row>
    <row r="20" spans="1:13" ht="29.25" customHeight="1">
      <c r="A20" s="297" t="s">
        <v>447</v>
      </c>
      <c r="B20" s="299" t="s">
        <v>923</v>
      </c>
      <c r="C20" s="298"/>
      <c r="D20" s="290">
        <f>89907417+9889529+8426434</f>
        <v>108223380</v>
      </c>
      <c r="E20" s="291">
        <v>1707563</v>
      </c>
      <c r="F20" s="292">
        <f t="shared" si="0"/>
        <v>109930943</v>
      </c>
      <c r="G20" s="293"/>
      <c r="H20" s="291"/>
      <c r="I20" s="292">
        <f t="shared" si="1"/>
        <v>0</v>
      </c>
      <c r="J20" s="294"/>
      <c r="K20" s="295"/>
      <c r="L20" s="292">
        <f t="shared" si="2"/>
        <v>0</v>
      </c>
      <c r="M20" s="296">
        <f t="shared" si="3"/>
        <v>109930943</v>
      </c>
    </row>
    <row r="21" spans="1:13" ht="21.75" customHeight="1">
      <c r="A21" s="297" t="s">
        <v>448</v>
      </c>
      <c r="B21" s="316" t="s">
        <v>745</v>
      </c>
      <c r="C21" s="298" t="s">
        <v>830</v>
      </c>
      <c r="D21" s="302"/>
      <c r="E21" s="303"/>
      <c r="F21" s="292">
        <f t="shared" si="0"/>
        <v>0</v>
      </c>
      <c r="G21" s="304"/>
      <c r="H21" s="303">
        <f>17462500+100000</f>
        <v>17562500</v>
      </c>
      <c r="I21" s="292">
        <f t="shared" si="1"/>
        <v>17562500</v>
      </c>
      <c r="J21" s="305"/>
      <c r="K21" s="306"/>
      <c r="L21" s="292">
        <f t="shared" si="2"/>
        <v>0</v>
      </c>
      <c r="M21" s="296">
        <f t="shared" si="3"/>
        <v>17562500</v>
      </c>
    </row>
    <row r="22" spans="1:13" ht="29.25" customHeight="1">
      <c r="A22" s="301" t="s">
        <v>449</v>
      </c>
      <c r="B22" s="299" t="s">
        <v>375</v>
      </c>
      <c r="C22" s="298" t="s">
        <v>830</v>
      </c>
      <c r="D22" s="290">
        <f>9850000-788000-2645132</f>
        <v>6416868</v>
      </c>
      <c r="E22" s="291">
        <f>525300+2645132</f>
        <v>3170432</v>
      </c>
      <c r="F22" s="292">
        <f t="shared" si="0"/>
        <v>9587300</v>
      </c>
      <c r="G22" s="293"/>
      <c r="H22" s="291"/>
      <c r="I22" s="292">
        <f t="shared" si="1"/>
        <v>0</v>
      </c>
      <c r="J22" s="294"/>
      <c r="K22" s="295"/>
      <c r="L22" s="292">
        <f t="shared" si="2"/>
        <v>0</v>
      </c>
      <c r="M22" s="296">
        <f t="shared" si="3"/>
        <v>9587300</v>
      </c>
    </row>
    <row r="23" spans="1:13" ht="29.25" customHeight="1">
      <c r="A23" s="297" t="s">
        <v>450</v>
      </c>
      <c r="B23" s="299" t="s">
        <v>75</v>
      </c>
      <c r="C23" s="298" t="s">
        <v>831</v>
      </c>
      <c r="D23" s="290">
        <f>1000000-1000000</f>
        <v>0</v>
      </c>
      <c r="E23" s="291">
        <f>3225085+6019000</f>
        <v>9244085</v>
      </c>
      <c r="F23" s="292">
        <f t="shared" si="0"/>
        <v>9244085</v>
      </c>
      <c r="G23" s="293"/>
      <c r="H23" s="291"/>
      <c r="I23" s="292">
        <f t="shared" si="1"/>
        <v>0</v>
      </c>
      <c r="J23" s="294"/>
      <c r="K23" s="295"/>
      <c r="L23" s="292">
        <f t="shared" si="2"/>
        <v>0</v>
      </c>
      <c r="M23" s="296">
        <f t="shared" si="3"/>
        <v>9244085</v>
      </c>
    </row>
    <row r="24" spans="1:13" ht="29.25" customHeight="1">
      <c r="A24" s="297" t="s">
        <v>451</v>
      </c>
      <c r="B24" s="299" t="s">
        <v>919</v>
      </c>
      <c r="C24" s="298"/>
      <c r="D24" s="290">
        <v>6949788</v>
      </c>
      <c r="E24" s="291"/>
      <c r="F24" s="292">
        <f t="shared" si="0"/>
        <v>6949788</v>
      </c>
      <c r="G24" s="293"/>
      <c r="H24" s="291"/>
      <c r="I24" s="292"/>
      <c r="J24" s="294"/>
      <c r="K24" s="295"/>
      <c r="L24" s="292"/>
      <c r="M24" s="296">
        <f t="shared" si="3"/>
        <v>6949788</v>
      </c>
    </row>
    <row r="25" spans="1:13" ht="30.75" customHeight="1">
      <c r="A25" s="297" t="s">
        <v>452</v>
      </c>
      <c r="B25" s="299" t="s">
        <v>56</v>
      </c>
      <c r="C25" s="298" t="s">
        <v>832</v>
      </c>
      <c r="D25" s="302">
        <v>3247243</v>
      </c>
      <c r="E25" s="303"/>
      <c r="F25" s="292">
        <f t="shared" si="0"/>
        <v>3247243</v>
      </c>
      <c r="G25" s="304"/>
      <c r="H25" s="303"/>
      <c r="I25" s="292">
        <f t="shared" si="1"/>
        <v>0</v>
      </c>
      <c r="J25" s="305"/>
      <c r="K25" s="306"/>
      <c r="L25" s="292">
        <f t="shared" si="2"/>
        <v>0</v>
      </c>
      <c r="M25" s="296">
        <f t="shared" si="3"/>
        <v>3247243</v>
      </c>
    </row>
    <row r="26" spans="1:13" ht="31.5" customHeight="1">
      <c r="A26" s="297" t="s">
        <v>453</v>
      </c>
      <c r="B26" s="299" t="s">
        <v>413</v>
      </c>
      <c r="C26" s="298" t="s">
        <v>833</v>
      </c>
      <c r="D26" s="302">
        <f>11455754+608965</f>
        <v>12064719</v>
      </c>
      <c r="E26" s="303"/>
      <c r="F26" s="292">
        <f t="shared" si="0"/>
        <v>12064719</v>
      </c>
      <c r="G26" s="304"/>
      <c r="H26" s="303"/>
      <c r="I26" s="292">
        <f t="shared" si="1"/>
        <v>0</v>
      </c>
      <c r="J26" s="305"/>
      <c r="K26" s="306"/>
      <c r="L26" s="292">
        <f t="shared" si="2"/>
        <v>0</v>
      </c>
      <c r="M26" s="296">
        <f t="shared" si="3"/>
        <v>12064719</v>
      </c>
    </row>
    <row r="27" spans="1:13" ht="21.75" customHeight="1">
      <c r="A27" s="297" t="s">
        <v>454</v>
      </c>
      <c r="B27" s="316" t="s">
        <v>416</v>
      </c>
      <c r="C27" s="311" t="s">
        <v>830</v>
      </c>
      <c r="D27" s="302">
        <v>23114000</v>
      </c>
      <c r="E27" s="303"/>
      <c r="F27" s="292">
        <f t="shared" si="0"/>
        <v>23114000</v>
      </c>
      <c r="G27" s="304"/>
      <c r="H27" s="303"/>
      <c r="I27" s="292">
        <f t="shared" si="1"/>
        <v>0</v>
      </c>
      <c r="J27" s="305"/>
      <c r="K27" s="306"/>
      <c r="L27" s="292">
        <f t="shared" si="2"/>
        <v>0</v>
      </c>
      <c r="M27" s="296">
        <f t="shared" si="3"/>
        <v>23114000</v>
      </c>
    </row>
    <row r="28" spans="1:13" ht="21.75" customHeight="1">
      <c r="A28" s="297" t="s">
        <v>455</v>
      </c>
      <c r="B28" s="316" t="s">
        <v>414</v>
      </c>
      <c r="C28" s="311" t="s">
        <v>830</v>
      </c>
      <c r="D28" s="302">
        <f>32796000-854000+854000</f>
        <v>32796000</v>
      </c>
      <c r="E28" s="303">
        <v>5000000</v>
      </c>
      <c r="F28" s="292">
        <f t="shared" si="0"/>
        <v>37796000</v>
      </c>
      <c r="G28" s="304"/>
      <c r="H28" s="303"/>
      <c r="I28" s="292">
        <f t="shared" si="1"/>
        <v>0</v>
      </c>
      <c r="J28" s="305"/>
      <c r="K28" s="306"/>
      <c r="L28" s="292">
        <f t="shared" si="2"/>
        <v>0</v>
      </c>
      <c r="M28" s="296">
        <f t="shared" si="3"/>
        <v>37796000</v>
      </c>
    </row>
    <row r="29" spans="1:13" ht="22.5" customHeight="1">
      <c r="A29" s="297" t="s">
        <v>456</v>
      </c>
      <c r="B29" s="316" t="s">
        <v>98</v>
      </c>
      <c r="C29" s="311" t="s">
        <v>834</v>
      </c>
      <c r="D29" s="302">
        <f>29832700-1200000-2592152-209790-1200000-500000+454465+42000</f>
        <v>24627223</v>
      </c>
      <c r="E29" s="303">
        <f>10400-10400</f>
        <v>0</v>
      </c>
      <c r="F29" s="292">
        <f t="shared" si="0"/>
        <v>24627223</v>
      </c>
      <c r="G29" s="304">
        <f>1200000+2592152-550000-148500+750095</f>
        <v>3843747</v>
      </c>
      <c r="H29" s="303"/>
      <c r="I29" s="292">
        <f t="shared" si="1"/>
        <v>3843747</v>
      </c>
      <c r="J29" s="305"/>
      <c r="K29" s="306"/>
      <c r="L29" s="292">
        <f t="shared" si="2"/>
        <v>0</v>
      </c>
      <c r="M29" s="296">
        <f t="shared" si="3"/>
        <v>28470970</v>
      </c>
    </row>
    <row r="30" spans="1:13" ht="23.25" customHeight="1">
      <c r="A30" s="297" t="s">
        <v>457</v>
      </c>
      <c r="B30" s="316" t="s">
        <v>418</v>
      </c>
      <c r="C30" s="311" t="s">
        <v>835</v>
      </c>
      <c r="D30" s="302">
        <v>360000</v>
      </c>
      <c r="E30" s="303"/>
      <c r="F30" s="292">
        <f t="shared" si="0"/>
        <v>360000</v>
      </c>
      <c r="G30" s="304"/>
      <c r="H30" s="303"/>
      <c r="I30" s="292">
        <f t="shared" si="1"/>
        <v>0</v>
      </c>
      <c r="J30" s="305"/>
      <c r="K30" s="306"/>
      <c r="L30" s="292">
        <f t="shared" si="2"/>
        <v>0</v>
      </c>
      <c r="M30" s="296">
        <f t="shared" si="3"/>
        <v>360000</v>
      </c>
    </row>
    <row r="31" spans="1:13" ht="22.5" customHeight="1">
      <c r="A31" s="297" t="s">
        <v>546</v>
      </c>
      <c r="B31" s="316" t="s">
        <v>419</v>
      </c>
      <c r="C31" s="311" t="s">
        <v>835</v>
      </c>
      <c r="D31" s="302">
        <f>32381648+178181-146050-32131+624000-511475-112525+788800+255887+169300+37246</f>
        <v>33632881</v>
      </c>
      <c r="E31" s="303">
        <v>25400</v>
      </c>
      <c r="F31" s="292">
        <f t="shared" si="0"/>
        <v>33658281</v>
      </c>
      <c r="G31" s="304"/>
      <c r="H31" s="303"/>
      <c r="I31" s="292">
        <f t="shared" si="1"/>
        <v>0</v>
      </c>
      <c r="J31" s="305"/>
      <c r="K31" s="306"/>
      <c r="L31" s="292">
        <f t="shared" si="2"/>
        <v>0</v>
      </c>
      <c r="M31" s="296">
        <f t="shared" si="3"/>
        <v>33658281</v>
      </c>
    </row>
    <row r="32" spans="1:13" ht="22.5" customHeight="1">
      <c r="A32" s="297" t="s">
        <v>547</v>
      </c>
      <c r="B32" s="316" t="s">
        <v>420</v>
      </c>
      <c r="C32" s="311" t="s">
        <v>835</v>
      </c>
      <c r="D32" s="302">
        <v>120000</v>
      </c>
      <c r="E32" s="303"/>
      <c r="F32" s="292">
        <f t="shared" si="0"/>
        <v>120000</v>
      </c>
      <c r="G32" s="304"/>
      <c r="H32" s="303"/>
      <c r="I32" s="292">
        <f t="shared" si="1"/>
        <v>0</v>
      </c>
      <c r="J32" s="305"/>
      <c r="K32" s="306"/>
      <c r="L32" s="292">
        <f t="shared" si="2"/>
        <v>0</v>
      </c>
      <c r="M32" s="296">
        <f t="shared" si="3"/>
        <v>120000</v>
      </c>
    </row>
    <row r="33" spans="1:13" ht="29.25" customHeight="1">
      <c r="A33" s="297" t="s">
        <v>548</v>
      </c>
      <c r="B33" s="299" t="s">
        <v>849</v>
      </c>
      <c r="C33" s="298" t="s">
        <v>835</v>
      </c>
      <c r="D33" s="302">
        <f>20457479+17100+110000+24200+135246+29754</f>
        <v>20773779</v>
      </c>
      <c r="E33" s="303">
        <f>4445000-2059095</f>
        <v>2385905</v>
      </c>
      <c r="F33" s="292">
        <f t="shared" si="0"/>
        <v>23159684</v>
      </c>
      <c r="G33" s="304"/>
      <c r="H33" s="303"/>
      <c r="I33" s="292">
        <f t="shared" si="1"/>
        <v>0</v>
      </c>
      <c r="J33" s="305"/>
      <c r="K33" s="306"/>
      <c r="L33" s="292">
        <f t="shared" si="2"/>
        <v>0</v>
      </c>
      <c r="M33" s="296">
        <f t="shared" si="3"/>
        <v>23159684</v>
      </c>
    </row>
    <row r="34" spans="1:13" ht="29.25" customHeight="1">
      <c r="A34" s="297" t="s">
        <v>514</v>
      </c>
      <c r="B34" s="308" t="s">
        <v>97</v>
      </c>
      <c r="C34" s="292" t="s">
        <v>836</v>
      </c>
      <c r="D34" s="302">
        <f>37833000-8393000-1607000</f>
        <v>27833000</v>
      </c>
      <c r="E34" s="303"/>
      <c r="F34" s="292">
        <f t="shared" si="0"/>
        <v>27833000</v>
      </c>
      <c r="G34" s="307"/>
      <c r="H34" s="303">
        <v>11201400</v>
      </c>
      <c r="I34" s="292">
        <f t="shared" si="1"/>
        <v>11201400</v>
      </c>
      <c r="J34" s="305"/>
      <c r="K34" s="306"/>
      <c r="L34" s="292">
        <f t="shared" si="2"/>
        <v>0</v>
      </c>
      <c r="M34" s="296">
        <f t="shared" si="3"/>
        <v>39034400</v>
      </c>
    </row>
    <row r="35" spans="1:13" ht="30.75" customHeight="1">
      <c r="A35" s="297" t="s">
        <v>549</v>
      </c>
      <c r="B35" s="324" t="s">
        <v>693</v>
      </c>
      <c r="C35" s="292"/>
      <c r="D35" s="302"/>
      <c r="E35" s="303"/>
      <c r="F35" s="292">
        <f t="shared" si="0"/>
        <v>0</v>
      </c>
      <c r="G35" s="310">
        <v>1877109</v>
      </c>
      <c r="H35" s="303">
        <f>4087500+19779919</f>
        <v>23867419</v>
      </c>
      <c r="I35" s="292">
        <f t="shared" si="1"/>
        <v>25744528</v>
      </c>
      <c r="J35" s="305"/>
      <c r="K35" s="306"/>
      <c r="L35" s="292">
        <f t="shared" si="2"/>
        <v>0</v>
      </c>
      <c r="M35" s="296">
        <f t="shared" si="3"/>
        <v>25744528</v>
      </c>
    </row>
    <row r="36" spans="1:13" ht="32.25" customHeight="1">
      <c r="A36" s="297" t="s">
        <v>458</v>
      </c>
      <c r="B36" s="308" t="s">
        <v>616</v>
      </c>
      <c r="C36" s="298" t="s">
        <v>837</v>
      </c>
      <c r="D36" s="302">
        <v>1100000</v>
      </c>
      <c r="E36" s="303"/>
      <c r="F36" s="292">
        <f t="shared" si="0"/>
        <v>1100000</v>
      </c>
      <c r="G36" s="304"/>
      <c r="H36" s="303"/>
      <c r="I36" s="292">
        <f t="shared" si="1"/>
        <v>0</v>
      </c>
      <c r="J36" s="305"/>
      <c r="K36" s="306"/>
      <c r="L36" s="292">
        <f t="shared" si="2"/>
        <v>0</v>
      </c>
      <c r="M36" s="296">
        <f t="shared" si="3"/>
        <v>1100000</v>
      </c>
    </row>
    <row r="37" spans="1:13" ht="22.5" customHeight="1">
      <c r="A37" s="297" t="s">
        <v>459</v>
      </c>
      <c r="B37" s="316" t="s">
        <v>421</v>
      </c>
      <c r="C37" s="311" t="s">
        <v>837</v>
      </c>
      <c r="D37" s="302">
        <f>3374212-50329</f>
        <v>3323883</v>
      </c>
      <c r="E37" s="303"/>
      <c r="F37" s="292">
        <f t="shared" si="0"/>
        <v>3323883</v>
      </c>
      <c r="G37" s="304"/>
      <c r="H37" s="303">
        <v>788000</v>
      </c>
      <c r="I37" s="292">
        <f t="shared" si="1"/>
        <v>788000</v>
      </c>
      <c r="J37" s="305"/>
      <c r="K37" s="306"/>
      <c r="L37" s="292">
        <f t="shared" si="2"/>
        <v>0</v>
      </c>
      <c r="M37" s="296">
        <f t="shared" si="3"/>
        <v>4111883</v>
      </c>
    </row>
    <row r="38" spans="1:13" ht="21.75" customHeight="1">
      <c r="A38" s="297" t="s">
        <v>460</v>
      </c>
      <c r="B38" s="316" t="s">
        <v>100</v>
      </c>
      <c r="C38" s="311" t="s">
        <v>838</v>
      </c>
      <c r="D38" s="302"/>
      <c r="E38" s="303"/>
      <c r="F38" s="292">
        <f t="shared" si="0"/>
        <v>0</v>
      </c>
      <c r="G38" s="304">
        <v>49530</v>
      </c>
      <c r="H38" s="303"/>
      <c r="I38" s="292">
        <f t="shared" si="1"/>
        <v>49530</v>
      </c>
      <c r="J38" s="305"/>
      <c r="K38" s="306"/>
      <c r="L38" s="292">
        <f t="shared" si="2"/>
        <v>0</v>
      </c>
      <c r="M38" s="296">
        <f t="shared" si="3"/>
        <v>49530</v>
      </c>
    </row>
    <row r="39" spans="1:13" ht="27.75" customHeight="1">
      <c r="A39" s="297" t="s">
        <v>550</v>
      </c>
      <c r="B39" s="316" t="s">
        <v>988</v>
      </c>
      <c r="C39" s="794"/>
      <c r="D39" s="302"/>
      <c r="E39" s="303"/>
      <c r="F39" s="292">
        <f t="shared" si="0"/>
        <v>0</v>
      </c>
      <c r="G39" s="304">
        <v>978201</v>
      </c>
      <c r="H39" s="303"/>
      <c r="I39" s="292">
        <f t="shared" si="1"/>
        <v>978201</v>
      </c>
      <c r="J39" s="305"/>
      <c r="K39" s="306"/>
      <c r="L39" s="292">
        <f t="shared" si="2"/>
        <v>0</v>
      </c>
      <c r="M39" s="296">
        <f t="shared" si="3"/>
        <v>978201</v>
      </c>
    </row>
    <row r="40" spans="1:13" ht="33.75" customHeight="1">
      <c r="A40" s="297" t="s">
        <v>461</v>
      </c>
      <c r="B40" s="299" t="s">
        <v>95</v>
      </c>
      <c r="C40" s="315" t="s">
        <v>839</v>
      </c>
      <c r="D40" s="312">
        <f>13435298-262038-1500000</f>
        <v>11673260</v>
      </c>
      <c r="E40" s="313">
        <v>50000</v>
      </c>
      <c r="F40" s="292">
        <f t="shared" si="0"/>
        <v>11723260</v>
      </c>
      <c r="G40" s="314"/>
      <c r="H40" s="313"/>
      <c r="I40" s="292">
        <f t="shared" si="1"/>
        <v>0</v>
      </c>
      <c r="J40" s="305"/>
      <c r="K40" s="306"/>
      <c r="L40" s="292">
        <f t="shared" si="2"/>
        <v>0</v>
      </c>
      <c r="M40" s="296">
        <f t="shared" si="3"/>
        <v>11723260</v>
      </c>
    </row>
    <row r="41" spans="1:13" ht="23.25" customHeight="1">
      <c r="A41" s="297" t="s">
        <v>487</v>
      </c>
      <c r="B41" s="299" t="s">
        <v>688</v>
      </c>
      <c r="C41" s="315"/>
      <c r="D41" s="312"/>
      <c r="E41" s="313"/>
      <c r="F41" s="292">
        <f t="shared" si="0"/>
        <v>0</v>
      </c>
      <c r="G41" s="314">
        <f>6711326-267633</f>
        <v>6443693</v>
      </c>
      <c r="H41" s="313"/>
      <c r="I41" s="292">
        <f t="shared" si="1"/>
        <v>6443693</v>
      </c>
      <c r="J41" s="305"/>
      <c r="K41" s="306"/>
      <c r="L41" s="292">
        <f t="shared" si="2"/>
        <v>0</v>
      </c>
      <c r="M41" s="296">
        <f t="shared" si="3"/>
        <v>6443693</v>
      </c>
    </row>
    <row r="42" spans="1:13" ht="24" customHeight="1">
      <c r="A42" s="301" t="s">
        <v>551</v>
      </c>
      <c r="B42" s="299" t="s">
        <v>822</v>
      </c>
      <c r="C42" s="309" t="s">
        <v>846</v>
      </c>
      <c r="D42" s="312"/>
      <c r="E42" s="313">
        <v>12391652</v>
      </c>
      <c r="F42" s="292">
        <f t="shared" si="0"/>
        <v>12391652</v>
      </c>
      <c r="G42" s="314"/>
      <c r="H42" s="313"/>
      <c r="I42" s="292">
        <f t="shared" si="1"/>
        <v>0</v>
      </c>
      <c r="J42" s="305"/>
      <c r="K42" s="306"/>
      <c r="L42" s="292">
        <f t="shared" si="2"/>
        <v>0</v>
      </c>
      <c r="M42" s="296">
        <f t="shared" si="3"/>
        <v>12391652</v>
      </c>
    </row>
    <row r="43" spans="1:13" ht="27.75" customHeight="1">
      <c r="A43" s="297" t="s">
        <v>552</v>
      </c>
      <c r="B43" s="299" t="s">
        <v>986</v>
      </c>
      <c r="C43" s="346" t="s">
        <v>861</v>
      </c>
      <c r="D43" s="312"/>
      <c r="E43" s="313"/>
      <c r="F43" s="292">
        <f t="shared" si="0"/>
        <v>0</v>
      </c>
      <c r="G43" s="314">
        <v>24000</v>
      </c>
      <c r="H43" s="313"/>
      <c r="I43" s="292">
        <f t="shared" si="1"/>
        <v>24000</v>
      </c>
      <c r="J43" s="305"/>
      <c r="K43" s="306"/>
      <c r="L43" s="292">
        <f t="shared" si="2"/>
        <v>0</v>
      </c>
      <c r="M43" s="296">
        <f t="shared" si="3"/>
        <v>24000</v>
      </c>
    </row>
    <row r="44" spans="1:13" ht="24" customHeight="1">
      <c r="A44" s="297" t="s">
        <v>553</v>
      </c>
      <c r="B44" s="299" t="s">
        <v>757</v>
      </c>
      <c r="C44" s="309" t="s">
        <v>857</v>
      </c>
      <c r="D44" s="312">
        <v>59502898</v>
      </c>
      <c r="E44" s="313"/>
      <c r="F44" s="292">
        <f t="shared" si="0"/>
        <v>59502898</v>
      </c>
      <c r="G44" s="314"/>
      <c r="H44" s="313"/>
      <c r="I44" s="292">
        <f t="shared" si="1"/>
        <v>0</v>
      </c>
      <c r="J44" s="305"/>
      <c r="K44" s="306"/>
      <c r="L44" s="292">
        <f t="shared" si="2"/>
        <v>0</v>
      </c>
      <c r="M44" s="296">
        <f t="shared" si="3"/>
        <v>59502898</v>
      </c>
    </row>
    <row r="45" spans="1:13" ht="24" customHeight="1">
      <c r="A45" s="297" t="s">
        <v>554</v>
      </c>
      <c r="B45" s="299" t="s">
        <v>759</v>
      </c>
      <c r="C45" s="309" t="s">
        <v>863</v>
      </c>
      <c r="D45" s="312">
        <v>2254350</v>
      </c>
      <c r="E45" s="313"/>
      <c r="F45" s="292">
        <f t="shared" si="0"/>
        <v>2254350</v>
      </c>
      <c r="G45" s="314"/>
      <c r="H45" s="313"/>
      <c r="I45" s="292">
        <f t="shared" si="1"/>
        <v>0</v>
      </c>
      <c r="J45" s="305"/>
      <c r="K45" s="306"/>
      <c r="L45" s="292">
        <f t="shared" si="2"/>
        <v>0</v>
      </c>
      <c r="M45" s="296">
        <f t="shared" si="3"/>
        <v>2254350</v>
      </c>
    </row>
    <row r="46" spans="1:13" ht="27" customHeight="1">
      <c r="A46" s="297" t="s">
        <v>555</v>
      </c>
      <c r="B46" s="299" t="s">
        <v>989</v>
      </c>
      <c r="C46" s="795"/>
      <c r="D46" s="312"/>
      <c r="E46" s="313"/>
      <c r="F46" s="292">
        <f t="shared" si="0"/>
        <v>0</v>
      </c>
      <c r="G46" s="314">
        <f>7051200+1898910+7185532</f>
        <v>16135642</v>
      </c>
      <c r="H46" s="313"/>
      <c r="I46" s="292">
        <f t="shared" si="1"/>
        <v>16135642</v>
      </c>
      <c r="J46" s="305"/>
      <c r="K46" s="306"/>
      <c r="L46" s="292">
        <f t="shared" si="2"/>
        <v>0</v>
      </c>
      <c r="M46" s="296">
        <f t="shared" si="3"/>
        <v>16135642</v>
      </c>
    </row>
    <row r="47" spans="1:13" ht="24">
      <c r="A47" s="297" t="s">
        <v>847</v>
      </c>
      <c r="B47" s="299" t="s">
        <v>690</v>
      </c>
      <c r="C47" s="298" t="s">
        <v>864</v>
      </c>
      <c r="D47" s="312"/>
      <c r="E47" s="313"/>
      <c r="F47" s="292">
        <f t="shared" si="0"/>
        <v>0</v>
      </c>
      <c r="G47" s="314">
        <f>98679-65649+100000</f>
        <v>133030</v>
      </c>
      <c r="H47" s="313"/>
      <c r="I47" s="292">
        <f t="shared" si="1"/>
        <v>133030</v>
      </c>
      <c r="J47" s="305"/>
      <c r="K47" s="306"/>
      <c r="L47" s="292">
        <f t="shared" si="2"/>
        <v>0</v>
      </c>
      <c r="M47" s="296">
        <f t="shared" si="3"/>
        <v>133030</v>
      </c>
    </row>
    <row r="48" spans="1:13" ht="21.75" customHeight="1">
      <c r="A48" s="297" t="s">
        <v>848</v>
      </c>
      <c r="B48" s="316" t="s">
        <v>823</v>
      </c>
      <c r="C48" s="311"/>
      <c r="D48" s="302"/>
      <c r="E48" s="303"/>
      <c r="F48" s="292">
        <f t="shared" si="0"/>
        <v>0</v>
      </c>
      <c r="G48" s="304">
        <f>40201000-9876000+1176540</f>
        <v>31501540</v>
      </c>
      <c r="H48" s="303"/>
      <c r="I48" s="292">
        <f t="shared" si="1"/>
        <v>31501540</v>
      </c>
      <c r="J48" s="305"/>
      <c r="K48" s="306"/>
      <c r="L48" s="292">
        <f t="shared" si="2"/>
        <v>0</v>
      </c>
      <c r="M48" s="296">
        <f t="shared" si="3"/>
        <v>31501540</v>
      </c>
    </row>
    <row r="49" spans="1:13" ht="21.75" customHeight="1">
      <c r="A49" s="297" t="s">
        <v>925</v>
      </c>
      <c r="B49" s="316" t="s">
        <v>865</v>
      </c>
      <c r="C49" s="311" t="s">
        <v>840</v>
      </c>
      <c r="D49" s="302">
        <f>11294000-2249000</f>
        <v>9045000</v>
      </c>
      <c r="E49" s="303"/>
      <c r="F49" s="292">
        <f t="shared" si="0"/>
        <v>9045000</v>
      </c>
      <c r="G49" s="304"/>
      <c r="H49" s="303">
        <v>0</v>
      </c>
      <c r="I49" s="292">
        <f t="shared" si="1"/>
        <v>0</v>
      </c>
      <c r="J49" s="305"/>
      <c r="K49" s="306"/>
      <c r="L49" s="292">
        <f aca="true" t="shared" si="4" ref="L49:L56">SUM(J49:K49)</f>
        <v>0</v>
      </c>
      <c r="M49" s="296">
        <f t="shared" si="3"/>
        <v>9045000</v>
      </c>
    </row>
    <row r="50" spans="1:13" ht="21.75" customHeight="1">
      <c r="A50" s="297" t="s">
        <v>926</v>
      </c>
      <c r="B50" s="316" t="s">
        <v>99</v>
      </c>
      <c r="C50" s="311" t="s">
        <v>841</v>
      </c>
      <c r="D50" s="302"/>
      <c r="E50" s="303"/>
      <c r="F50" s="292">
        <f t="shared" si="0"/>
        <v>0</v>
      </c>
      <c r="G50" s="304">
        <f>3419000-653000</f>
        <v>2766000</v>
      </c>
      <c r="H50" s="303"/>
      <c r="I50" s="292">
        <f t="shared" si="1"/>
        <v>2766000</v>
      </c>
      <c r="J50" s="305"/>
      <c r="K50" s="306"/>
      <c r="L50" s="292">
        <f t="shared" si="4"/>
        <v>0</v>
      </c>
      <c r="M50" s="296">
        <f t="shared" si="3"/>
        <v>2766000</v>
      </c>
    </row>
    <row r="51" spans="1:13" ht="21.75" customHeight="1">
      <c r="A51" s="297" t="s">
        <v>927</v>
      </c>
      <c r="B51" s="316" t="s">
        <v>86</v>
      </c>
      <c r="C51" s="311" t="s">
        <v>841</v>
      </c>
      <c r="D51" s="302"/>
      <c r="E51" s="303"/>
      <c r="F51" s="292">
        <f t="shared" si="0"/>
        <v>0</v>
      </c>
      <c r="G51" s="304">
        <f>5394000-1203000</f>
        <v>4191000</v>
      </c>
      <c r="H51" s="303"/>
      <c r="I51" s="292">
        <f t="shared" si="1"/>
        <v>4191000</v>
      </c>
      <c r="J51" s="305"/>
      <c r="K51" s="306"/>
      <c r="L51" s="292">
        <f t="shared" si="4"/>
        <v>0</v>
      </c>
      <c r="M51" s="296">
        <f t="shared" si="3"/>
        <v>4191000</v>
      </c>
    </row>
    <row r="52" spans="1:13" ht="21.75" customHeight="1">
      <c r="A52" s="297" t="s">
        <v>928</v>
      </c>
      <c r="B52" s="316" t="s">
        <v>509</v>
      </c>
      <c r="C52" s="311" t="s">
        <v>842</v>
      </c>
      <c r="D52" s="302">
        <f>11171000-2187000+214270</f>
        <v>9198270</v>
      </c>
      <c r="E52" s="303"/>
      <c r="F52" s="292">
        <f t="shared" si="0"/>
        <v>9198270</v>
      </c>
      <c r="G52" s="304"/>
      <c r="H52" s="303"/>
      <c r="I52" s="292">
        <f t="shared" si="1"/>
        <v>0</v>
      </c>
      <c r="J52" s="305"/>
      <c r="K52" s="306"/>
      <c r="L52" s="292">
        <f t="shared" si="4"/>
        <v>0</v>
      </c>
      <c r="M52" s="296">
        <f t="shared" si="3"/>
        <v>9198270</v>
      </c>
    </row>
    <row r="53" spans="1:13" ht="21.75" customHeight="1">
      <c r="A53" s="301" t="s">
        <v>929</v>
      </c>
      <c r="B53" s="316" t="s">
        <v>510</v>
      </c>
      <c r="C53" s="311" t="s">
        <v>843</v>
      </c>
      <c r="D53" s="302">
        <f>5744000-868000</f>
        <v>4876000</v>
      </c>
      <c r="E53" s="303"/>
      <c r="F53" s="292">
        <f t="shared" si="0"/>
        <v>4876000</v>
      </c>
      <c r="G53" s="304"/>
      <c r="H53" s="303"/>
      <c r="I53" s="292">
        <f t="shared" si="1"/>
        <v>0</v>
      </c>
      <c r="J53" s="305"/>
      <c r="K53" s="306"/>
      <c r="L53" s="292">
        <f t="shared" si="4"/>
        <v>0</v>
      </c>
      <c r="M53" s="296">
        <f t="shared" si="3"/>
        <v>4876000</v>
      </c>
    </row>
    <row r="54" spans="1:13" ht="26.25" customHeight="1">
      <c r="A54" s="297" t="s">
        <v>991</v>
      </c>
      <c r="B54" s="299" t="s">
        <v>694</v>
      </c>
      <c r="C54" s="292" t="s">
        <v>858</v>
      </c>
      <c r="D54" s="302">
        <v>3804900</v>
      </c>
      <c r="E54" s="303"/>
      <c r="F54" s="292">
        <f t="shared" si="0"/>
        <v>3804900</v>
      </c>
      <c r="G54" s="304"/>
      <c r="H54" s="303"/>
      <c r="I54" s="292">
        <f t="shared" si="1"/>
        <v>0</v>
      </c>
      <c r="J54" s="305"/>
      <c r="K54" s="306"/>
      <c r="L54" s="292">
        <f t="shared" si="4"/>
        <v>0</v>
      </c>
      <c r="M54" s="296">
        <f t="shared" si="3"/>
        <v>3804900</v>
      </c>
    </row>
    <row r="55" spans="1:13" s="268" customFormat="1" ht="27.75" customHeight="1">
      <c r="A55" s="297" t="s">
        <v>992</v>
      </c>
      <c r="B55" s="299" t="s">
        <v>417</v>
      </c>
      <c r="C55" s="298" t="s">
        <v>844</v>
      </c>
      <c r="D55" s="302">
        <f>2300000-40723-500000-1000000+6865581+25367102-6762752+153824-102829-50995-5512457-430000-379000-255887-18738763+1553784+750000-668467-1467722-100000-130000-50000</f>
        <v>800696</v>
      </c>
      <c r="E55" s="303">
        <f>389000+4649000+4649000-4649000</f>
        <v>5038000</v>
      </c>
      <c r="F55" s="292">
        <f t="shared" si="0"/>
        <v>5838696</v>
      </c>
      <c r="G55" s="318"/>
      <c r="H55" s="303">
        <f>3550000-680000-2870000</f>
        <v>0</v>
      </c>
      <c r="I55" s="292">
        <f t="shared" si="1"/>
        <v>0</v>
      </c>
      <c r="J55" s="319"/>
      <c r="K55" s="319"/>
      <c r="L55" s="292">
        <f t="shared" si="4"/>
        <v>0</v>
      </c>
      <c r="M55" s="296">
        <f t="shared" si="3"/>
        <v>5838696</v>
      </c>
    </row>
    <row r="56" spans="1:13" ht="23.25" customHeight="1">
      <c r="A56" s="297" t="s">
        <v>993</v>
      </c>
      <c r="B56" s="299" t="s">
        <v>390</v>
      </c>
      <c r="C56" s="346" t="s">
        <v>859</v>
      </c>
      <c r="D56" s="312">
        <f>4139274+1479371+1143687+20948</f>
        <v>6783280</v>
      </c>
      <c r="E56" s="313"/>
      <c r="F56" s="292">
        <f t="shared" si="0"/>
        <v>6783280</v>
      </c>
      <c r="G56" s="320"/>
      <c r="H56" s="317"/>
      <c r="I56" s="292">
        <f t="shared" si="1"/>
        <v>0</v>
      </c>
      <c r="J56" s="305"/>
      <c r="K56" s="305"/>
      <c r="L56" s="292">
        <f t="shared" si="4"/>
        <v>0</v>
      </c>
      <c r="M56" s="296">
        <f t="shared" si="3"/>
        <v>6783280</v>
      </c>
    </row>
    <row r="57" spans="1:13" ht="24.75" customHeight="1" thickBot="1">
      <c r="A57" s="297" t="s">
        <v>1064</v>
      </c>
      <c r="B57" s="299" t="s">
        <v>691</v>
      </c>
      <c r="C57" s="321" t="s">
        <v>994</v>
      </c>
      <c r="D57" s="732"/>
      <c r="E57" s="733"/>
      <c r="F57" s="328">
        <f t="shared" si="0"/>
        <v>0</v>
      </c>
      <c r="G57" s="734">
        <v>7848600</v>
      </c>
      <c r="H57" s="735"/>
      <c r="I57" s="328">
        <f t="shared" si="1"/>
        <v>7848600</v>
      </c>
      <c r="J57" s="736"/>
      <c r="K57" s="736"/>
      <c r="L57" s="328">
        <f>SUM(J57:K57)</f>
        <v>0</v>
      </c>
      <c r="M57" s="737">
        <f t="shared" si="3"/>
        <v>7848600</v>
      </c>
    </row>
    <row r="58" spans="1:16" s="268" customFormat="1" ht="14.25" thickBot="1">
      <c r="A58" s="949" t="s">
        <v>824</v>
      </c>
      <c r="B58" s="950"/>
      <c r="C58" s="951"/>
      <c r="D58" s="326">
        <f aca="true" t="shared" si="5" ref="D58:M58">SUM(D9:D57)</f>
        <v>737228262</v>
      </c>
      <c r="E58" s="738">
        <f t="shared" si="5"/>
        <v>96510623</v>
      </c>
      <c r="F58" s="739">
        <f t="shared" si="5"/>
        <v>833738885</v>
      </c>
      <c r="G58" s="738">
        <f t="shared" si="5"/>
        <v>83401107</v>
      </c>
      <c r="H58" s="738">
        <f t="shared" si="5"/>
        <v>330628266</v>
      </c>
      <c r="I58" s="739">
        <f t="shared" si="5"/>
        <v>414029373</v>
      </c>
      <c r="J58" s="738">
        <f t="shared" si="5"/>
        <v>47334244</v>
      </c>
      <c r="K58" s="738">
        <f t="shared" si="5"/>
        <v>342773</v>
      </c>
      <c r="L58" s="739">
        <f t="shared" si="5"/>
        <v>47677017</v>
      </c>
      <c r="M58" s="739">
        <f t="shared" si="5"/>
        <v>1295445275</v>
      </c>
      <c r="P58" s="622">
        <f>SUM(L58,I58,F58)</f>
        <v>1295445275</v>
      </c>
    </row>
    <row r="59" spans="1:13" ht="30.75" customHeight="1">
      <c r="A59" s="301" t="s">
        <v>436</v>
      </c>
      <c r="B59" s="299" t="s">
        <v>67</v>
      </c>
      <c r="C59" s="289" t="s">
        <v>845</v>
      </c>
      <c r="D59" s="322">
        <f>118490946-2363520-519974+2363520+519974+492700+108394+146050-1250944-275208+483000+106260</f>
        <v>118301198</v>
      </c>
      <c r="E59" s="323">
        <v>500000</v>
      </c>
      <c r="F59" s="292">
        <f>SUM(D59:E59)</f>
        <v>118801198</v>
      </c>
      <c r="G59" s="322"/>
      <c r="H59" s="323"/>
      <c r="I59" s="289">
        <f>SUM(G59:H59)</f>
        <v>0</v>
      </c>
      <c r="J59" s="322"/>
      <c r="K59" s="323"/>
      <c r="L59" s="289">
        <f>SUM(J59:K59)</f>
        <v>0</v>
      </c>
      <c r="M59" s="296">
        <f>SUM(L59,I59,F59)</f>
        <v>118801198</v>
      </c>
    </row>
    <row r="60" spans="1:13" ht="36.75" customHeight="1">
      <c r="A60" s="297" t="s">
        <v>437</v>
      </c>
      <c r="B60" s="299" t="s">
        <v>990</v>
      </c>
      <c r="C60" s="346" t="s">
        <v>997</v>
      </c>
      <c r="D60" s="312">
        <v>67767</v>
      </c>
      <c r="E60" s="313"/>
      <c r="F60" s="328">
        <f>SUM(D60:E60)</f>
        <v>67767</v>
      </c>
      <c r="G60" s="320"/>
      <c r="H60" s="317"/>
      <c r="I60" s="328">
        <f>SUM(G60:H60)</f>
        <v>0</v>
      </c>
      <c r="J60" s="305"/>
      <c r="K60" s="305"/>
      <c r="L60" s="328">
        <f>SUM(J60:K60)</f>
        <v>0</v>
      </c>
      <c r="M60" s="296">
        <f>SUM(L60,I60,F60)</f>
        <v>67767</v>
      </c>
    </row>
    <row r="61" spans="1:13" ht="36.75" thickBot="1">
      <c r="A61" s="301" t="s">
        <v>438</v>
      </c>
      <c r="B61" s="324" t="s">
        <v>697</v>
      </c>
      <c r="C61" s="325" t="s">
        <v>699</v>
      </c>
      <c r="D61" s="302">
        <v>12486120</v>
      </c>
      <c r="E61" s="303"/>
      <c r="F61" s="292">
        <f>SUM(D61:E61)</f>
        <v>12486120</v>
      </c>
      <c r="G61" s="302"/>
      <c r="H61" s="303"/>
      <c r="I61" s="292">
        <f>SUM(G61:H61)</f>
        <v>0</v>
      </c>
      <c r="J61" s="302"/>
      <c r="K61" s="303"/>
      <c r="L61" s="292">
        <f>SUM(J61:K61)</f>
        <v>0</v>
      </c>
      <c r="M61" s="296">
        <f>SUM(L61,I61,F61)</f>
        <v>12486120</v>
      </c>
    </row>
    <row r="62" spans="1:13" s="268" customFormat="1" ht="14.25" thickBot="1">
      <c r="A62" s="949" t="s">
        <v>556</v>
      </c>
      <c r="B62" s="950"/>
      <c r="C62" s="951"/>
      <c r="D62" s="326">
        <f aca="true" t="shared" si="6" ref="D62:M62">SUM(D59:D61)</f>
        <v>130855085</v>
      </c>
      <c r="E62" s="326">
        <f t="shared" si="6"/>
        <v>500000</v>
      </c>
      <c r="F62" s="326">
        <f t="shared" si="6"/>
        <v>131355085</v>
      </c>
      <c r="G62" s="326">
        <f t="shared" si="6"/>
        <v>0</v>
      </c>
      <c r="H62" s="326">
        <f t="shared" si="6"/>
        <v>0</v>
      </c>
      <c r="I62" s="326">
        <f t="shared" si="6"/>
        <v>0</v>
      </c>
      <c r="J62" s="326">
        <f t="shared" si="6"/>
        <v>0</v>
      </c>
      <c r="K62" s="326">
        <f t="shared" si="6"/>
        <v>0</v>
      </c>
      <c r="L62" s="326">
        <f t="shared" si="6"/>
        <v>0</v>
      </c>
      <c r="M62" s="327">
        <f t="shared" si="6"/>
        <v>131355085</v>
      </c>
    </row>
    <row r="63" spans="1:13" ht="23.25" customHeight="1">
      <c r="A63" s="287" t="s">
        <v>436</v>
      </c>
      <c r="B63" s="329" t="s">
        <v>557</v>
      </c>
      <c r="C63" s="309" t="s">
        <v>857</v>
      </c>
      <c r="D63" s="330">
        <v>30940089</v>
      </c>
      <c r="E63" s="331"/>
      <c r="F63" s="328">
        <f aca="true" t="shared" si="7" ref="F63:F69">SUM(D63:E63)</f>
        <v>30940089</v>
      </c>
      <c r="G63" s="330"/>
      <c r="H63" s="331"/>
      <c r="I63" s="328">
        <f aca="true" t="shared" si="8" ref="I63:I69">SUM(G63:H63)</f>
        <v>0</v>
      </c>
      <c r="J63" s="330"/>
      <c r="K63" s="331"/>
      <c r="L63" s="328">
        <f aca="true" t="shared" si="9" ref="L63:L69">SUM(J63:K63)</f>
        <v>0</v>
      </c>
      <c r="M63" s="296">
        <f aca="true" t="shared" si="10" ref="M63:M69">SUM(L63,I63,F63)</f>
        <v>30940089</v>
      </c>
    </row>
    <row r="64" spans="1:13" ht="23.25" customHeight="1">
      <c r="A64" s="297" t="s">
        <v>437</v>
      </c>
      <c r="B64" s="299" t="s">
        <v>558</v>
      </c>
      <c r="C64" s="346" t="s">
        <v>846</v>
      </c>
      <c r="D64" s="312">
        <f>150073994+719400+158268-24000+478125+105190+30000+6000+34000</f>
        <v>151580977</v>
      </c>
      <c r="E64" s="313">
        <v>427990</v>
      </c>
      <c r="F64" s="292">
        <f t="shared" si="7"/>
        <v>152008967</v>
      </c>
      <c r="G64" s="320"/>
      <c r="H64" s="317"/>
      <c r="I64" s="292">
        <f t="shared" si="8"/>
        <v>0</v>
      </c>
      <c r="J64" s="305"/>
      <c r="K64" s="305"/>
      <c r="L64" s="292">
        <f t="shared" si="9"/>
        <v>0</v>
      </c>
      <c r="M64" s="296">
        <f t="shared" si="10"/>
        <v>152008967</v>
      </c>
    </row>
    <row r="65" spans="1:13" ht="23.25" customHeight="1">
      <c r="A65" s="297" t="s">
        <v>438</v>
      </c>
      <c r="B65" s="299" t="s">
        <v>559</v>
      </c>
      <c r="C65" s="309" t="s">
        <v>846</v>
      </c>
      <c r="D65" s="312">
        <v>12237500</v>
      </c>
      <c r="E65" s="313">
        <v>127000</v>
      </c>
      <c r="F65" s="292">
        <f t="shared" si="7"/>
        <v>12364500</v>
      </c>
      <c r="G65" s="320"/>
      <c r="H65" s="317"/>
      <c r="I65" s="292">
        <f t="shared" si="8"/>
        <v>0</v>
      </c>
      <c r="J65" s="305"/>
      <c r="K65" s="305"/>
      <c r="L65" s="292">
        <f t="shared" si="9"/>
        <v>0</v>
      </c>
      <c r="M65" s="296">
        <f t="shared" si="10"/>
        <v>12364500</v>
      </c>
    </row>
    <row r="66" spans="1:13" ht="23.25" customHeight="1">
      <c r="A66" s="297" t="s">
        <v>439</v>
      </c>
      <c r="B66" s="299" t="s">
        <v>658</v>
      </c>
      <c r="C66" s="346" t="s">
        <v>698</v>
      </c>
      <c r="D66" s="312">
        <v>25454568</v>
      </c>
      <c r="E66" s="313">
        <v>124000</v>
      </c>
      <c r="F66" s="292">
        <f t="shared" si="7"/>
        <v>25578568</v>
      </c>
      <c r="G66" s="320"/>
      <c r="H66" s="317"/>
      <c r="I66" s="292">
        <f t="shared" si="8"/>
        <v>0</v>
      </c>
      <c r="J66" s="305"/>
      <c r="K66" s="305"/>
      <c r="L66" s="292">
        <f t="shared" si="9"/>
        <v>0</v>
      </c>
      <c r="M66" s="296">
        <f t="shared" si="10"/>
        <v>25578568</v>
      </c>
    </row>
    <row r="67" spans="1:13" ht="23.25" customHeight="1">
      <c r="A67" s="297" t="s">
        <v>440</v>
      </c>
      <c r="B67" s="299" t="s">
        <v>825</v>
      </c>
      <c r="C67" s="346" t="s">
        <v>860</v>
      </c>
      <c r="D67" s="312">
        <v>19624623</v>
      </c>
      <c r="E67" s="313">
        <v>76200</v>
      </c>
      <c r="F67" s="292">
        <f t="shared" si="7"/>
        <v>19700823</v>
      </c>
      <c r="G67" s="320"/>
      <c r="H67" s="317"/>
      <c r="I67" s="292">
        <f t="shared" si="8"/>
        <v>0</v>
      </c>
      <c r="J67" s="305"/>
      <c r="K67" s="305"/>
      <c r="L67" s="292">
        <f t="shared" si="9"/>
        <v>0</v>
      </c>
      <c r="M67" s="296">
        <f t="shared" si="10"/>
        <v>19700823</v>
      </c>
    </row>
    <row r="68" spans="1:13" ht="23.25" customHeight="1">
      <c r="A68" s="297" t="s">
        <v>441</v>
      </c>
      <c r="B68" s="299" t="s">
        <v>826</v>
      </c>
      <c r="C68" s="346" t="s">
        <v>861</v>
      </c>
      <c r="D68" s="312"/>
      <c r="E68" s="313"/>
      <c r="F68" s="292">
        <f t="shared" si="7"/>
        <v>0</v>
      </c>
      <c r="G68" s="314"/>
      <c r="H68" s="313"/>
      <c r="I68" s="292">
        <f t="shared" si="8"/>
        <v>0</v>
      </c>
      <c r="J68" s="305"/>
      <c r="K68" s="305"/>
      <c r="L68" s="292">
        <f t="shared" si="9"/>
        <v>0</v>
      </c>
      <c r="M68" s="296">
        <f t="shared" si="10"/>
        <v>0</v>
      </c>
    </row>
    <row r="69" spans="1:13" ht="23.25" customHeight="1">
      <c r="A69" s="297" t="s">
        <v>442</v>
      </c>
      <c r="B69" s="299" t="s">
        <v>827</v>
      </c>
      <c r="C69" s="309" t="s">
        <v>857</v>
      </c>
      <c r="D69" s="312"/>
      <c r="E69" s="313"/>
      <c r="F69" s="292">
        <f t="shared" si="7"/>
        <v>0</v>
      </c>
      <c r="G69" s="314"/>
      <c r="H69" s="313"/>
      <c r="I69" s="292">
        <f t="shared" si="8"/>
        <v>0</v>
      </c>
      <c r="J69" s="305"/>
      <c r="K69" s="305"/>
      <c r="L69" s="292">
        <f t="shared" si="9"/>
        <v>0</v>
      </c>
      <c r="M69" s="296">
        <f t="shared" si="10"/>
        <v>0</v>
      </c>
    </row>
    <row r="70" spans="1:13" ht="23.25" customHeight="1">
      <c r="A70" s="301" t="s">
        <v>443</v>
      </c>
      <c r="B70" s="329" t="s">
        <v>618</v>
      </c>
      <c r="C70" s="309" t="s">
        <v>862</v>
      </c>
      <c r="D70" s="330"/>
      <c r="E70" s="331"/>
      <c r="F70" s="328">
        <f>SUM(D70:E70)</f>
        <v>0</v>
      </c>
      <c r="G70" s="330">
        <f>7192125-947010</f>
        <v>6245115</v>
      </c>
      <c r="H70" s="331"/>
      <c r="I70" s="328">
        <f>SUM(G70:H70)</f>
        <v>6245115</v>
      </c>
      <c r="J70" s="330"/>
      <c r="K70" s="331"/>
      <c r="L70" s="328">
        <f>SUM(J70:K70)</f>
        <v>0</v>
      </c>
      <c r="M70" s="296">
        <f>SUM(L70,I70,F70)</f>
        <v>6245115</v>
      </c>
    </row>
    <row r="71" spans="1:13" ht="36.75" customHeight="1" thickBot="1">
      <c r="A71" s="796" t="s">
        <v>444</v>
      </c>
      <c r="B71" s="299" t="s">
        <v>990</v>
      </c>
      <c r="C71" s="346" t="s">
        <v>997</v>
      </c>
      <c r="D71" s="312">
        <v>1486017</v>
      </c>
      <c r="E71" s="313"/>
      <c r="F71" s="328">
        <f>SUM(D71:E71)</f>
        <v>1486017</v>
      </c>
      <c r="G71" s="320"/>
      <c r="H71" s="317"/>
      <c r="I71" s="328">
        <f>SUM(G71:H71)</f>
        <v>0</v>
      </c>
      <c r="J71" s="305"/>
      <c r="K71" s="305"/>
      <c r="L71" s="328">
        <f>SUM(J71:K71)</f>
        <v>0</v>
      </c>
      <c r="M71" s="296">
        <f>SUM(L71,I71,F71)</f>
        <v>1486017</v>
      </c>
    </row>
    <row r="72" spans="1:16" ht="27.75" customHeight="1" thickBot="1">
      <c r="A72" s="952" t="s">
        <v>1032</v>
      </c>
      <c r="B72" s="953"/>
      <c r="C72" s="954"/>
      <c r="D72" s="332">
        <f aca="true" t="shared" si="11" ref="D72:M72">SUM(D63:D71)</f>
        <v>241323774</v>
      </c>
      <c r="E72" s="620">
        <f t="shared" si="11"/>
        <v>755190</v>
      </c>
      <c r="F72" s="619">
        <f t="shared" si="11"/>
        <v>242078964</v>
      </c>
      <c r="G72" s="332">
        <f t="shared" si="11"/>
        <v>6245115</v>
      </c>
      <c r="H72" s="620">
        <f t="shared" si="11"/>
        <v>0</v>
      </c>
      <c r="I72" s="619">
        <f t="shared" si="11"/>
        <v>6245115</v>
      </c>
      <c r="J72" s="332">
        <f t="shared" si="11"/>
        <v>0</v>
      </c>
      <c r="K72" s="620">
        <f t="shared" si="11"/>
        <v>0</v>
      </c>
      <c r="L72" s="619">
        <f t="shared" si="11"/>
        <v>0</v>
      </c>
      <c r="M72" s="327">
        <f t="shared" si="11"/>
        <v>248324079</v>
      </c>
      <c r="P72" s="623">
        <f>SUM(L72,I72,F72)</f>
        <v>248324079</v>
      </c>
    </row>
    <row r="73" spans="1:13" s="272" customFormat="1" ht="16.5" thickBot="1">
      <c r="A73" s="946" t="s">
        <v>560</v>
      </c>
      <c r="B73" s="947"/>
      <c r="C73" s="948"/>
      <c r="D73" s="333">
        <f aca="true" t="shared" si="12" ref="D73:M73">D58+D62+D72</f>
        <v>1109407121</v>
      </c>
      <c r="E73" s="333">
        <f t="shared" si="12"/>
        <v>97765813</v>
      </c>
      <c r="F73" s="334">
        <f t="shared" si="12"/>
        <v>1207172934</v>
      </c>
      <c r="G73" s="621">
        <f t="shared" si="12"/>
        <v>89646222</v>
      </c>
      <c r="H73" s="333">
        <f t="shared" si="12"/>
        <v>330628266</v>
      </c>
      <c r="I73" s="334">
        <f t="shared" si="12"/>
        <v>420274488</v>
      </c>
      <c r="J73" s="621">
        <f t="shared" si="12"/>
        <v>47334244</v>
      </c>
      <c r="K73" s="333">
        <f t="shared" si="12"/>
        <v>342773</v>
      </c>
      <c r="L73" s="334">
        <f t="shared" si="12"/>
        <v>47677017</v>
      </c>
      <c r="M73" s="335">
        <f t="shared" si="12"/>
        <v>1675124439</v>
      </c>
    </row>
    <row r="76" spans="1:2" ht="12.75">
      <c r="A76" s="207" t="s">
        <v>561</v>
      </c>
      <c r="B76" s="207" t="s">
        <v>562</v>
      </c>
    </row>
    <row r="77" spans="1:2" ht="12.75">
      <c r="A77" s="207" t="s">
        <v>563</v>
      </c>
      <c r="B77" s="207" t="s">
        <v>564</v>
      </c>
    </row>
    <row r="78" spans="1:2" ht="12.75">
      <c r="A78" s="207" t="s">
        <v>565</v>
      </c>
      <c r="B78" s="207" t="s">
        <v>566</v>
      </c>
    </row>
    <row r="79" spans="1:2" ht="12.75">
      <c r="A79" s="207" t="s">
        <v>567</v>
      </c>
      <c r="B79" s="207" t="s">
        <v>568</v>
      </c>
    </row>
    <row r="80" spans="1:2" ht="12.75">
      <c r="A80" s="207" t="s">
        <v>569</v>
      </c>
      <c r="B80" s="207" t="s">
        <v>570</v>
      </c>
    </row>
    <row r="81" spans="1:2" ht="12.75">
      <c r="A81" s="207" t="s">
        <v>696</v>
      </c>
      <c r="B81" s="207" t="s">
        <v>695</v>
      </c>
    </row>
    <row r="82" spans="1:2" ht="12.75">
      <c r="A82" s="207" t="s">
        <v>995</v>
      </c>
      <c r="B82" s="207" t="s">
        <v>996</v>
      </c>
    </row>
  </sheetData>
  <sheetProtection/>
  <mergeCells count="14">
    <mergeCell ref="A73:C73"/>
    <mergeCell ref="A62:C62"/>
    <mergeCell ref="D6:F7"/>
    <mergeCell ref="A72:C72"/>
    <mergeCell ref="B5:B8"/>
    <mergeCell ref="A5:A8"/>
    <mergeCell ref="C5:M5"/>
    <mergeCell ref="A58:C58"/>
    <mergeCell ref="G1:M1"/>
    <mergeCell ref="M6:M8"/>
    <mergeCell ref="A3:M4"/>
    <mergeCell ref="C6:C8"/>
    <mergeCell ref="G6:I7"/>
    <mergeCell ref="J6:L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2" r:id="rId1"/>
  <rowBreaks count="2" manualBreakCount="2">
    <brk id="29" max="12" man="1"/>
    <brk id="5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O87"/>
  <sheetViews>
    <sheetView view="pageBreakPreview" zoomScale="60" zoomScalePageLayoutView="0" workbookViewId="0" topLeftCell="O1">
      <selection activeCell="T1" sqref="T1:AB1"/>
    </sheetView>
  </sheetViews>
  <sheetFormatPr defaultColWidth="9.00390625" defaultRowHeight="12.75"/>
  <cols>
    <col min="1" max="2" width="9.125" style="207" customWidth="1"/>
    <col min="3" max="3" width="19.125" style="207" customWidth="1"/>
    <col min="4" max="4" width="18.00390625" style="207" bestFit="1" customWidth="1"/>
    <col min="5" max="5" width="15.75390625" style="207" bestFit="1" customWidth="1"/>
    <col min="6" max="6" width="18.00390625" style="207" bestFit="1" customWidth="1"/>
    <col min="7" max="7" width="12.625" style="207" customWidth="1"/>
    <col min="8" max="8" width="18.875" style="207" customWidth="1"/>
    <col min="9" max="9" width="9.25390625" style="207" bestFit="1" customWidth="1"/>
    <col min="10" max="10" width="11.375" style="207" bestFit="1" customWidth="1"/>
    <col min="11" max="11" width="19.25390625" style="207" customWidth="1"/>
    <col min="12" max="12" width="9.75390625" style="207" customWidth="1"/>
    <col min="13" max="13" width="9.125" style="207" customWidth="1"/>
    <col min="14" max="14" width="12.625" style="207" customWidth="1"/>
    <col min="15" max="15" width="8.125" style="207" customWidth="1"/>
    <col min="16" max="16" width="11.375" style="207" bestFit="1" customWidth="1"/>
    <col min="17" max="17" width="12.375" style="207" bestFit="1" customWidth="1"/>
    <col min="18" max="20" width="9.125" style="207" customWidth="1"/>
    <col min="21" max="21" width="9.875" style="207" customWidth="1"/>
    <col min="22" max="22" width="13.125" style="207" customWidth="1"/>
    <col min="23" max="23" width="16.625" style="207" bestFit="1" customWidth="1"/>
    <col min="24" max="24" width="18.00390625" style="347" bestFit="1" customWidth="1"/>
    <col min="25" max="25" width="18.25390625" style="347" customWidth="1"/>
    <col min="26" max="26" width="18.75390625" style="347" customWidth="1"/>
    <col min="27" max="27" width="19.75390625" style="347" bestFit="1" customWidth="1"/>
    <col min="28" max="28" width="17.375" style="347" bestFit="1" customWidth="1"/>
    <col min="29" max="29" width="19.75390625" style="347" bestFit="1" customWidth="1"/>
    <col min="30" max="223" width="9.125" style="347" customWidth="1"/>
    <col min="224" max="16384" width="9.125" style="207" customWidth="1"/>
  </cols>
  <sheetData>
    <row r="1" spans="1:28" ht="15">
      <c r="A1" s="274"/>
      <c r="B1" s="275"/>
      <c r="C1" s="276"/>
      <c r="H1" s="275"/>
      <c r="I1" s="275"/>
      <c r="J1" s="275"/>
      <c r="K1" s="277"/>
      <c r="L1" s="277"/>
      <c r="M1" s="277"/>
      <c r="N1" s="275"/>
      <c r="T1" s="1094" t="s">
        <v>1080</v>
      </c>
      <c r="U1" s="1095"/>
      <c r="V1" s="1095"/>
      <c r="W1" s="1095"/>
      <c r="X1" s="1096"/>
      <c r="Y1" s="1096"/>
      <c r="Z1" s="1096"/>
      <c r="AA1" s="1096"/>
      <c r="AB1" s="1096"/>
    </row>
    <row r="2" spans="1:14" ht="12.75">
      <c r="A2" s="274"/>
      <c r="B2" s="275"/>
      <c r="C2" s="276"/>
      <c r="D2" s="278"/>
      <c r="E2" s="279"/>
      <c r="F2" s="279"/>
      <c r="G2" s="279"/>
      <c r="H2" s="275"/>
      <c r="I2" s="275"/>
      <c r="J2" s="275"/>
      <c r="K2" s="277"/>
      <c r="L2" s="277"/>
      <c r="M2" s="277"/>
      <c r="N2" s="275"/>
    </row>
    <row r="3" spans="1:29" ht="15.75" customHeight="1">
      <c r="A3" s="1107" t="s">
        <v>866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  <c r="R3" s="1107"/>
      <c r="S3" s="1107"/>
      <c r="T3" s="1107"/>
      <c r="U3" s="1107"/>
      <c r="V3" s="1107"/>
      <c r="W3" s="1107"/>
      <c r="X3" s="1107"/>
      <c r="Y3" s="1107"/>
      <c r="Z3" s="1107"/>
      <c r="AA3" s="1107"/>
      <c r="AB3" s="1107"/>
      <c r="AC3" s="1107"/>
    </row>
    <row r="4" spans="1:29" ht="15.75" customHeight="1">
      <c r="A4" s="613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</row>
    <row r="5" spans="1:29" ht="13.5" customHeight="1" thickBot="1">
      <c r="A5" s="614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</row>
    <row r="6" spans="1:223" s="348" customFormat="1" ht="15" customHeight="1" thickBot="1" thickTop="1">
      <c r="A6" s="1098" t="s">
        <v>104</v>
      </c>
      <c r="B6" s="1099"/>
      <c r="C6" s="1099"/>
      <c r="D6" s="1027" t="s">
        <v>398</v>
      </c>
      <c r="E6" s="1028"/>
      <c r="F6" s="1029"/>
      <c r="G6" s="1030" t="s">
        <v>571</v>
      </c>
      <c r="H6" s="1102"/>
      <c r="I6" s="1102"/>
      <c r="J6" s="1102"/>
      <c r="K6" s="1103"/>
      <c r="L6" s="993" t="s">
        <v>572</v>
      </c>
      <c r="M6" s="994"/>
      <c r="N6" s="994"/>
      <c r="O6" s="994"/>
      <c r="P6" s="994"/>
      <c r="Q6" s="1056"/>
      <c r="R6" s="993" t="s">
        <v>573</v>
      </c>
      <c r="S6" s="994"/>
      <c r="T6" s="994"/>
      <c r="U6" s="994"/>
      <c r="V6" s="994"/>
      <c r="W6" s="994"/>
      <c r="X6" s="1097" t="s">
        <v>574</v>
      </c>
      <c r="Y6" s="1065"/>
      <c r="Z6" s="1065"/>
      <c r="AA6" s="1058" t="s">
        <v>105</v>
      </c>
      <c r="AB6" s="1059"/>
      <c r="AC6" s="1060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47"/>
      <c r="EF6" s="347"/>
      <c r="EG6" s="347"/>
      <c r="EH6" s="347"/>
      <c r="EI6" s="347"/>
      <c r="EJ6" s="347"/>
      <c r="EK6" s="347"/>
      <c r="EL6" s="347"/>
      <c r="EM6" s="347"/>
      <c r="EN6" s="347"/>
      <c r="EO6" s="347"/>
      <c r="EP6" s="347"/>
      <c r="EQ6" s="347"/>
      <c r="ER6" s="347"/>
      <c r="ES6" s="347"/>
      <c r="ET6" s="347"/>
      <c r="EU6" s="347"/>
      <c r="EV6" s="347"/>
      <c r="EW6" s="347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347"/>
      <c r="FL6" s="347"/>
      <c r="FM6" s="347"/>
      <c r="FN6" s="347"/>
      <c r="FO6" s="347"/>
      <c r="FP6" s="347"/>
      <c r="FQ6" s="347"/>
      <c r="FR6" s="347"/>
      <c r="FS6" s="347"/>
      <c r="FT6" s="347"/>
      <c r="FU6" s="347"/>
      <c r="FV6" s="347"/>
      <c r="FW6" s="347"/>
      <c r="FX6" s="347"/>
      <c r="FY6" s="347"/>
      <c r="FZ6" s="347"/>
      <c r="GA6" s="347"/>
      <c r="GB6" s="347"/>
      <c r="GC6" s="347"/>
      <c r="GD6" s="347"/>
      <c r="GE6" s="347"/>
      <c r="GF6" s="347"/>
      <c r="GG6" s="347"/>
      <c r="GH6" s="347"/>
      <c r="GI6" s="347"/>
      <c r="GJ6" s="347"/>
      <c r="GK6" s="347"/>
      <c r="GL6" s="347"/>
      <c r="GM6" s="347"/>
      <c r="GN6" s="347"/>
      <c r="GO6" s="347"/>
      <c r="GP6" s="347"/>
      <c r="GQ6" s="347"/>
      <c r="GR6" s="347"/>
      <c r="GS6" s="347"/>
      <c r="GT6" s="347"/>
      <c r="GU6" s="347"/>
      <c r="GV6" s="347"/>
      <c r="GW6" s="347"/>
      <c r="GX6" s="347"/>
      <c r="GY6" s="347"/>
      <c r="GZ6" s="347"/>
      <c r="HA6" s="347"/>
      <c r="HB6" s="347"/>
      <c r="HC6" s="347"/>
      <c r="HD6" s="347"/>
      <c r="HE6" s="347"/>
      <c r="HF6" s="347"/>
      <c r="HG6" s="347"/>
      <c r="HH6" s="347"/>
      <c r="HI6" s="347"/>
      <c r="HJ6" s="347"/>
      <c r="HK6" s="347"/>
      <c r="HL6" s="347"/>
      <c r="HM6" s="347"/>
      <c r="HN6" s="347"/>
      <c r="HO6" s="347"/>
    </row>
    <row r="7" spans="1:29" s="347" customFormat="1" ht="16.5" customHeight="1" thickBot="1">
      <c r="A7" s="1100"/>
      <c r="B7" s="1101"/>
      <c r="C7" s="1101"/>
      <c r="D7" s="349" t="s">
        <v>106</v>
      </c>
      <c r="E7" s="448" t="s">
        <v>102</v>
      </c>
      <c r="F7" s="350" t="s">
        <v>107</v>
      </c>
      <c r="G7" s="1104"/>
      <c r="H7" s="1105"/>
      <c r="I7" s="1105"/>
      <c r="J7" s="1105"/>
      <c r="K7" s="1106"/>
      <c r="L7" s="996"/>
      <c r="M7" s="997"/>
      <c r="N7" s="997"/>
      <c r="O7" s="997"/>
      <c r="P7" s="997"/>
      <c r="Q7" s="1057"/>
      <c r="R7" s="996"/>
      <c r="S7" s="997"/>
      <c r="T7" s="997"/>
      <c r="U7" s="997"/>
      <c r="V7" s="997"/>
      <c r="W7" s="997"/>
      <c r="X7" s="351" t="s">
        <v>106</v>
      </c>
      <c r="Y7" s="550" t="s">
        <v>102</v>
      </c>
      <c r="Z7" s="352" t="s">
        <v>107</v>
      </c>
      <c r="AA7" s="353" t="s">
        <v>106</v>
      </c>
      <c r="AB7" s="551" t="s">
        <v>102</v>
      </c>
      <c r="AC7" s="354" t="s">
        <v>107</v>
      </c>
    </row>
    <row r="8" spans="1:29" s="370" customFormat="1" ht="26.25" customHeight="1">
      <c r="A8" s="355"/>
      <c r="B8" s="356"/>
      <c r="C8" s="357"/>
      <c r="D8" s="358"/>
      <c r="E8" s="356"/>
      <c r="F8" s="359"/>
      <c r="G8" s="1089" t="s">
        <v>575</v>
      </c>
      <c r="H8" s="985"/>
      <c r="I8" s="985"/>
      <c r="J8" s="360">
        <f>63536320+13776653+765000+1000000</f>
        <v>79077973</v>
      </c>
      <c r="K8" s="986">
        <f>SUM(J8:J21)</f>
        <v>190582973</v>
      </c>
      <c r="L8" s="967"/>
      <c r="M8" s="968"/>
      <c r="N8" s="968"/>
      <c r="O8" s="968"/>
      <c r="P8" s="361"/>
      <c r="Q8" s="1110">
        <f>SUM(P8:P21)</f>
        <v>188887328</v>
      </c>
      <c r="R8" s="974" t="s">
        <v>262</v>
      </c>
      <c r="S8" s="975"/>
      <c r="T8" s="975"/>
      <c r="U8" s="975"/>
      <c r="V8" s="611">
        <f>182000000+50000-50000</f>
        <v>182000000</v>
      </c>
      <c r="W8" s="971">
        <f>SUM(V8:V21)</f>
        <v>289607609</v>
      </c>
      <c r="X8" s="364"/>
      <c r="Y8" s="365"/>
      <c r="Z8" s="366"/>
      <c r="AA8" s="367"/>
      <c r="AB8" s="368"/>
      <c r="AC8" s="369"/>
    </row>
    <row r="9" spans="1:29" s="370" customFormat="1" ht="27" customHeight="1">
      <c r="A9" s="355"/>
      <c r="B9" s="356"/>
      <c r="C9" s="358"/>
      <c r="D9" s="358"/>
      <c r="E9" s="356"/>
      <c r="F9" s="359"/>
      <c r="G9" s="981" t="s">
        <v>605</v>
      </c>
      <c r="H9" s="964"/>
      <c r="I9" s="964"/>
      <c r="J9" s="360">
        <v>10164240</v>
      </c>
      <c r="K9" s="977"/>
      <c r="L9" s="963" t="s">
        <v>576</v>
      </c>
      <c r="M9" s="964"/>
      <c r="N9" s="964"/>
      <c r="O9" s="964"/>
      <c r="P9" s="360">
        <v>3339510</v>
      </c>
      <c r="Q9" s="1111"/>
      <c r="R9" s="965" t="s">
        <v>942</v>
      </c>
      <c r="S9" s="966"/>
      <c r="T9" s="966"/>
      <c r="U9" s="966"/>
      <c r="V9" s="611">
        <f>500000+135000+1850953+451243</f>
        <v>2937196</v>
      </c>
      <c r="W9" s="972"/>
      <c r="X9" s="371"/>
      <c r="Y9" s="365"/>
      <c r="Z9" s="372"/>
      <c r="AA9" s="355"/>
      <c r="AB9" s="373"/>
      <c r="AC9" s="374"/>
    </row>
    <row r="10" spans="1:29" s="370" customFormat="1" ht="24.75" customHeight="1">
      <c r="A10" s="375"/>
      <c r="B10" s="376"/>
      <c r="C10" s="377" t="s">
        <v>543</v>
      </c>
      <c r="D10" s="378">
        <f>SUM('5. kiadások megbontása'!D58)</f>
        <v>737228262</v>
      </c>
      <c r="E10" s="379">
        <f>SUM('5. kiadások megbontása'!E58)</f>
        <v>96510623</v>
      </c>
      <c r="F10" s="380">
        <f>SUM(D10:E10)</f>
        <v>833738885</v>
      </c>
      <c r="G10" s="981" t="s">
        <v>897</v>
      </c>
      <c r="H10" s="964"/>
      <c r="I10" s="964"/>
      <c r="J10" s="360">
        <v>53176031</v>
      </c>
      <c r="K10" s="977"/>
      <c r="L10" s="974" t="s">
        <v>577</v>
      </c>
      <c r="M10" s="975"/>
      <c r="N10" s="975"/>
      <c r="O10" s="975"/>
      <c r="P10" s="611">
        <v>12348000</v>
      </c>
      <c r="Q10" s="1111"/>
      <c r="R10" s="974" t="s">
        <v>892</v>
      </c>
      <c r="S10" s="975"/>
      <c r="T10" s="975"/>
      <c r="U10" s="975"/>
      <c r="V10" s="611">
        <f>3030380+818203</f>
        <v>3848583</v>
      </c>
      <c r="W10" s="972"/>
      <c r="X10" s="381"/>
      <c r="Y10" s="382"/>
      <c r="Z10" s="372"/>
      <c r="AA10" s="383"/>
      <c r="AB10" s="384"/>
      <c r="AC10" s="385"/>
    </row>
    <row r="11" spans="1:29" s="370" customFormat="1" ht="25.5" customHeight="1">
      <c r="A11" s="386"/>
      <c r="B11" s="387"/>
      <c r="C11" s="388"/>
      <c r="D11" s="388"/>
      <c r="E11" s="356"/>
      <c r="F11" s="359"/>
      <c r="G11" s="981" t="s">
        <v>935</v>
      </c>
      <c r="H11" s="964"/>
      <c r="I11" s="964"/>
      <c r="J11" s="360">
        <v>6949788</v>
      </c>
      <c r="K11" s="977"/>
      <c r="L11" s="963" t="s">
        <v>578</v>
      </c>
      <c r="M11" s="964"/>
      <c r="N11" s="964"/>
      <c r="O11" s="964"/>
      <c r="P11" s="611">
        <f>19620000+165000</f>
        <v>19785000</v>
      </c>
      <c r="Q11" s="1111"/>
      <c r="R11" s="965" t="s">
        <v>130</v>
      </c>
      <c r="S11" s="966"/>
      <c r="T11" s="966"/>
      <c r="U11" s="966"/>
      <c r="V11" s="611">
        <f>9016325+4800000+1296000+67100</f>
        <v>15179425</v>
      </c>
      <c r="W11" s="972"/>
      <c r="X11" s="381"/>
      <c r="Y11" s="382"/>
      <c r="Z11" s="372"/>
      <c r="AA11" s="383"/>
      <c r="AB11" s="384"/>
      <c r="AC11" s="385"/>
    </row>
    <row r="12" spans="1:29" s="370" customFormat="1" ht="24.75" customHeight="1">
      <c r="A12" s="386"/>
      <c r="B12" s="387"/>
      <c r="C12" s="388"/>
      <c r="D12" s="388"/>
      <c r="E12" s="356"/>
      <c r="F12" s="359"/>
      <c r="G12" s="981" t="s">
        <v>701</v>
      </c>
      <c r="H12" s="964"/>
      <c r="I12" s="964"/>
      <c r="J12" s="360">
        <f>2254350-38760</f>
        <v>2215590</v>
      </c>
      <c r="K12" s="977"/>
      <c r="L12" s="963" t="s">
        <v>930</v>
      </c>
      <c r="M12" s="964"/>
      <c r="N12" s="964"/>
      <c r="O12" s="964"/>
      <c r="P12" s="360">
        <v>3850000</v>
      </c>
      <c r="Q12" s="1111"/>
      <c r="R12" s="965" t="s">
        <v>889</v>
      </c>
      <c r="S12" s="966"/>
      <c r="T12" s="966"/>
      <c r="U12" s="966"/>
      <c r="V12" s="611">
        <v>50000</v>
      </c>
      <c r="W12" s="972"/>
      <c r="X12" s="381"/>
      <c r="Y12" s="382"/>
      <c r="Z12" s="372"/>
      <c r="AA12" s="383"/>
      <c r="AB12" s="384"/>
      <c r="AC12" s="385"/>
    </row>
    <row r="13" spans="1:29" s="370" customFormat="1" ht="15.75" customHeight="1">
      <c r="A13" s="386"/>
      <c r="B13" s="387"/>
      <c r="C13" s="388"/>
      <c r="D13" s="388"/>
      <c r="E13" s="356"/>
      <c r="F13" s="359"/>
      <c r="G13" s="983" t="s">
        <v>619</v>
      </c>
      <c r="H13" s="983"/>
      <c r="I13" s="983"/>
      <c r="J13" s="360">
        <f>54007000-J53</f>
        <v>32391954</v>
      </c>
      <c r="K13" s="977"/>
      <c r="L13" s="982" t="s">
        <v>936</v>
      </c>
      <c r="M13" s="983"/>
      <c r="N13" s="983"/>
      <c r="O13" s="983"/>
      <c r="P13" s="389">
        <v>108223380</v>
      </c>
      <c r="Q13" s="1111"/>
      <c r="R13" s="963" t="s">
        <v>303</v>
      </c>
      <c r="S13" s="964"/>
      <c r="T13" s="964"/>
      <c r="U13" s="964"/>
      <c r="V13" s="360">
        <f>639000+105030</f>
        <v>744030</v>
      </c>
      <c r="W13" s="972"/>
      <c r="X13" s="381"/>
      <c r="Y13" s="382"/>
      <c r="Z13" s="372"/>
      <c r="AA13" s="383"/>
      <c r="AB13" s="384"/>
      <c r="AC13" s="385"/>
    </row>
    <row r="14" spans="1:29" s="370" customFormat="1" ht="16.5" customHeight="1">
      <c r="A14" s="386"/>
      <c r="B14" s="387"/>
      <c r="C14" s="388"/>
      <c r="D14" s="388"/>
      <c r="E14" s="356"/>
      <c r="F14" s="390"/>
      <c r="G14" s="983" t="s">
        <v>886</v>
      </c>
      <c r="H14" s="983"/>
      <c r="I14" s="983"/>
      <c r="J14" s="360">
        <v>95885</v>
      </c>
      <c r="K14" s="977"/>
      <c r="L14" s="982" t="s">
        <v>938</v>
      </c>
      <c r="M14" s="983"/>
      <c r="N14" s="983"/>
      <c r="O14" s="983"/>
      <c r="P14" s="391">
        <v>40591438</v>
      </c>
      <c r="Q14" s="1111"/>
      <c r="R14" s="963" t="s">
        <v>893</v>
      </c>
      <c r="S14" s="964"/>
      <c r="T14" s="964"/>
      <c r="U14" s="964"/>
      <c r="V14" s="360">
        <f>3145064+175500+540+444395+32122+20948+80928+19072</f>
        <v>3918569</v>
      </c>
      <c r="W14" s="972"/>
      <c r="X14" s="392">
        <f>SUM(W8,Q8,K8)</f>
        <v>669077910</v>
      </c>
      <c r="Y14" s="393">
        <f>SUM(Q22,W22,K22)</f>
        <v>249678632</v>
      </c>
      <c r="Z14" s="394">
        <f>SUM(Y14,X14)</f>
        <v>918756542</v>
      </c>
      <c r="AA14" s="392">
        <f>X14-D10</f>
        <v>-68150352</v>
      </c>
      <c r="AB14" s="393">
        <f>Y14-E10</f>
        <v>153168009</v>
      </c>
      <c r="AC14" s="395">
        <f>SUM(AA14:AB14)</f>
        <v>85017657</v>
      </c>
    </row>
    <row r="15" spans="1:29" s="347" customFormat="1" ht="24" customHeight="1">
      <c r="A15" s="396"/>
      <c r="B15" s="397"/>
      <c r="C15" s="398"/>
      <c r="D15" s="398"/>
      <c r="E15" s="399"/>
      <c r="F15" s="400"/>
      <c r="G15" s="981" t="s">
        <v>933</v>
      </c>
      <c r="H15" s="964"/>
      <c r="I15" s="964"/>
      <c r="J15" s="360">
        <v>340746</v>
      </c>
      <c r="K15" s="977"/>
      <c r="L15" s="963" t="s">
        <v>940</v>
      </c>
      <c r="M15" s="964"/>
      <c r="N15" s="964"/>
      <c r="O15" s="964"/>
      <c r="P15" s="391">
        <v>750000</v>
      </c>
      <c r="Q15" s="1111"/>
      <c r="R15" s="982" t="s">
        <v>896</v>
      </c>
      <c r="S15" s="983"/>
      <c r="T15" s="983"/>
      <c r="U15" s="983"/>
      <c r="V15" s="401">
        <f>4247600+1146852</f>
        <v>5394452</v>
      </c>
      <c r="W15" s="972"/>
      <c r="X15" s="381"/>
      <c r="Y15" s="382"/>
      <c r="Z15" s="372"/>
      <c r="AA15" s="383"/>
      <c r="AB15" s="384"/>
      <c r="AC15" s="385"/>
    </row>
    <row r="16" spans="1:29" s="347" customFormat="1" ht="25.5" customHeight="1">
      <c r="A16" s="396"/>
      <c r="B16" s="397"/>
      <c r="C16" s="398"/>
      <c r="D16" s="398"/>
      <c r="E16" s="399"/>
      <c r="F16" s="400"/>
      <c r="G16" s="981" t="s">
        <v>1002</v>
      </c>
      <c r="H16" s="964"/>
      <c r="I16" s="964"/>
      <c r="J16" s="360">
        <v>4556666</v>
      </c>
      <c r="K16" s="977"/>
      <c r="L16" s="963"/>
      <c r="M16" s="964"/>
      <c r="N16" s="964"/>
      <c r="O16" s="964"/>
      <c r="P16" s="360"/>
      <c r="Q16" s="1111"/>
      <c r="R16" s="982" t="s">
        <v>894</v>
      </c>
      <c r="S16" s="983"/>
      <c r="T16" s="983"/>
      <c r="U16" s="983"/>
      <c r="V16" s="401">
        <v>6000</v>
      </c>
      <c r="W16" s="972"/>
      <c r="X16" s="381"/>
      <c r="Y16" s="382"/>
      <c r="Z16" s="372"/>
      <c r="AA16" s="383"/>
      <c r="AB16" s="384"/>
      <c r="AC16" s="385"/>
    </row>
    <row r="17" spans="1:29" s="347" customFormat="1" ht="24.75" customHeight="1">
      <c r="A17" s="396"/>
      <c r="B17" s="397"/>
      <c r="C17" s="398"/>
      <c r="D17" s="398"/>
      <c r="E17" s="399"/>
      <c r="F17" s="400"/>
      <c r="G17" s="963" t="s">
        <v>943</v>
      </c>
      <c r="H17" s="964"/>
      <c r="I17" s="964"/>
      <c r="J17" s="360">
        <v>1614100</v>
      </c>
      <c r="K17" s="977"/>
      <c r="L17" s="982"/>
      <c r="M17" s="983"/>
      <c r="N17" s="983"/>
      <c r="O17" s="983"/>
      <c r="P17" s="389"/>
      <c r="Q17" s="1111"/>
      <c r="R17" s="982" t="s">
        <v>895</v>
      </c>
      <c r="S17" s="983"/>
      <c r="T17" s="983"/>
      <c r="U17" s="983"/>
      <c r="V17" s="401">
        <f>20790707+20000000+6865581+25367102-22851</f>
        <v>73000539</v>
      </c>
      <c r="W17" s="972"/>
      <c r="X17" s="381"/>
      <c r="Y17" s="382"/>
      <c r="Z17" s="372"/>
      <c r="AA17" s="383"/>
      <c r="AB17" s="384"/>
      <c r="AC17" s="385"/>
    </row>
    <row r="18" spans="1:29" s="347" customFormat="1" ht="12.75" customHeight="1">
      <c r="A18" s="396"/>
      <c r="B18" s="397"/>
      <c r="C18" s="398"/>
      <c r="D18" s="398"/>
      <c r="E18" s="399"/>
      <c r="F18" s="400"/>
      <c r="J18" s="402"/>
      <c r="K18" s="977"/>
      <c r="L18" s="982"/>
      <c r="M18" s="983"/>
      <c r="N18" s="983"/>
      <c r="O18" s="983"/>
      <c r="P18" s="391"/>
      <c r="Q18" s="1111"/>
      <c r="R18" s="982" t="s">
        <v>932</v>
      </c>
      <c r="S18" s="983"/>
      <c r="T18" s="983"/>
      <c r="U18" s="983"/>
      <c r="V18" s="401">
        <f>1486017+67767</f>
        <v>1553784</v>
      </c>
      <c r="W18" s="972"/>
      <c r="X18" s="381"/>
      <c r="Y18" s="382"/>
      <c r="Z18" s="372"/>
      <c r="AA18" s="383"/>
      <c r="AB18" s="384"/>
      <c r="AC18" s="385"/>
    </row>
    <row r="19" spans="1:29" s="347" customFormat="1" ht="27" customHeight="1">
      <c r="A19" s="396"/>
      <c r="B19" s="397"/>
      <c r="C19" s="398"/>
      <c r="D19" s="398"/>
      <c r="E19" s="399"/>
      <c r="F19" s="400"/>
      <c r="G19" s="1113"/>
      <c r="H19" s="1003"/>
      <c r="I19" s="1003"/>
      <c r="J19" s="402"/>
      <c r="K19" s="977"/>
      <c r="L19" s="982"/>
      <c r="M19" s="983"/>
      <c r="N19" s="983"/>
      <c r="O19" s="983"/>
      <c r="P19" s="391"/>
      <c r="Q19" s="1111"/>
      <c r="R19" s="963" t="s">
        <v>941</v>
      </c>
      <c r="S19" s="964"/>
      <c r="T19" s="964"/>
      <c r="U19" s="964"/>
      <c r="V19" s="401">
        <v>918587</v>
      </c>
      <c r="W19" s="972"/>
      <c r="X19" s="381"/>
      <c r="Y19" s="382"/>
      <c r="Z19" s="372"/>
      <c r="AA19" s="383"/>
      <c r="AB19" s="384"/>
      <c r="AC19" s="385"/>
    </row>
    <row r="20" spans="1:29" s="347" customFormat="1" ht="26.25" customHeight="1">
      <c r="A20" s="396"/>
      <c r="B20" s="397"/>
      <c r="C20" s="398"/>
      <c r="D20" s="398"/>
      <c r="E20" s="399"/>
      <c r="F20" s="400"/>
      <c r="G20" s="403"/>
      <c r="H20" s="404"/>
      <c r="I20" s="404"/>
      <c r="J20" s="402"/>
      <c r="K20" s="977"/>
      <c r="L20" s="963"/>
      <c r="M20" s="964"/>
      <c r="N20" s="964"/>
      <c r="O20" s="964"/>
      <c r="P20" s="391"/>
      <c r="Q20" s="1111"/>
      <c r="R20" s="963" t="s">
        <v>1001</v>
      </c>
      <c r="S20" s="964"/>
      <c r="T20" s="964"/>
      <c r="U20" s="964"/>
      <c r="V20" s="389">
        <f>14444+42000</f>
        <v>56444</v>
      </c>
      <c r="W20" s="972"/>
      <c r="X20" s="381"/>
      <c r="Y20" s="382"/>
      <c r="Z20" s="372"/>
      <c r="AA20" s="383"/>
      <c r="AB20" s="384"/>
      <c r="AC20" s="385"/>
    </row>
    <row r="21" spans="1:29" s="347" customFormat="1" ht="14.25" customHeight="1" thickBot="1">
      <c r="A21" s="396"/>
      <c r="B21" s="397"/>
      <c r="C21" s="398"/>
      <c r="D21" s="398"/>
      <c r="E21" s="399"/>
      <c r="F21" s="400"/>
      <c r="G21" s="403"/>
      <c r="H21" s="404"/>
      <c r="I21" s="404"/>
      <c r="J21" s="402"/>
      <c r="K21" s="977"/>
      <c r="L21" s="999"/>
      <c r="M21" s="1000"/>
      <c r="N21" s="1000"/>
      <c r="O21" s="1000"/>
      <c r="P21" s="391"/>
      <c r="Q21" s="1112"/>
      <c r="R21" s="963"/>
      <c r="S21" s="964"/>
      <c r="T21" s="964"/>
      <c r="U21" s="964"/>
      <c r="V21" s="389"/>
      <c r="W21" s="972"/>
      <c r="X21" s="381"/>
      <c r="Y21" s="382"/>
      <c r="Z21" s="372"/>
      <c r="AA21" s="383"/>
      <c r="AB21" s="384"/>
      <c r="AC21" s="385"/>
    </row>
    <row r="22" spans="1:29" s="347" customFormat="1" ht="27" customHeight="1">
      <c r="A22" s="396"/>
      <c r="B22" s="397"/>
      <c r="C22" s="398"/>
      <c r="D22" s="398"/>
      <c r="E22" s="399" t="s">
        <v>109</v>
      </c>
      <c r="F22" s="400"/>
      <c r="G22" s="1085"/>
      <c r="H22" s="1086"/>
      <c r="I22" s="1086"/>
      <c r="J22" s="405"/>
      <c r="K22" s="986">
        <f>SUM(J22:J25)</f>
        <v>0</v>
      </c>
      <c r="L22" s="963" t="s">
        <v>931</v>
      </c>
      <c r="M22" s="964"/>
      <c r="N22" s="964"/>
      <c r="O22" s="964"/>
      <c r="P22" s="406">
        <v>3150000</v>
      </c>
      <c r="Q22" s="986">
        <f>SUM(P22:P25)</f>
        <v>19774629</v>
      </c>
      <c r="R22" s="1118" t="s">
        <v>110</v>
      </c>
      <c r="S22" s="1119"/>
      <c r="T22" s="1119"/>
      <c r="U22" s="1119"/>
      <c r="V22" s="612">
        <f>287999375-44651334-20303278-30534250+9314000+500000+7102216-1172953-1614100-500000+33742913-4556666-5138000-10181701-767984-9374887</f>
        <v>209863351</v>
      </c>
      <c r="W22" s="971">
        <f>SUM(V22:V25)</f>
        <v>229904003</v>
      </c>
      <c r="X22" s="381"/>
      <c r="Y22" s="382"/>
      <c r="Z22" s="372"/>
      <c r="AA22" s="383"/>
      <c r="AB22" s="384"/>
      <c r="AC22" s="385"/>
    </row>
    <row r="23" spans="1:29" s="347" customFormat="1" ht="48.75" customHeight="1">
      <c r="A23" s="396"/>
      <c r="B23" s="397"/>
      <c r="C23" s="398"/>
      <c r="D23" s="398"/>
      <c r="E23" s="399"/>
      <c r="F23" s="400"/>
      <c r="G23" s="403"/>
      <c r="H23" s="404"/>
      <c r="I23" s="404"/>
      <c r="J23" s="407"/>
      <c r="K23" s="977"/>
      <c r="L23" s="963" t="s">
        <v>1065</v>
      </c>
      <c r="M23" s="964"/>
      <c r="N23" s="964"/>
      <c r="O23" s="964"/>
      <c r="P23" s="605">
        <f>2500000+5000000+6019000</f>
        <v>13519000</v>
      </c>
      <c r="Q23" s="1108"/>
      <c r="R23" s="965" t="s">
        <v>888</v>
      </c>
      <c r="S23" s="966"/>
      <c r="T23" s="966"/>
      <c r="U23" s="966"/>
      <c r="V23" s="610">
        <f>15391652+4649000</f>
        <v>20040652</v>
      </c>
      <c r="W23" s="1117"/>
      <c r="X23" s="381"/>
      <c r="Y23" s="382"/>
      <c r="Z23" s="372"/>
      <c r="AA23" s="383"/>
      <c r="AB23" s="384"/>
      <c r="AC23" s="385"/>
    </row>
    <row r="24" spans="1:29" s="347" customFormat="1" ht="16.5" customHeight="1">
      <c r="A24" s="396"/>
      <c r="B24" s="397"/>
      <c r="C24" s="398"/>
      <c r="D24" s="398"/>
      <c r="E24" s="399"/>
      <c r="F24" s="400"/>
      <c r="G24" s="403"/>
      <c r="H24" s="404"/>
      <c r="I24" s="404"/>
      <c r="J24" s="407"/>
      <c r="K24" s="977"/>
      <c r="L24" s="982" t="s">
        <v>937</v>
      </c>
      <c r="M24" s="983"/>
      <c r="N24" s="983"/>
      <c r="O24" s="983"/>
      <c r="P24" s="391">
        <v>1707563</v>
      </c>
      <c r="Q24" s="1108"/>
      <c r="R24" s="965"/>
      <c r="S24" s="966"/>
      <c r="T24" s="966"/>
      <c r="U24" s="966"/>
      <c r="V24" s="610"/>
      <c r="W24" s="1117"/>
      <c r="X24" s="381"/>
      <c r="Y24" s="382"/>
      <c r="Z24" s="372"/>
      <c r="AA24" s="383"/>
      <c r="AB24" s="384"/>
      <c r="AC24" s="385"/>
    </row>
    <row r="25" spans="1:29" s="347" customFormat="1" ht="18.75" customHeight="1" thickBot="1">
      <c r="A25" s="615"/>
      <c r="B25" s="397"/>
      <c r="C25" s="398"/>
      <c r="D25" s="398"/>
      <c r="E25" s="399"/>
      <c r="F25" s="400"/>
      <c r="G25" s="1113"/>
      <c r="H25" s="1003"/>
      <c r="I25" s="1003"/>
      <c r="J25" s="407"/>
      <c r="K25" s="977"/>
      <c r="L25" s="982" t="s">
        <v>939</v>
      </c>
      <c r="M25" s="983"/>
      <c r="N25" s="983"/>
      <c r="O25" s="983"/>
      <c r="P25" s="391">
        <v>1398066</v>
      </c>
      <c r="Q25" s="1108"/>
      <c r="R25" s="965"/>
      <c r="S25" s="966"/>
      <c r="T25" s="966"/>
      <c r="U25" s="966"/>
      <c r="V25" s="610"/>
      <c r="W25" s="1117"/>
      <c r="X25" s="381"/>
      <c r="Y25" s="382"/>
      <c r="Z25" s="372"/>
      <c r="AA25" s="383"/>
      <c r="AB25" s="384"/>
      <c r="AC25" s="385"/>
    </row>
    <row r="26" spans="1:29" s="347" customFormat="1" ht="18" customHeight="1" thickTop="1">
      <c r="A26" s="616"/>
      <c r="B26" s="408"/>
      <c r="C26" s="409"/>
      <c r="D26" s="409"/>
      <c r="E26" s="410"/>
      <c r="F26" s="411"/>
      <c r="G26" s="1122" t="s">
        <v>1004</v>
      </c>
      <c r="H26" s="1088"/>
      <c r="I26" s="1088"/>
      <c r="J26" s="618">
        <f>5080+16104</f>
        <v>21184</v>
      </c>
      <c r="K26" s="976">
        <f>SUM(J26:J27)</f>
        <v>18154222</v>
      </c>
      <c r="L26" s="1087" t="s">
        <v>579</v>
      </c>
      <c r="M26" s="1088"/>
      <c r="N26" s="1088"/>
      <c r="O26" s="1088"/>
      <c r="P26" s="606">
        <v>29505024</v>
      </c>
      <c r="Q26" s="976">
        <f>SUM(P26:P27)</f>
        <v>33943274</v>
      </c>
      <c r="R26" s="967" t="s">
        <v>895</v>
      </c>
      <c r="S26" s="968"/>
      <c r="T26" s="968"/>
      <c r="U26" s="968"/>
      <c r="V26" s="799">
        <v>22851</v>
      </c>
      <c r="W26" s="969">
        <f>SUM(V26)</f>
        <v>22851</v>
      </c>
      <c r="X26" s="413"/>
      <c r="Y26" s="414"/>
      <c r="Z26" s="415"/>
      <c r="AA26" s="416"/>
      <c r="AB26" s="417"/>
      <c r="AC26" s="418"/>
    </row>
    <row r="27" spans="1:29" ht="30" customHeight="1" thickBot="1">
      <c r="A27" s="617"/>
      <c r="B27" s="1082" t="s">
        <v>111</v>
      </c>
      <c r="C27" s="1083"/>
      <c r="D27" s="419">
        <f>SUM('5. kiadások megbontása'!J58)</f>
        <v>47334244</v>
      </c>
      <c r="E27" s="420">
        <f>SUM('5. kiadások megbontása'!K58)</f>
        <v>342773</v>
      </c>
      <c r="F27" s="421">
        <f>SUM(D27:E27)</f>
        <v>47677017</v>
      </c>
      <c r="G27" s="1114" t="s">
        <v>1005</v>
      </c>
      <c r="H27" s="1115"/>
      <c r="I27" s="1115"/>
      <c r="J27" s="798">
        <v>18133038</v>
      </c>
      <c r="K27" s="1109"/>
      <c r="L27" s="987" t="s">
        <v>702</v>
      </c>
      <c r="M27" s="988"/>
      <c r="N27" s="988"/>
      <c r="O27" s="988"/>
      <c r="P27" s="607">
        <f>7951337+4438250-7951337</f>
        <v>4438250</v>
      </c>
      <c r="Q27" s="1109"/>
      <c r="R27" s="987"/>
      <c r="S27" s="988"/>
      <c r="T27" s="988"/>
      <c r="U27" s="988"/>
      <c r="V27" s="422"/>
      <c r="W27" s="970"/>
      <c r="X27" s="423">
        <f>SUM(W26,Q26,K26)</f>
        <v>52120347</v>
      </c>
      <c r="Y27" s="424">
        <v>0</v>
      </c>
      <c r="Z27" s="425">
        <f>SUM(X27:Y27)</f>
        <v>52120347</v>
      </c>
      <c r="AA27" s="423">
        <f>X27-D27</f>
        <v>4786103</v>
      </c>
      <c r="AB27" s="424">
        <f>Y27-E27</f>
        <v>-342773</v>
      </c>
      <c r="AC27" s="426">
        <f>SUM(AA27:AB27)</f>
        <v>4443330</v>
      </c>
    </row>
    <row r="28" spans="1:29" ht="18" customHeight="1" thickTop="1">
      <c r="A28" s="427"/>
      <c r="B28" s="399"/>
      <c r="C28" s="428"/>
      <c r="D28" s="429"/>
      <c r="E28" s="429"/>
      <c r="F28" s="400"/>
      <c r="G28" s="403"/>
      <c r="H28" s="404"/>
      <c r="I28" s="404"/>
      <c r="J28" s="430"/>
      <c r="K28" s="976">
        <f>SUM(J28:J30)</f>
        <v>0</v>
      </c>
      <c r="L28" s="974" t="s">
        <v>129</v>
      </c>
      <c r="M28" s="975"/>
      <c r="N28" s="975"/>
      <c r="O28" s="975"/>
      <c r="P28" s="360">
        <v>2000000</v>
      </c>
      <c r="Q28" s="976">
        <f>SUM(P28:P30)</f>
        <v>19113843</v>
      </c>
      <c r="R28" s="965" t="s">
        <v>890</v>
      </c>
      <c r="S28" s="966"/>
      <c r="T28" s="966"/>
      <c r="U28" s="966"/>
      <c r="V28" s="610">
        <v>7400000</v>
      </c>
      <c r="W28" s="1120">
        <f>SUM(V28:V30)</f>
        <v>15847105</v>
      </c>
      <c r="X28" s="431"/>
      <c r="Y28" s="432"/>
      <c r="Z28" s="433"/>
      <c r="AA28" s="431"/>
      <c r="AB28" s="432"/>
      <c r="AC28" s="411"/>
    </row>
    <row r="29" spans="1:29" ht="24" customHeight="1">
      <c r="A29" s="427"/>
      <c r="B29" s="399"/>
      <c r="C29" s="428"/>
      <c r="D29" s="429"/>
      <c r="E29" s="399"/>
      <c r="F29" s="400"/>
      <c r="G29" s="403"/>
      <c r="H29" s="404"/>
      <c r="I29" s="404"/>
      <c r="J29" s="430"/>
      <c r="K29" s="977"/>
      <c r="L29" s="963" t="s">
        <v>999</v>
      </c>
      <c r="M29" s="964"/>
      <c r="N29" s="964"/>
      <c r="O29" s="964"/>
      <c r="P29" s="360">
        <v>16135642</v>
      </c>
      <c r="Q29" s="977"/>
      <c r="R29" s="963" t="s">
        <v>891</v>
      </c>
      <c r="S29" s="964"/>
      <c r="T29" s="964"/>
      <c r="U29" s="964"/>
      <c r="V29" s="610">
        <f>6500000+1755000</f>
        <v>8255000</v>
      </c>
      <c r="W29" s="1108"/>
      <c r="X29" s="797"/>
      <c r="Y29" s="429"/>
      <c r="Z29" s="399"/>
      <c r="AA29" s="453"/>
      <c r="AB29" s="429"/>
      <c r="AC29" s="400"/>
    </row>
    <row r="30" spans="1:29" ht="17.25" customHeight="1" thickBot="1">
      <c r="A30" s="1020" t="s">
        <v>544</v>
      </c>
      <c r="B30" s="1021"/>
      <c r="C30" s="1022"/>
      <c r="D30" s="434">
        <f>SUM('5. kiadások megbontása'!G58)</f>
        <v>83401107</v>
      </c>
      <c r="E30" s="379">
        <f>SUM('5. kiadások megbontása'!H58)</f>
        <v>330628266</v>
      </c>
      <c r="F30" s="380">
        <f>SUM(D30:E30)</f>
        <v>414029373</v>
      </c>
      <c r="G30" s="435"/>
      <c r="H30" s="363"/>
      <c r="I30" s="363"/>
      <c r="J30" s="391"/>
      <c r="K30" s="977"/>
      <c r="L30" s="963" t="s">
        <v>998</v>
      </c>
      <c r="M30" s="964"/>
      <c r="N30" s="964"/>
      <c r="O30" s="964"/>
      <c r="P30" s="360">
        <v>978201</v>
      </c>
      <c r="Q30" s="978"/>
      <c r="R30" s="999" t="s">
        <v>1043</v>
      </c>
      <c r="S30" s="1000"/>
      <c r="T30" s="1000"/>
      <c r="U30" s="1000"/>
      <c r="V30" s="608">
        <f>90000+77805+24300</f>
        <v>192105</v>
      </c>
      <c r="W30" s="1121"/>
      <c r="X30" s="436">
        <f>SUM(W28,Q28,K28)</f>
        <v>34960948</v>
      </c>
      <c r="Y30" s="393">
        <f>SUM(Q31,W31,K31)</f>
        <v>313781207</v>
      </c>
      <c r="Z30" s="394">
        <f>SUM(X30:Y30)</f>
        <v>348742155</v>
      </c>
      <c r="AA30" s="392">
        <f>X30-D30</f>
        <v>-48440159</v>
      </c>
      <c r="AB30" s="393">
        <f>Y30-E30</f>
        <v>-16847059</v>
      </c>
      <c r="AC30" s="395">
        <f>SUM(AA30:AB30)</f>
        <v>-65287218</v>
      </c>
    </row>
    <row r="31" spans="1:29" ht="25.5" customHeight="1">
      <c r="A31" s="727"/>
      <c r="B31" s="376"/>
      <c r="C31" s="377"/>
      <c r="D31" s="434"/>
      <c r="E31" s="379"/>
      <c r="F31" s="380"/>
      <c r="G31" s="728"/>
      <c r="H31" s="729"/>
      <c r="I31" s="729"/>
      <c r="J31" s="406"/>
      <c r="K31" s="986">
        <f>SUM(J34:J34)</f>
        <v>0</v>
      </c>
      <c r="L31" s="984" t="s">
        <v>904</v>
      </c>
      <c r="M31" s="985"/>
      <c r="N31" s="985"/>
      <c r="O31" s="985"/>
      <c r="P31" s="609">
        <v>3000000</v>
      </c>
      <c r="Q31" s="986">
        <f>SUM(P31:P34)</f>
        <v>296034207</v>
      </c>
      <c r="R31" s="979" t="s">
        <v>888</v>
      </c>
      <c r="S31" s="980"/>
      <c r="T31" s="980"/>
      <c r="U31" s="980"/>
      <c r="V31" s="800">
        <v>17747000</v>
      </c>
      <c r="W31" s="971">
        <f>SUM(V31)</f>
        <v>17747000</v>
      </c>
      <c r="X31" s="437"/>
      <c r="Y31" s="393"/>
      <c r="Z31" s="394"/>
      <c r="AA31" s="392"/>
      <c r="AB31" s="393"/>
      <c r="AC31" s="395"/>
    </row>
    <row r="32" spans="1:29" ht="53.25" customHeight="1">
      <c r="A32" s="727"/>
      <c r="B32" s="376"/>
      <c r="C32" s="377"/>
      <c r="D32" s="434"/>
      <c r="E32" s="379"/>
      <c r="F32" s="380"/>
      <c r="G32" s="435"/>
      <c r="H32" s="363"/>
      <c r="I32" s="363"/>
      <c r="J32" s="391"/>
      <c r="K32" s="977"/>
      <c r="L32" s="963" t="s">
        <v>1066</v>
      </c>
      <c r="M32" s="964"/>
      <c r="N32" s="964"/>
      <c r="O32" s="964"/>
      <c r="P32" s="360">
        <f>242560000+3832400+17861888</f>
        <v>264254288</v>
      </c>
      <c r="Q32" s="977"/>
      <c r="R32" s="574"/>
      <c r="S32" s="730"/>
      <c r="T32" s="730"/>
      <c r="U32" s="730"/>
      <c r="V32" s="610"/>
      <c r="W32" s="972"/>
      <c r="X32" s="437"/>
      <c r="Y32" s="393"/>
      <c r="Z32" s="394"/>
      <c r="AA32" s="392"/>
      <c r="AB32" s="393"/>
      <c r="AC32" s="395"/>
    </row>
    <row r="33" spans="1:29" ht="25.5" customHeight="1">
      <c r="A33" s="727"/>
      <c r="B33" s="376"/>
      <c r="C33" s="377"/>
      <c r="D33" s="434"/>
      <c r="E33" s="379"/>
      <c r="F33" s="380"/>
      <c r="G33" s="435"/>
      <c r="H33" s="363"/>
      <c r="I33" s="363"/>
      <c r="J33" s="391"/>
      <c r="K33" s="977"/>
      <c r="L33" s="963" t="s">
        <v>1000</v>
      </c>
      <c r="M33" s="964"/>
      <c r="N33" s="964"/>
      <c r="O33" s="964"/>
      <c r="P33" s="360">
        <v>19779919</v>
      </c>
      <c r="Q33" s="977"/>
      <c r="R33" s="574"/>
      <c r="S33" s="730"/>
      <c r="T33" s="730"/>
      <c r="U33" s="730"/>
      <c r="V33" s="610"/>
      <c r="W33" s="972"/>
      <c r="X33" s="437"/>
      <c r="Y33" s="393"/>
      <c r="Z33" s="394"/>
      <c r="AA33" s="392"/>
      <c r="AB33" s="393"/>
      <c r="AC33" s="395"/>
    </row>
    <row r="34" spans="1:29" ht="27" customHeight="1" thickBot="1">
      <c r="A34" s="1020"/>
      <c r="B34" s="1021"/>
      <c r="C34" s="1022"/>
      <c r="D34" s="434"/>
      <c r="E34" s="379"/>
      <c r="F34" s="380"/>
      <c r="G34" s="981"/>
      <c r="H34" s="964"/>
      <c r="I34" s="964"/>
      <c r="J34" s="743"/>
      <c r="K34" s="978"/>
      <c r="L34" s="999" t="s">
        <v>934</v>
      </c>
      <c r="M34" s="1000"/>
      <c r="N34" s="1000"/>
      <c r="O34" s="1000"/>
      <c r="P34" s="744">
        <v>9000000</v>
      </c>
      <c r="Q34" s="978"/>
      <c r="R34" s="1116"/>
      <c r="S34" s="1037"/>
      <c r="T34" s="1037"/>
      <c r="U34" s="1037"/>
      <c r="V34" s="745"/>
      <c r="W34" s="973"/>
      <c r="X34" s="437"/>
      <c r="Y34" s="438"/>
      <c r="Z34" s="394"/>
      <c r="AA34" s="392"/>
      <c r="AB34" s="393"/>
      <c r="AC34" s="385"/>
    </row>
    <row r="35" spans="1:29" ht="25.5" customHeight="1" thickBot="1">
      <c r="A35" s="1050" t="s">
        <v>112</v>
      </c>
      <c r="B35" s="1051"/>
      <c r="C35" s="1052"/>
      <c r="D35" s="578">
        <f>SUM(D9:D34)</f>
        <v>867963613</v>
      </c>
      <c r="E35" s="579">
        <f>SUM(E8:E34)</f>
        <v>427481662</v>
      </c>
      <c r="F35" s="580">
        <f>SUM(F8:F34)</f>
        <v>1295445275</v>
      </c>
      <c r="G35" s="519"/>
      <c r="H35" s="1053" t="s">
        <v>113</v>
      </c>
      <c r="I35" s="1054"/>
      <c r="J35" s="1084"/>
      <c r="K35" s="439">
        <f>SUM(K8:K31)</f>
        <v>208737195</v>
      </c>
      <c r="L35" s="440"/>
      <c r="M35" s="991" t="s">
        <v>114</v>
      </c>
      <c r="N35" s="991"/>
      <c r="O35" s="991"/>
      <c r="P35" s="992"/>
      <c r="Q35" s="439">
        <f>SUM(Q8:Q31)</f>
        <v>557753281</v>
      </c>
      <c r="R35" s="440"/>
      <c r="S35" s="991" t="s">
        <v>115</v>
      </c>
      <c r="T35" s="991"/>
      <c r="U35" s="991"/>
      <c r="V35" s="992"/>
      <c r="W35" s="439">
        <f>SUM(W8:W33)</f>
        <v>553128568</v>
      </c>
      <c r="X35" s="441">
        <f>SUM(X8:X34)</f>
        <v>756159205</v>
      </c>
      <c r="Y35" s="442">
        <f>SUM(Y8:Y34)</f>
        <v>563459839</v>
      </c>
      <c r="Z35" s="443">
        <f>SUM(X35:Y35)</f>
        <v>1319619044</v>
      </c>
      <c r="AA35" s="444">
        <f>SUM(AA11:AA34)</f>
        <v>-111804408</v>
      </c>
      <c r="AB35" s="445">
        <f>SUM(AB10:AB34)</f>
        <v>135978177</v>
      </c>
      <c r="AC35" s="446">
        <f>SUM(AA35:AB35)</f>
        <v>24173769</v>
      </c>
    </row>
    <row r="36" spans="1:29" ht="27.75" customHeight="1" thickBot="1" thickTop="1">
      <c r="A36" s="1016" t="s">
        <v>116</v>
      </c>
      <c r="B36" s="1067"/>
      <c r="C36" s="1068"/>
      <c r="D36" s="1027" t="s">
        <v>398</v>
      </c>
      <c r="E36" s="1028"/>
      <c r="F36" s="1029"/>
      <c r="G36" s="1030" t="s">
        <v>571</v>
      </c>
      <c r="H36" s="1072"/>
      <c r="I36" s="1072"/>
      <c r="J36" s="1072"/>
      <c r="K36" s="1073"/>
      <c r="L36" s="993" t="s">
        <v>572</v>
      </c>
      <c r="M36" s="1072"/>
      <c r="N36" s="1072"/>
      <c r="O36" s="1072"/>
      <c r="P36" s="1072"/>
      <c r="Q36" s="1073"/>
      <c r="R36" s="993" t="s">
        <v>573</v>
      </c>
      <c r="S36" s="1072"/>
      <c r="T36" s="1072"/>
      <c r="U36" s="1072"/>
      <c r="V36" s="1072"/>
      <c r="W36" s="1091"/>
      <c r="X36" s="1064" t="s">
        <v>574</v>
      </c>
      <c r="Y36" s="1065"/>
      <c r="Z36" s="1093"/>
      <c r="AA36" s="1090" t="s">
        <v>105</v>
      </c>
      <c r="AB36" s="1059"/>
      <c r="AC36" s="1060"/>
    </row>
    <row r="37" spans="1:223" s="449" customFormat="1" ht="18.75" customHeight="1" thickBot="1" thickTop="1">
      <c r="A37" s="1069"/>
      <c r="B37" s="1070"/>
      <c r="C37" s="1071"/>
      <c r="D37" s="552" t="s">
        <v>106</v>
      </c>
      <c r="E37" s="553" t="s">
        <v>102</v>
      </c>
      <c r="F37" s="350" t="s">
        <v>107</v>
      </c>
      <c r="G37" s="1074"/>
      <c r="H37" s="1075"/>
      <c r="I37" s="1075"/>
      <c r="J37" s="1076"/>
      <c r="K37" s="1077"/>
      <c r="L37" s="1078"/>
      <c r="M37" s="1075"/>
      <c r="N37" s="1075"/>
      <c r="O37" s="1075"/>
      <c r="P37" s="1075"/>
      <c r="Q37" s="1077"/>
      <c r="R37" s="1078"/>
      <c r="S37" s="1075"/>
      <c r="T37" s="1075"/>
      <c r="U37" s="1075"/>
      <c r="V37" s="1075"/>
      <c r="W37" s="1092"/>
      <c r="X37" s="554" t="s">
        <v>106</v>
      </c>
      <c r="Y37" s="558" t="s">
        <v>102</v>
      </c>
      <c r="Z37" s="447" t="s">
        <v>107</v>
      </c>
      <c r="AA37" s="553" t="s">
        <v>106</v>
      </c>
      <c r="AB37" s="559" t="s">
        <v>102</v>
      </c>
      <c r="AC37" s="354" t="s">
        <v>107</v>
      </c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7"/>
      <c r="DM37" s="347"/>
      <c r="DN37" s="347"/>
      <c r="DO37" s="347"/>
      <c r="DP37" s="347"/>
      <c r="DQ37" s="347"/>
      <c r="DR37" s="347"/>
      <c r="DS37" s="347"/>
      <c r="DT37" s="347"/>
      <c r="DU37" s="347"/>
      <c r="DV37" s="347"/>
      <c r="DW37" s="347"/>
      <c r="DX37" s="347"/>
      <c r="DY37" s="347"/>
      <c r="DZ37" s="347"/>
      <c r="EA37" s="347"/>
      <c r="EB37" s="347"/>
      <c r="EC37" s="347"/>
      <c r="ED37" s="347"/>
      <c r="EE37" s="347"/>
      <c r="EF37" s="347"/>
      <c r="EG37" s="347"/>
      <c r="EH37" s="347"/>
      <c r="EI37" s="347"/>
      <c r="EJ37" s="347"/>
      <c r="EK37" s="347"/>
      <c r="EL37" s="347"/>
      <c r="EM37" s="347"/>
      <c r="EN37" s="347"/>
      <c r="EO37" s="347"/>
      <c r="EP37" s="347"/>
      <c r="EQ37" s="347"/>
      <c r="ER37" s="347"/>
      <c r="ES37" s="347"/>
      <c r="ET37" s="347"/>
      <c r="EU37" s="347"/>
      <c r="EV37" s="347"/>
      <c r="EW37" s="347"/>
      <c r="EX37" s="347"/>
      <c r="EY37" s="347"/>
      <c r="EZ37" s="347"/>
      <c r="FA37" s="347"/>
      <c r="FB37" s="347"/>
      <c r="FC37" s="347"/>
      <c r="FD37" s="347"/>
      <c r="FE37" s="347"/>
      <c r="FF37" s="347"/>
      <c r="FG37" s="347"/>
      <c r="FH37" s="347"/>
      <c r="FI37" s="347"/>
      <c r="FJ37" s="347"/>
      <c r="FK37" s="347"/>
      <c r="FL37" s="347"/>
      <c r="FM37" s="347"/>
      <c r="FN37" s="347"/>
      <c r="FO37" s="347"/>
      <c r="FP37" s="347"/>
      <c r="FQ37" s="347"/>
      <c r="FR37" s="347"/>
      <c r="FS37" s="347"/>
      <c r="FT37" s="347"/>
      <c r="FU37" s="347"/>
      <c r="FV37" s="347"/>
      <c r="FW37" s="347"/>
      <c r="FX37" s="347"/>
      <c r="FY37" s="347"/>
      <c r="FZ37" s="347"/>
      <c r="GA37" s="347"/>
      <c r="GB37" s="347"/>
      <c r="GC37" s="347"/>
      <c r="GD37" s="347"/>
      <c r="GE37" s="347"/>
      <c r="GF37" s="347"/>
      <c r="GG37" s="347"/>
      <c r="GH37" s="347"/>
      <c r="GI37" s="347"/>
      <c r="GJ37" s="347"/>
      <c r="GK37" s="347"/>
      <c r="GL37" s="347"/>
      <c r="GM37" s="347"/>
      <c r="GN37" s="347"/>
      <c r="GO37" s="347"/>
      <c r="GP37" s="347"/>
      <c r="GQ37" s="347"/>
      <c r="GR37" s="347"/>
      <c r="GS37" s="347"/>
      <c r="GT37" s="347"/>
      <c r="GU37" s="347"/>
      <c r="GV37" s="347"/>
      <c r="GW37" s="347"/>
      <c r="GX37" s="347"/>
      <c r="GY37" s="347"/>
      <c r="GZ37" s="347"/>
      <c r="HA37" s="347"/>
      <c r="HB37" s="347"/>
      <c r="HC37" s="347"/>
      <c r="HD37" s="347"/>
      <c r="HE37" s="347"/>
      <c r="HF37" s="347"/>
      <c r="HG37" s="347"/>
      <c r="HH37" s="347"/>
      <c r="HI37" s="347"/>
      <c r="HJ37" s="347"/>
      <c r="HK37" s="347"/>
      <c r="HL37" s="347"/>
      <c r="HM37" s="347"/>
      <c r="HN37" s="347"/>
      <c r="HO37" s="347"/>
    </row>
    <row r="38" spans="1:29" ht="12.75" customHeight="1">
      <c r="A38" s="355"/>
      <c r="B38" s="399"/>
      <c r="C38" s="399"/>
      <c r="D38" s="429"/>
      <c r="E38" s="399"/>
      <c r="F38" s="359"/>
      <c r="G38" s="1023"/>
      <c r="H38" s="968"/>
      <c r="I38" s="968"/>
      <c r="J38" s="581"/>
      <c r="K38" s="1079">
        <f>SUM(J38:J43)</f>
        <v>121954551</v>
      </c>
      <c r="L38" s="984" t="s">
        <v>887</v>
      </c>
      <c r="M38" s="985"/>
      <c r="N38" s="985"/>
      <c r="O38" s="985"/>
      <c r="P38" s="1080">
        <v>12210000</v>
      </c>
      <c r="Q38" s="986">
        <f>SUM(P38:P43)</f>
        <v>13075380</v>
      </c>
      <c r="R38" s="982"/>
      <c r="S38" s="983"/>
      <c r="T38" s="983"/>
      <c r="U38" s="983"/>
      <c r="V38" s="360"/>
      <c r="W38" s="971">
        <f>SUM(V38:V43)</f>
        <v>5320739</v>
      </c>
      <c r="X38" s="450"/>
      <c r="Y38" s="451"/>
      <c r="Z38" s="452"/>
      <c r="AA38" s="355"/>
      <c r="AB38" s="373"/>
      <c r="AC38" s="374"/>
    </row>
    <row r="39" spans="1:29" ht="12.75" customHeight="1">
      <c r="A39" s="453"/>
      <c r="B39" s="397"/>
      <c r="C39" s="397"/>
      <c r="D39" s="454"/>
      <c r="E39" s="399"/>
      <c r="F39" s="400"/>
      <c r="G39" s="1001" t="s">
        <v>518</v>
      </c>
      <c r="H39" s="983"/>
      <c r="I39" s="983"/>
      <c r="J39" s="582">
        <v>121278400</v>
      </c>
      <c r="K39" s="977"/>
      <c r="L39" s="963"/>
      <c r="M39" s="964"/>
      <c r="N39" s="964"/>
      <c r="O39" s="964"/>
      <c r="P39" s="1081"/>
      <c r="Q39" s="977"/>
      <c r="R39" s="982" t="s">
        <v>580</v>
      </c>
      <c r="S39" s="983"/>
      <c r="T39" s="983"/>
      <c r="U39" s="983"/>
      <c r="V39" s="360">
        <v>10000</v>
      </c>
      <c r="W39" s="972"/>
      <c r="X39" s="455"/>
      <c r="Y39" s="382"/>
      <c r="Z39" s="372"/>
      <c r="AA39" s="383"/>
      <c r="AB39" s="384"/>
      <c r="AC39" s="385"/>
    </row>
    <row r="40" spans="1:29" ht="24.75" customHeight="1">
      <c r="A40" s="453"/>
      <c r="B40" s="1021" t="s">
        <v>543</v>
      </c>
      <c r="C40" s="1022"/>
      <c r="D40" s="434">
        <f>SUM('5. kiadások megbontása'!D62)</f>
        <v>130855085</v>
      </c>
      <c r="E40" s="379">
        <f>SUM('5. kiadások megbontása'!E62)</f>
        <v>500000</v>
      </c>
      <c r="F40" s="380">
        <f>SUM(D40:E40)</f>
        <v>131355085</v>
      </c>
      <c r="G40" s="363" t="s">
        <v>886</v>
      </c>
      <c r="H40" s="363"/>
      <c r="I40" s="363"/>
      <c r="J40" s="582">
        <v>75057</v>
      </c>
      <c r="K40" s="977"/>
      <c r="L40" s="963" t="s">
        <v>131</v>
      </c>
      <c r="M40" s="964"/>
      <c r="N40" s="964"/>
      <c r="O40" s="964"/>
      <c r="P40" s="605">
        <f>225720+50400</f>
        <v>276120</v>
      </c>
      <c r="Q40" s="977"/>
      <c r="R40" s="974" t="s">
        <v>581</v>
      </c>
      <c r="S40" s="975"/>
      <c r="T40" s="975"/>
      <c r="U40" s="975"/>
      <c r="V40" s="603">
        <v>200000</v>
      </c>
      <c r="W40" s="972"/>
      <c r="X40" s="455">
        <f>SUM(W38,Q38,K38)</f>
        <v>140350670</v>
      </c>
      <c r="Y40" s="382">
        <v>0</v>
      </c>
      <c r="Z40" s="394">
        <f>SUM(Y40,X40)</f>
        <v>140350670</v>
      </c>
      <c r="AA40" s="392">
        <f>X40-D40</f>
        <v>9495585</v>
      </c>
      <c r="AB40" s="393">
        <f>Y40-E40</f>
        <v>-500000</v>
      </c>
      <c r="AC40" s="385">
        <f>SUM(AA40:AB40)</f>
        <v>8995585</v>
      </c>
    </row>
    <row r="41" spans="1:29" ht="12.75" customHeight="1">
      <c r="A41" s="453"/>
      <c r="B41" s="397"/>
      <c r="C41" s="397"/>
      <c r="D41" s="456"/>
      <c r="E41" s="457"/>
      <c r="F41" s="458"/>
      <c r="G41" s="981" t="s">
        <v>933</v>
      </c>
      <c r="H41" s="964"/>
      <c r="I41" s="964"/>
      <c r="J41" s="582">
        <v>601094</v>
      </c>
      <c r="K41" s="977"/>
      <c r="L41" s="963" t="s">
        <v>1044</v>
      </c>
      <c r="M41" s="964"/>
      <c r="N41" s="964"/>
      <c r="O41" s="964"/>
      <c r="P41" s="604">
        <v>589260</v>
      </c>
      <c r="Q41" s="977"/>
      <c r="R41" s="982" t="s">
        <v>582</v>
      </c>
      <c r="S41" s="983"/>
      <c r="T41" s="983"/>
      <c r="U41" s="983"/>
      <c r="V41" s="360">
        <v>4896922</v>
      </c>
      <c r="W41" s="972"/>
      <c r="X41" s="455"/>
      <c r="Y41" s="382"/>
      <c r="Z41" s="372"/>
      <c r="AA41" s="383"/>
      <c r="AB41" s="384"/>
      <c r="AC41" s="385"/>
    </row>
    <row r="42" spans="1:29" ht="14.25" customHeight="1">
      <c r="A42" s="453"/>
      <c r="B42" s="397"/>
      <c r="C42" s="397"/>
      <c r="D42" s="456"/>
      <c r="E42" s="457"/>
      <c r="F42" s="458"/>
      <c r="G42" s="983"/>
      <c r="H42" s="983"/>
      <c r="I42" s="983"/>
      <c r="J42" s="459"/>
      <c r="K42" s="977"/>
      <c r="L42" s="362"/>
      <c r="M42" s="363"/>
      <c r="N42" s="363"/>
      <c r="O42" s="363"/>
      <c r="P42" s="360"/>
      <c r="Q42" s="977"/>
      <c r="R42" s="982" t="s">
        <v>944</v>
      </c>
      <c r="S42" s="983"/>
      <c r="T42" s="983"/>
      <c r="U42" s="983"/>
      <c r="V42" s="360">
        <v>213817</v>
      </c>
      <c r="W42" s="972"/>
      <c r="X42" s="455"/>
      <c r="Y42" s="382"/>
      <c r="Z42" s="372"/>
      <c r="AA42" s="383"/>
      <c r="AB42" s="384"/>
      <c r="AC42" s="385"/>
    </row>
    <row r="43" spans="1:29" ht="12.75" customHeight="1" thickBot="1">
      <c r="A43" s="453"/>
      <c r="B43" s="397"/>
      <c r="C43" s="397"/>
      <c r="D43" s="456"/>
      <c r="E43" s="457"/>
      <c r="F43" s="458"/>
      <c r="K43" s="977"/>
      <c r="L43" s="362"/>
      <c r="M43" s="363" t="s">
        <v>109</v>
      </c>
      <c r="N43" s="363"/>
      <c r="O43" s="363"/>
      <c r="P43" s="360"/>
      <c r="Q43" s="977"/>
      <c r="R43" s="982"/>
      <c r="S43" s="983"/>
      <c r="T43" s="983"/>
      <c r="U43" s="983"/>
      <c r="V43" s="401"/>
      <c r="W43" s="972"/>
      <c r="X43" s="455"/>
      <c r="Y43" s="382"/>
      <c r="Z43" s="372"/>
      <c r="AA43" s="383"/>
      <c r="AB43" s="384"/>
      <c r="AC43" s="385"/>
    </row>
    <row r="44" spans="1:29" ht="16.5" thickBot="1">
      <c r="A44" s="1050" t="s">
        <v>117</v>
      </c>
      <c r="B44" s="1051"/>
      <c r="C44" s="1052"/>
      <c r="D44" s="578">
        <f>SUM(D38:D43)</f>
        <v>130855085</v>
      </c>
      <c r="E44" s="579">
        <f>SUM(E38:E43)</f>
        <v>500000</v>
      </c>
      <c r="F44" s="580">
        <f>SUM(F38:F43)</f>
        <v>131355085</v>
      </c>
      <c r="G44" s="583"/>
      <c r="H44" s="1053" t="s">
        <v>113</v>
      </c>
      <c r="I44" s="1054"/>
      <c r="J44" s="1055"/>
      <c r="K44" s="584">
        <f>SUM(K38:K43)</f>
        <v>121954551</v>
      </c>
      <c r="L44" s="440"/>
      <c r="M44" s="991" t="s">
        <v>114</v>
      </c>
      <c r="N44" s="991"/>
      <c r="O44" s="991"/>
      <c r="P44" s="992"/>
      <c r="Q44" s="584">
        <f>SUM(Q38:Q43)</f>
        <v>13075380</v>
      </c>
      <c r="R44" s="519"/>
      <c r="S44" s="991" t="s">
        <v>115</v>
      </c>
      <c r="T44" s="991"/>
      <c r="U44" s="991"/>
      <c r="V44" s="992"/>
      <c r="W44" s="585">
        <f>SUM(W38:W43)</f>
        <v>5320739</v>
      </c>
      <c r="X44" s="586">
        <f>SUM(X38:X43)</f>
        <v>140350670</v>
      </c>
      <c r="Y44" s="442">
        <v>0</v>
      </c>
      <c r="Z44" s="443">
        <f>SUM(X44:Y44)</f>
        <v>140350670</v>
      </c>
      <c r="AA44" s="444">
        <f>X44-D44</f>
        <v>9495585</v>
      </c>
      <c r="AB44" s="445">
        <f>Y44-E44</f>
        <v>-500000</v>
      </c>
      <c r="AC44" s="587">
        <f>SUM(AA44:AB44)</f>
        <v>8995585</v>
      </c>
    </row>
    <row r="45" spans="1:29" ht="17.25" thickBot="1" thickTop="1">
      <c r="A45" s="461"/>
      <c r="B45" s="462"/>
      <c r="C45" s="462"/>
      <c r="D45" s="463"/>
      <c r="E45" s="464"/>
      <c r="F45" s="465"/>
      <c r="G45" s="464"/>
      <c r="H45" s="464"/>
      <c r="I45" s="466"/>
      <c r="J45" s="466"/>
      <c r="K45" s="467"/>
      <c r="L45" s="468"/>
      <c r="M45" s="464"/>
      <c r="N45" s="464"/>
      <c r="O45" s="464"/>
      <c r="P45" s="464"/>
      <c r="Q45" s="467"/>
      <c r="R45" s="464"/>
      <c r="S45" s="464"/>
      <c r="T45" s="464"/>
      <c r="U45" s="464"/>
      <c r="V45" s="464"/>
      <c r="W45" s="469"/>
      <c r="X45" s="470"/>
      <c r="Y45" s="471"/>
      <c r="Z45" s="472"/>
      <c r="AA45" s="461"/>
      <c r="AB45" s="473"/>
      <c r="AC45" s="474"/>
    </row>
    <row r="46" spans="1:29" ht="14.25" thickBot="1" thickTop="1">
      <c r="A46" s="1016" t="s">
        <v>1031</v>
      </c>
      <c r="B46" s="1017"/>
      <c r="C46" s="1017"/>
      <c r="D46" s="1027" t="s">
        <v>398</v>
      </c>
      <c r="E46" s="1028"/>
      <c r="F46" s="1029"/>
      <c r="G46" s="1030" t="s">
        <v>571</v>
      </c>
      <c r="H46" s="1031"/>
      <c r="I46" s="1031"/>
      <c r="J46" s="1031"/>
      <c r="K46" s="1032"/>
      <c r="L46" s="993" t="s">
        <v>572</v>
      </c>
      <c r="M46" s="994"/>
      <c r="N46" s="994"/>
      <c r="O46" s="994"/>
      <c r="P46" s="994"/>
      <c r="Q46" s="1056"/>
      <c r="R46" s="993" t="s">
        <v>573</v>
      </c>
      <c r="S46" s="994"/>
      <c r="T46" s="994"/>
      <c r="U46" s="994"/>
      <c r="V46" s="994"/>
      <c r="W46" s="995"/>
      <c r="X46" s="1064" t="s">
        <v>574</v>
      </c>
      <c r="Y46" s="1065"/>
      <c r="Z46" s="1065"/>
      <c r="AA46" s="1058" t="s">
        <v>105</v>
      </c>
      <c r="AB46" s="1059"/>
      <c r="AC46" s="1060"/>
    </row>
    <row r="47" spans="1:29" ht="32.25" customHeight="1" thickBot="1">
      <c r="A47" s="1018"/>
      <c r="B47" s="1019"/>
      <c r="C47" s="1019"/>
      <c r="D47" s="552" t="s">
        <v>106</v>
      </c>
      <c r="E47" s="553" t="s">
        <v>102</v>
      </c>
      <c r="F47" s="350" t="s">
        <v>107</v>
      </c>
      <c r="G47" s="1033"/>
      <c r="H47" s="1034"/>
      <c r="I47" s="1034"/>
      <c r="J47" s="1034"/>
      <c r="K47" s="1035"/>
      <c r="L47" s="996"/>
      <c r="M47" s="997"/>
      <c r="N47" s="997"/>
      <c r="O47" s="997"/>
      <c r="P47" s="997"/>
      <c r="Q47" s="1057"/>
      <c r="R47" s="996"/>
      <c r="S47" s="997"/>
      <c r="T47" s="997"/>
      <c r="U47" s="997"/>
      <c r="V47" s="997"/>
      <c r="W47" s="998"/>
      <c r="X47" s="554" t="s">
        <v>106</v>
      </c>
      <c r="Y47" s="555" t="s">
        <v>102</v>
      </c>
      <c r="Z47" s="352" t="s">
        <v>107</v>
      </c>
      <c r="AA47" s="556" t="s">
        <v>106</v>
      </c>
      <c r="AB47" s="557" t="s">
        <v>102</v>
      </c>
      <c r="AC47" s="354" t="s">
        <v>107</v>
      </c>
    </row>
    <row r="48" spans="1:29" ht="15.75" customHeight="1">
      <c r="A48" s="453"/>
      <c r="B48" s="399"/>
      <c r="C48" s="399"/>
      <c r="D48" s="429"/>
      <c r="E48" s="475"/>
      <c r="F48" s="400"/>
      <c r="G48" s="1001" t="s">
        <v>530</v>
      </c>
      <c r="H48" s="983"/>
      <c r="I48" s="983"/>
      <c r="J48" s="391">
        <v>15468533</v>
      </c>
      <c r="K48" s="986">
        <f>SUM(J48:J57)</f>
        <v>205446684</v>
      </c>
      <c r="L48" s="1023" t="s">
        <v>1045</v>
      </c>
      <c r="M48" s="968"/>
      <c r="N48" s="968"/>
      <c r="O48" s="1066"/>
      <c r="P48" s="435">
        <v>583315</v>
      </c>
      <c r="Q48" s="476"/>
      <c r="R48" s="963" t="s">
        <v>583</v>
      </c>
      <c r="S48" s="1063"/>
      <c r="T48" s="1063"/>
      <c r="U48" s="1063"/>
      <c r="V48" s="479">
        <v>1323594</v>
      </c>
      <c r="W48" s="477"/>
      <c r="X48" s="399"/>
      <c r="Y48" s="429"/>
      <c r="Z48" s="478"/>
      <c r="AA48" s="453"/>
      <c r="AB48" s="429"/>
      <c r="AC48" s="374"/>
    </row>
    <row r="49" spans="1:29" ht="25.5" customHeight="1">
      <c r="A49" s="453"/>
      <c r="B49" s="399"/>
      <c r="C49" s="399"/>
      <c r="D49" s="429"/>
      <c r="E49" s="475"/>
      <c r="F49" s="400"/>
      <c r="G49" s="981" t="s">
        <v>700</v>
      </c>
      <c r="H49" s="964"/>
      <c r="I49" s="964"/>
      <c r="J49" s="391">
        <f>106074369</f>
        <v>106074369</v>
      </c>
      <c r="K49" s="977"/>
      <c r="L49" s="1061"/>
      <c r="M49" s="1062"/>
      <c r="N49" s="1062"/>
      <c r="O49" s="1062"/>
      <c r="P49" s="402"/>
      <c r="Q49" s="977">
        <f>SUM(P48:P57)</f>
        <v>583315</v>
      </c>
      <c r="R49" s="982" t="s">
        <v>944</v>
      </c>
      <c r="S49" s="983"/>
      <c r="T49" s="983"/>
      <c r="U49" s="983"/>
      <c r="V49" s="479">
        <v>1486017</v>
      </c>
      <c r="W49" s="972">
        <f>SUM(V48:V56)</f>
        <v>2879611</v>
      </c>
      <c r="X49" s="360"/>
      <c r="Y49" s="384"/>
      <c r="Z49" s="372"/>
      <c r="AA49" s="383"/>
      <c r="AB49" s="384"/>
      <c r="AC49" s="385"/>
    </row>
    <row r="50" spans="1:29" ht="25.5" customHeight="1">
      <c r="A50" s="453"/>
      <c r="B50" s="399"/>
      <c r="C50" s="399"/>
      <c r="D50" s="429"/>
      <c r="E50" s="475"/>
      <c r="F50" s="400"/>
      <c r="G50" s="981" t="s">
        <v>1003</v>
      </c>
      <c r="H50" s="964"/>
      <c r="I50" s="964"/>
      <c r="J50" s="360">
        <v>5138000</v>
      </c>
      <c r="K50" s="977"/>
      <c r="L50" s="575"/>
      <c r="M50" s="576"/>
      <c r="N50" s="576"/>
      <c r="O50" s="576"/>
      <c r="P50" s="402"/>
      <c r="Q50" s="977"/>
      <c r="R50" s="982" t="s">
        <v>370</v>
      </c>
      <c r="S50" s="983"/>
      <c r="T50" s="983"/>
      <c r="U50" s="983"/>
      <c r="V50" s="479">
        <v>70000</v>
      </c>
      <c r="W50" s="972"/>
      <c r="X50" s="360"/>
      <c r="Y50" s="384"/>
      <c r="Z50" s="372"/>
      <c r="AA50" s="383"/>
      <c r="AB50" s="384"/>
      <c r="AC50" s="385"/>
    </row>
    <row r="51" spans="1:29" ht="24.75" customHeight="1">
      <c r="A51" s="453"/>
      <c r="B51" s="399"/>
      <c r="C51" s="399"/>
      <c r="D51" s="429"/>
      <c r="E51" s="475"/>
      <c r="F51" s="400"/>
      <c r="G51" s="981" t="s">
        <v>599</v>
      </c>
      <c r="H51" s="964"/>
      <c r="I51" s="964"/>
      <c r="J51" s="360">
        <f>5300700+767984</f>
        <v>6068684</v>
      </c>
      <c r="K51" s="977"/>
      <c r="L51" s="575"/>
      <c r="M51" s="576"/>
      <c r="N51" s="576"/>
      <c r="O51" s="576"/>
      <c r="P51" s="402"/>
      <c r="Q51" s="977"/>
      <c r="R51" s="574"/>
      <c r="S51" s="577"/>
      <c r="T51" s="577"/>
      <c r="U51" s="577"/>
      <c r="V51" s="479"/>
      <c r="W51" s="972"/>
      <c r="X51" s="360"/>
      <c r="Y51" s="384"/>
      <c r="Z51" s="372"/>
      <c r="AA51" s="383"/>
      <c r="AB51" s="384"/>
      <c r="AC51" s="385"/>
    </row>
    <row r="52" spans="1:29" ht="26.25" customHeight="1">
      <c r="A52" s="1024" t="s">
        <v>543</v>
      </c>
      <c r="B52" s="1025"/>
      <c r="C52" s="1026"/>
      <c r="D52" s="434">
        <f>SUM('5. kiadások megbontása'!D72)</f>
        <v>241323774</v>
      </c>
      <c r="E52" s="379">
        <f>SUM('5. kiadások megbontása'!E72)</f>
        <v>755190</v>
      </c>
      <c r="F52" s="380">
        <f>SUM(D52:E52)</f>
        <v>242078964</v>
      </c>
      <c r="G52" s="981" t="s">
        <v>898</v>
      </c>
      <c r="H52" s="964"/>
      <c r="I52" s="964"/>
      <c r="J52" s="391">
        <v>26440725</v>
      </c>
      <c r="K52" s="977"/>
      <c r="L52" s="427"/>
      <c r="M52" s="399"/>
      <c r="N52" s="399"/>
      <c r="O52" s="399"/>
      <c r="P52" s="399"/>
      <c r="Q52" s="977"/>
      <c r="R52" s="963"/>
      <c r="S52" s="1063"/>
      <c r="T52" s="1063"/>
      <c r="U52" s="1063"/>
      <c r="V52" s="479"/>
      <c r="W52" s="972"/>
      <c r="X52" s="482">
        <f>SUM(W49+Q49+K48)</f>
        <v>208909610</v>
      </c>
      <c r="Y52" s="393">
        <v>0</v>
      </c>
      <c r="Z52" s="394">
        <f>SUM(X52:Y52)</f>
        <v>208909610</v>
      </c>
      <c r="AA52" s="483">
        <f>X52-D52</f>
        <v>-32414164</v>
      </c>
      <c r="AB52" s="393">
        <f>Y52-E52</f>
        <v>-755190</v>
      </c>
      <c r="AC52" s="395">
        <f>SUM(AA52:AB52)</f>
        <v>-33169354</v>
      </c>
    </row>
    <row r="53" spans="1:29" ht="13.5" customHeight="1">
      <c r="A53" s="375"/>
      <c r="B53" s="480"/>
      <c r="C53" s="484"/>
      <c r="D53" s="434"/>
      <c r="E53" s="379"/>
      <c r="F53" s="380"/>
      <c r="G53" s="983" t="s">
        <v>619</v>
      </c>
      <c r="H53" s="983"/>
      <c r="I53" s="983"/>
      <c r="J53" s="391">
        <v>21615046</v>
      </c>
      <c r="K53" s="977"/>
      <c r="L53" s="427"/>
      <c r="M53" s="399"/>
      <c r="N53" s="399"/>
      <c r="O53" s="399"/>
      <c r="P53" s="485"/>
      <c r="Q53" s="977"/>
      <c r="R53" s="982"/>
      <c r="S53" s="983"/>
      <c r="T53" s="983"/>
      <c r="U53" s="983"/>
      <c r="V53" s="479"/>
      <c r="W53" s="972"/>
      <c r="X53" s="455"/>
      <c r="Y53" s="382"/>
      <c r="Z53" s="394"/>
      <c r="AA53" s="392"/>
      <c r="AB53" s="393"/>
      <c r="AC53" s="385"/>
    </row>
    <row r="54" spans="1:29" ht="15" customHeight="1">
      <c r="A54" s="375"/>
      <c r="B54" s="480"/>
      <c r="C54" s="484"/>
      <c r="D54" s="434"/>
      <c r="E54" s="379"/>
      <c r="F54" s="380"/>
      <c r="G54" s="981" t="s">
        <v>727</v>
      </c>
      <c r="H54" s="964"/>
      <c r="I54" s="964"/>
      <c r="J54" s="360">
        <v>6864345</v>
      </c>
      <c r="K54" s="977"/>
      <c r="L54" s="427"/>
      <c r="M54" s="399"/>
      <c r="N54" s="399"/>
      <c r="O54" s="399"/>
      <c r="P54" s="485"/>
      <c r="Q54" s="977"/>
      <c r="R54" s="362"/>
      <c r="S54" s="363"/>
      <c r="T54" s="363"/>
      <c r="U54" s="363"/>
      <c r="V54" s="481"/>
      <c r="W54" s="972"/>
      <c r="X54" s="455"/>
      <c r="Y54" s="382"/>
      <c r="Z54" s="394"/>
      <c r="AA54" s="392"/>
      <c r="AB54" s="393"/>
      <c r="AC54" s="385"/>
    </row>
    <row r="55" spans="1:29" ht="26.25" customHeight="1">
      <c r="A55" s="375"/>
      <c r="B55" s="480"/>
      <c r="C55" s="484"/>
      <c r="D55" s="434"/>
      <c r="E55" s="379"/>
      <c r="F55" s="380"/>
      <c r="G55" s="1049" t="s">
        <v>903</v>
      </c>
      <c r="H55" s="966"/>
      <c r="I55" s="966"/>
      <c r="J55" s="360">
        <v>16800000</v>
      </c>
      <c r="K55" s="977"/>
      <c r="L55" s="427"/>
      <c r="M55" s="399"/>
      <c r="N55" s="399"/>
      <c r="O55" s="399"/>
      <c r="P55" s="485"/>
      <c r="Q55" s="977"/>
      <c r="R55" s="362"/>
      <c r="S55" s="363"/>
      <c r="T55" s="363"/>
      <c r="U55" s="363"/>
      <c r="V55" s="481"/>
      <c r="W55" s="972"/>
      <c r="X55" s="455"/>
      <c r="Y55" s="382"/>
      <c r="Z55" s="394"/>
      <c r="AA55" s="392"/>
      <c r="AB55" s="393"/>
      <c r="AC55" s="385"/>
    </row>
    <row r="56" spans="1:29" ht="15.75" customHeight="1">
      <c r="A56" s="375"/>
      <c r="B56" s="480"/>
      <c r="C56" s="484"/>
      <c r="D56" s="434"/>
      <c r="E56" s="379"/>
      <c r="F56" s="380"/>
      <c r="G56" s="1049" t="s">
        <v>886</v>
      </c>
      <c r="H56" s="966"/>
      <c r="I56" s="966"/>
      <c r="J56" s="486">
        <v>99314</v>
      </c>
      <c r="K56" s="977"/>
      <c r="L56" s="427"/>
      <c r="M56" s="399"/>
      <c r="N56" s="399"/>
      <c r="O56" s="399"/>
      <c r="P56" s="485"/>
      <c r="Q56" s="977"/>
      <c r="R56" s="362"/>
      <c r="S56" s="363"/>
      <c r="T56" s="363"/>
      <c r="U56" s="363"/>
      <c r="V56" s="481"/>
      <c r="W56" s="972"/>
      <c r="X56" s="455"/>
      <c r="Y56" s="382"/>
      <c r="Z56" s="394"/>
      <c r="AA56" s="392"/>
      <c r="AB56" s="393"/>
      <c r="AC56" s="385"/>
    </row>
    <row r="57" spans="1:29" ht="12" customHeight="1" thickBot="1">
      <c r="A57" s="1036"/>
      <c r="B57" s="1037"/>
      <c r="C57" s="1038"/>
      <c r="D57" s="434"/>
      <c r="E57" s="379"/>
      <c r="F57" s="380"/>
      <c r="G57" s="1049" t="s">
        <v>933</v>
      </c>
      <c r="H57" s="966"/>
      <c r="I57" s="966"/>
      <c r="J57" s="486">
        <v>877668</v>
      </c>
      <c r="K57" s="977"/>
      <c r="L57" s="487"/>
      <c r="M57" s="488"/>
      <c r="N57" s="488"/>
      <c r="O57" s="488"/>
      <c r="P57" s="489"/>
      <c r="Q57" s="978"/>
      <c r="R57" s="963"/>
      <c r="S57" s="964"/>
      <c r="T57" s="964"/>
      <c r="U57" s="964"/>
      <c r="V57" s="490"/>
      <c r="W57" s="973"/>
      <c r="X57" s="455"/>
      <c r="Y57" s="382"/>
      <c r="Z57" s="394"/>
      <c r="AA57" s="392"/>
      <c r="AB57" s="393"/>
      <c r="AC57" s="385"/>
    </row>
    <row r="58" spans="1:29" ht="15.75">
      <c r="A58" s="491"/>
      <c r="B58" s="492"/>
      <c r="C58" s="588"/>
      <c r="D58" s="493"/>
      <c r="E58" s="494"/>
      <c r="F58" s="495"/>
      <c r="G58" s="1023"/>
      <c r="H58" s="968"/>
      <c r="I58" s="968"/>
      <c r="J58" s="496"/>
      <c r="K58" s="1046">
        <f>SUM(J58:J60)</f>
        <v>0</v>
      </c>
      <c r="L58" s="1023" t="s">
        <v>620</v>
      </c>
      <c r="M58" s="968"/>
      <c r="N58" s="968"/>
      <c r="O58" s="968"/>
      <c r="P58" s="496">
        <v>6245115</v>
      </c>
      <c r="Q58" s="986">
        <f>SUM(P58:P60)</f>
        <v>6245115</v>
      </c>
      <c r="R58" s="497"/>
      <c r="S58" s="498"/>
      <c r="T58" s="498"/>
      <c r="U58" s="498"/>
      <c r="V58" s="499"/>
      <c r="W58" s="500"/>
      <c r="X58" s="501"/>
      <c r="Y58" s="502"/>
      <c r="Z58" s="503"/>
      <c r="AA58" s="504"/>
      <c r="AB58" s="505"/>
      <c r="AC58" s="506"/>
    </row>
    <row r="59" spans="1:29" ht="15.75">
      <c r="A59" s="1020" t="s">
        <v>544</v>
      </c>
      <c r="B59" s="1021"/>
      <c r="C59" s="1022"/>
      <c r="D59" s="434">
        <f>SUM('5. kiadások megbontása'!G72)</f>
        <v>6245115</v>
      </c>
      <c r="E59" s="379">
        <f>SUM('5. kiadások megbontása'!H72)</f>
        <v>0</v>
      </c>
      <c r="F59" s="380">
        <f>SUM(D59:E59)</f>
        <v>6245115</v>
      </c>
      <c r="G59" s="403"/>
      <c r="H59" s="404"/>
      <c r="I59" s="404"/>
      <c r="J59" s="507"/>
      <c r="K59" s="1047"/>
      <c r="L59" s="982"/>
      <c r="M59" s="983"/>
      <c r="N59" s="983"/>
      <c r="O59" s="983"/>
      <c r="P59" s="360"/>
      <c r="Q59" s="977"/>
      <c r="R59" s="1002"/>
      <c r="S59" s="1003"/>
      <c r="T59" s="1003"/>
      <c r="U59" s="1003"/>
      <c r="V59" s="508"/>
      <c r="W59" s="500">
        <f>SUM(V59)</f>
        <v>0</v>
      </c>
      <c r="X59" s="455">
        <f>SUM(K59+Q58+W60)</f>
        <v>6245115</v>
      </c>
      <c r="Y59" s="382">
        <v>0</v>
      </c>
      <c r="Z59" s="394">
        <f>SUM(X59:Y59)</f>
        <v>6245115</v>
      </c>
      <c r="AA59" s="483">
        <f>X59-D59</f>
        <v>0</v>
      </c>
      <c r="AB59" s="393">
        <f>Y59-E59</f>
        <v>0</v>
      </c>
      <c r="AC59" s="395">
        <f>SUM(AA59:AB59)</f>
        <v>0</v>
      </c>
    </row>
    <row r="60" spans="1:29" ht="16.5" thickBot="1">
      <c r="A60" s="375"/>
      <c r="B60" s="480"/>
      <c r="C60" s="484"/>
      <c r="D60" s="456"/>
      <c r="E60" s="457"/>
      <c r="F60" s="509"/>
      <c r="G60" s="510"/>
      <c r="H60" s="511"/>
      <c r="I60" s="511"/>
      <c r="J60" s="512"/>
      <c r="K60" s="1048"/>
      <c r="L60" s="427"/>
      <c r="M60" s="399"/>
      <c r="N60" s="399"/>
      <c r="O60" s="399"/>
      <c r="P60" s="399"/>
      <c r="Q60" s="977"/>
      <c r="R60" s="475"/>
      <c r="S60" s="475"/>
      <c r="T60" s="475"/>
      <c r="U60" s="475"/>
      <c r="V60" s="475"/>
      <c r="W60" s="513"/>
      <c r="X60" s="514"/>
      <c r="Y60" s="515"/>
      <c r="Z60" s="460"/>
      <c r="AA60" s="516"/>
      <c r="AB60" s="517"/>
      <c r="AC60" s="518"/>
    </row>
    <row r="61" spans="1:223" s="573" customFormat="1" ht="45" customHeight="1" thickBot="1" thickTop="1">
      <c r="A61" s="1039" t="s">
        <v>1033</v>
      </c>
      <c r="B61" s="1040"/>
      <c r="C61" s="1041"/>
      <c r="D61" s="589">
        <f>SUM(D49:D60)</f>
        <v>247568889</v>
      </c>
      <c r="E61" s="590">
        <f>SUM(E49:E60)</f>
        <v>755190</v>
      </c>
      <c r="F61" s="591">
        <f>SUM(D61:E61)</f>
        <v>248324079</v>
      </c>
      <c r="G61" s="592"/>
      <c r="H61" s="1011" t="s">
        <v>113</v>
      </c>
      <c r="I61" s="1012"/>
      <c r="J61" s="1013"/>
      <c r="K61" s="593">
        <f>SUM(K48:K60)</f>
        <v>205446684</v>
      </c>
      <c r="L61" s="594"/>
      <c r="M61" s="1014" t="s">
        <v>114</v>
      </c>
      <c r="N61" s="1014"/>
      <c r="O61" s="1014"/>
      <c r="P61" s="1015"/>
      <c r="Q61" s="595">
        <f>SUM(Q49:Q60)</f>
        <v>6828430</v>
      </c>
      <c r="R61" s="596"/>
      <c r="S61" s="1014" t="s">
        <v>115</v>
      </c>
      <c r="T61" s="1014"/>
      <c r="U61" s="1014"/>
      <c r="V61" s="1015"/>
      <c r="W61" s="597">
        <f>SUM(W49:W60)</f>
        <v>2879611</v>
      </c>
      <c r="X61" s="598">
        <f>SUM(X47:X60)</f>
        <v>215154725</v>
      </c>
      <c r="Y61" s="599">
        <f>SUM(Y47:Y60)</f>
        <v>0</v>
      </c>
      <c r="Z61" s="600">
        <f>SUM(X61:Y61)</f>
        <v>215154725</v>
      </c>
      <c r="AA61" s="598">
        <f>X61-D61</f>
        <v>-32414164</v>
      </c>
      <c r="AB61" s="601">
        <f>Y61-E61</f>
        <v>-755190</v>
      </c>
      <c r="AC61" s="600">
        <f>SUM(AA61:AB61)</f>
        <v>-33169354</v>
      </c>
      <c r="AD61" s="602"/>
      <c r="AE61" s="602"/>
      <c r="AF61" s="602"/>
      <c r="AG61" s="602"/>
      <c r="AH61" s="602"/>
      <c r="AI61" s="602"/>
      <c r="AJ61" s="602"/>
      <c r="AK61" s="602"/>
      <c r="AL61" s="602"/>
      <c r="AM61" s="602"/>
      <c r="AN61" s="602"/>
      <c r="AO61" s="602"/>
      <c r="AP61" s="602"/>
      <c r="AQ61" s="602"/>
      <c r="AR61" s="602"/>
      <c r="AS61" s="602"/>
      <c r="AT61" s="602"/>
      <c r="AU61" s="602"/>
      <c r="AV61" s="602"/>
      <c r="AW61" s="602"/>
      <c r="AX61" s="602"/>
      <c r="AY61" s="602"/>
      <c r="AZ61" s="602"/>
      <c r="BA61" s="602"/>
      <c r="BB61" s="602"/>
      <c r="BC61" s="602"/>
      <c r="BD61" s="602"/>
      <c r="BE61" s="602"/>
      <c r="BF61" s="602"/>
      <c r="BG61" s="602"/>
      <c r="BH61" s="602"/>
      <c r="BI61" s="602"/>
      <c r="BJ61" s="602"/>
      <c r="BK61" s="602"/>
      <c r="BL61" s="602"/>
      <c r="BM61" s="602"/>
      <c r="BN61" s="602"/>
      <c r="BO61" s="602"/>
      <c r="BP61" s="602"/>
      <c r="BQ61" s="602"/>
      <c r="BR61" s="602"/>
      <c r="BS61" s="602"/>
      <c r="BT61" s="602"/>
      <c r="BU61" s="602"/>
      <c r="BV61" s="602"/>
      <c r="BW61" s="602"/>
      <c r="BX61" s="602"/>
      <c r="BY61" s="602"/>
      <c r="BZ61" s="602"/>
      <c r="CA61" s="602"/>
      <c r="CB61" s="602"/>
      <c r="CC61" s="602"/>
      <c r="CD61" s="602"/>
      <c r="CE61" s="602"/>
      <c r="CF61" s="602"/>
      <c r="CG61" s="602"/>
      <c r="CH61" s="602"/>
      <c r="CI61" s="602"/>
      <c r="CJ61" s="602"/>
      <c r="CK61" s="602"/>
      <c r="CL61" s="602"/>
      <c r="CM61" s="602"/>
      <c r="CN61" s="602"/>
      <c r="CO61" s="602"/>
      <c r="CP61" s="602"/>
      <c r="CQ61" s="602"/>
      <c r="CR61" s="602"/>
      <c r="CS61" s="602"/>
      <c r="CT61" s="602"/>
      <c r="CU61" s="602"/>
      <c r="CV61" s="602"/>
      <c r="CW61" s="602"/>
      <c r="CX61" s="602"/>
      <c r="CY61" s="602"/>
      <c r="CZ61" s="602"/>
      <c r="DA61" s="602"/>
      <c r="DB61" s="602"/>
      <c r="DC61" s="602"/>
      <c r="DD61" s="602"/>
      <c r="DE61" s="602"/>
      <c r="DF61" s="602"/>
      <c r="DG61" s="602"/>
      <c r="DH61" s="602"/>
      <c r="DI61" s="602"/>
      <c r="DJ61" s="602"/>
      <c r="DK61" s="602"/>
      <c r="DL61" s="602"/>
      <c r="DM61" s="602"/>
      <c r="DN61" s="602"/>
      <c r="DO61" s="602"/>
      <c r="DP61" s="602"/>
      <c r="DQ61" s="602"/>
      <c r="DR61" s="602"/>
      <c r="DS61" s="602"/>
      <c r="DT61" s="602"/>
      <c r="DU61" s="602"/>
      <c r="DV61" s="602"/>
      <c r="DW61" s="602"/>
      <c r="DX61" s="602"/>
      <c r="DY61" s="602"/>
      <c r="DZ61" s="602"/>
      <c r="EA61" s="602"/>
      <c r="EB61" s="602"/>
      <c r="EC61" s="602"/>
      <c r="ED61" s="602"/>
      <c r="EE61" s="602"/>
      <c r="EF61" s="602"/>
      <c r="EG61" s="602"/>
      <c r="EH61" s="602"/>
      <c r="EI61" s="602"/>
      <c r="EJ61" s="602"/>
      <c r="EK61" s="602"/>
      <c r="EL61" s="602"/>
      <c r="EM61" s="602"/>
      <c r="EN61" s="602"/>
      <c r="EO61" s="602"/>
      <c r="EP61" s="602"/>
      <c r="EQ61" s="602"/>
      <c r="ER61" s="602"/>
      <c r="ES61" s="602"/>
      <c r="ET61" s="602"/>
      <c r="EU61" s="602"/>
      <c r="EV61" s="602"/>
      <c r="EW61" s="602"/>
      <c r="EX61" s="602"/>
      <c r="EY61" s="602"/>
      <c r="EZ61" s="602"/>
      <c r="FA61" s="602"/>
      <c r="FB61" s="602"/>
      <c r="FC61" s="602"/>
      <c r="FD61" s="602"/>
      <c r="FE61" s="602"/>
      <c r="FF61" s="602"/>
      <c r="FG61" s="602"/>
      <c r="FH61" s="602"/>
      <c r="FI61" s="602"/>
      <c r="FJ61" s="602"/>
      <c r="FK61" s="602"/>
      <c r="FL61" s="602"/>
      <c r="FM61" s="602"/>
      <c r="FN61" s="602"/>
      <c r="FO61" s="602"/>
      <c r="FP61" s="602"/>
      <c r="FQ61" s="602"/>
      <c r="FR61" s="602"/>
      <c r="FS61" s="602"/>
      <c r="FT61" s="602"/>
      <c r="FU61" s="602"/>
      <c r="FV61" s="602"/>
      <c r="FW61" s="602"/>
      <c r="FX61" s="602"/>
      <c r="FY61" s="602"/>
      <c r="FZ61" s="602"/>
      <c r="GA61" s="602"/>
      <c r="GB61" s="602"/>
      <c r="GC61" s="602"/>
      <c r="GD61" s="602"/>
      <c r="GE61" s="602"/>
      <c r="GF61" s="602"/>
      <c r="GG61" s="602"/>
      <c r="GH61" s="602"/>
      <c r="GI61" s="602"/>
      <c r="GJ61" s="602"/>
      <c r="GK61" s="602"/>
      <c r="GL61" s="602"/>
      <c r="GM61" s="602"/>
      <c r="GN61" s="602"/>
      <c r="GO61" s="602"/>
      <c r="GP61" s="602"/>
      <c r="GQ61" s="602"/>
      <c r="GR61" s="602"/>
      <c r="GS61" s="602"/>
      <c r="GT61" s="602"/>
      <c r="GU61" s="602"/>
      <c r="GV61" s="602"/>
      <c r="GW61" s="602"/>
      <c r="GX61" s="602"/>
      <c r="GY61" s="602"/>
      <c r="GZ61" s="602"/>
      <c r="HA61" s="602"/>
      <c r="HB61" s="602"/>
      <c r="HC61" s="602"/>
      <c r="HD61" s="602"/>
      <c r="HE61" s="602"/>
      <c r="HF61" s="602"/>
      <c r="HG61" s="602"/>
      <c r="HH61" s="602"/>
      <c r="HI61" s="602"/>
      <c r="HJ61" s="602"/>
      <c r="HK61" s="602"/>
      <c r="HL61" s="602"/>
      <c r="HM61" s="602"/>
      <c r="HN61" s="602"/>
      <c r="HO61" s="602"/>
    </row>
    <row r="62" spans="1:29" ht="21" customHeight="1" thickBot="1" thickTop="1">
      <c r="A62" s="1042" t="s">
        <v>401</v>
      </c>
      <c r="B62" s="1043"/>
      <c r="C62" s="1044"/>
      <c r="D62" s="520">
        <f>SUM(D61,D44,D35)</f>
        <v>1246387587</v>
      </c>
      <c r="E62" s="521">
        <f>SUM(E61,E44,E35)</f>
        <v>428736852</v>
      </c>
      <c r="F62" s="522">
        <f>SUM(D62:E62)</f>
        <v>1675124439</v>
      </c>
      <c r="G62" s="523"/>
      <c r="H62" s="1008" t="s">
        <v>118</v>
      </c>
      <c r="I62" s="1009"/>
      <c r="J62" s="1010"/>
      <c r="K62" s="524">
        <f>SUM(K61,K44,K35)</f>
        <v>536138430</v>
      </c>
      <c r="L62" s="525"/>
      <c r="M62" s="1004" t="s">
        <v>119</v>
      </c>
      <c r="N62" s="1004"/>
      <c r="O62" s="1004"/>
      <c r="P62" s="1005"/>
      <c r="Q62" s="526">
        <f>SUM(Q61,Q44,Q35)</f>
        <v>577657091</v>
      </c>
      <c r="R62" s="527"/>
      <c r="S62" s="1004" t="s">
        <v>120</v>
      </c>
      <c r="T62" s="1004"/>
      <c r="U62" s="1004"/>
      <c r="V62" s="1005"/>
      <c r="W62" s="528">
        <f>SUM(W61,W44,W35)</f>
        <v>561328918</v>
      </c>
      <c r="X62" s="529">
        <f>SUM(X61,X44,X35)</f>
        <v>1111664600</v>
      </c>
      <c r="Y62" s="530">
        <f>SUM(Y61,Y44,Y35)</f>
        <v>563459839</v>
      </c>
      <c r="Z62" s="531">
        <f>SUM(W62+Q62+K62)</f>
        <v>1675124439</v>
      </c>
      <c r="AA62" s="532">
        <f>SUM(AA61,AA44,AA35)</f>
        <v>-134722987</v>
      </c>
      <c r="AB62" s="533">
        <f>SUM(AB61,AB44,AB35)</f>
        <v>134722987</v>
      </c>
      <c r="AC62" s="534">
        <f>SUM(AC61,AC44,AC35)</f>
        <v>0</v>
      </c>
    </row>
    <row r="63" spans="1:29" ht="19.5" thickTop="1">
      <c r="A63" s="1006"/>
      <c r="B63" s="1007"/>
      <c r="C63" s="1007"/>
      <c r="D63" s="475"/>
      <c r="E63" s="475"/>
      <c r="F63" s="475"/>
      <c r="G63" s="412"/>
      <c r="H63" s="412"/>
      <c r="I63" s="412"/>
      <c r="J63" s="535"/>
      <c r="K63" s="450"/>
      <c r="L63" s="410"/>
      <c r="M63" s="399"/>
      <c r="N63" s="399"/>
      <c r="O63" s="399"/>
      <c r="P63" s="399"/>
      <c r="Q63" s="399"/>
      <c r="R63" s="410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10"/>
    </row>
    <row r="64" spans="1:29" ht="15.75">
      <c r="A64" s="475"/>
      <c r="B64" s="475"/>
      <c r="C64" s="475"/>
      <c r="D64" s="989" t="s">
        <v>541</v>
      </c>
      <c r="E64" s="990"/>
      <c r="F64" s="990"/>
      <c r="G64" s="363"/>
      <c r="H64" s="363"/>
      <c r="I64" s="363"/>
      <c r="J64" s="356"/>
      <c r="K64" s="450"/>
      <c r="L64" s="399"/>
      <c r="M64" s="399"/>
      <c r="N64" s="399"/>
      <c r="O64" s="399"/>
      <c r="P64" s="399"/>
      <c r="Q64" s="399"/>
      <c r="R64" s="399"/>
      <c r="S64" s="475"/>
      <c r="T64" s="475"/>
      <c r="U64" s="475"/>
      <c r="V64" s="475"/>
      <c r="W64" s="989" t="s">
        <v>121</v>
      </c>
      <c r="X64" s="990"/>
      <c r="Y64" s="990"/>
      <c r="Z64" s="536"/>
      <c r="AA64" s="989" t="s">
        <v>105</v>
      </c>
      <c r="AB64" s="990"/>
      <c r="AC64" s="990"/>
    </row>
    <row r="65" spans="1:29" ht="15.75">
      <c r="A65" s="475"/>
      <c r="B65" s="475"/>
      <c r="C65" s="475"/>
      <c r="D65" s="537" t="s">
        <v>106</v>
      </c>
      <c r="E65" s="537" t="s">
        <v>122</v>
      </c>
      <c r="F65" s="537" t="s">
        <v>107</v>
      </c>
      <c r="G65" s="363"/>
      <c r="H65" s="363"/>
      <c r="I65" s="363"/>
      <c r="J65" s="356"/>
      <c r="K65" s="450"/>
      <c r="L65" s="399"/>
      <c r="M65" s="399"/>
      <c r="N65" s="399"/>
      <c r="O65" s="399"/>
      <c r="P65" s="399"/>
      <c r="Q65" s="399"/>
      <c r="R65" s="399"/>
      <c r="S65" s="1045"/>
      <c r="T65" s="1045"/>
      <c r="U65" s="1045"/>
      <c r="V65" s="1045"/>
      <c r="W65" s="537" t="s">
        <v>106</v>
      </c>
      <c r="X65" s="537" t="s">
        <v>122</v>
      </c>
      <c r="Y65" s="537" t="s">
        <v>107</v>
      </c>
      <c r="Z65" s="538"/>
      <c r="AA65" s="537" t="s">
        <v>106</v>
      </c>
      <c r="AB65" s="537" t="s">
        <v>122</v>
      </c>
      <c r="AC65" s="537" t="s">
        <v>107</v>
      </c>
    </row>
    <row r="66" spans="1:29" ht="15.75">
      <c r="A66" s="475"/>
      <c r="B66" s="475"/>
      <c r="C66" s="539" t="s">
        <v>123</v>
      </c>
      <c r="D66" s="475"/>
      <c r="E66" s="475"/>
      <c r="F66" s="475"/>
      <c r="G66" s="363"/>
      <c r="H66" s="363"/>
      <c r="I66" s="363"/>
      <c r="J66" s="356"/>
      <c r="K66" s="450"/>
      <c r="L66" s="399"/>
      <c r="M66" s="399"/>
      <c r="N66" s="399"/>
      <c r="O66" s="399"/>
      <c r="P66" s="399"/>
      <c r="Q66" s="399"/>
      <c r="R66" s="399"/>
      <c r="S66" s="475"/>
      <c r="T66" s="539" t="s">
        <v>123</v>
      </c>
      <c r="U66" s="475"/>
      <c r="V66" s="989"/>
      <c r="W66" s="990"/>
      <c r="X66" s="475"/>
      <c r="Y66" s="475"/>
      <c r="Z66" s="475"/>
      <c r="AA66" s="475"/>
      <c r="AB66" s="475"/>
      <c r="AC66" s="399"/>
    </row>
    <row r="67" spans="1:29" ht="15.75">
      <c r="A67" s="475"/>
      <c r="B67" s="475"/>
      <c r="C67" s="475" t="s">
        <v>124</v>
      </c>
      <c r="D67" s="540">
        <f>SUM(D10)</f>
        <v>737228262</v>
      </c>
      <c r="E67" s="540">
        <f>SUM(E10)</f>
        <v>96510623</v>
      </c>
      <c r="F67" s="540">
        <f>SUM(D67:E67)</f>
        <v>833738885</v>
      </c>
      <c r="G67" s="363"/>
      <c r="H67" s="363"/>
      <c r="I67" s="363"/>
      <c r="J67" s="356"/>
      <c r="K67" s="450"/>
      <c r="L67" s="399"/>
      <c r="M67" s="399"/>
      <c r="N67" s="399"/>
      <c r="O67" s="399"/>
      <c r="P67" s="399"/>
      <c r="Q67" s="399"/>
      <c r="R67" s="399"/>
      <c r="S67" s="475"/>
      <c r="T67" s="475" t="s">
        <v>124</v>
      </c>
      <c r="U67" s="475"/>
      <c r="V67" s="475"/>
      <c r="W67" s="540">
        <f>SUM(X14)</f>
        <v>669077910</v>
      </c>
      <c r="X67" s="540">
        <f>Y14</f>
        <v>249678632</v>
      </c>
      <c r="Y67" s="540">
        <f>SUM(W67:X67)</f>
        <v>918756542</v>
      </c>
      <c r="Z67" s="457"/>
      <c r="AA67" s="540">
        <f aca="true" t="shared" si="0" ref="AA67:AB69">W67-D67</f>
        <v>-68150352</v>
      </c>
      <c r="AB67" s="540">
        <f t="shared" si="0"/>
        <v>153168009</v>
      </c>
      <c r="AC67" s="457">
        <f>SUM(AA67:AB67)</f>
        <v>85017657</v>
      </c>
    </row>
    <row r="68" spans="1:29" ht="15.75">
      <c r="A68" s="475"/>
      <c r="B68" s="475"/>
      <c r="C68" s="475" t="s">
        <v>408</v>
      </c>
      <c r="D68" s="540">
        <f>SUM(D40)</f>
        <v>130855085</v>
      </c>
      <c r="E68" s="540">
        <f>SUM(E40)</f>
        <v>500000</v>
      </c>
      <c r="F68" s="540">
        <f>SUM(D68:E68)</f>
        <v>131355085</v>
      </c>
      <c r="G68" s="363"/>
      <c r="H68" s="363"/>
      <c r="I68" s="363"/>
      <c r="J68" s="541"/>
      <c r="K68" s="450"/>
      <c r="L68" s="399"/>
      <c r="M68" s="399"/>
      <c r="N68" s="399"/>
      <c r="O68" s="399"/>
      <c r="P68" s="399"/>
      <c r="Q68" s="399"/>
      <c r="R68" s="399"/>
      <c r="S68" s="475"/>
      <c r="T68" s="475" t="s">
        <v>408</v>
      </c>
      <c r="U68" s="475"/>
      <c r="V68" s="475"/>
      <c r="W68" s="540">
        <f>SUM(X40)</f>
        <v>140350670</v>
      </c>
      <c r="X68" s="540">
        <f>Y40</f>
        <v>0</v>
      </c>
      <c r="Y68" s="540">
        <f>SUM(W68:X68)</f>
        <v>140350670</v>
      </c>
      <c r="Z68" s="457"/>
      <c r="AA68" s="540">
        <f t="shared" si="0"/>
        <v>9495585</v>
      </c>
      <c r="AB68" s="540">
        <f t="shared" si="0"/>
        <v>-500000</v>
      </c>
      <c r="AC68" s="457">
        <f>SUM(AA68:AB68)</f>
        <v>8995585</v>
      </c>
    </row>
    <row r="69" spans="1:29" ht="12.75">
      <c r="A69" s="475"/>
      <c r="B69" s="475"/>
      <c r="C69" s="542" t="s">
        <v>125</v>
      </c>
      <c r="D69" s="543">
        <f>SUM(D52)</f>
        <v>241323774</v>
      </c>
      <c r="E69" s="543">
        <f>SUM(E52)</f>
        <v>755190</v>
      </c>
      <c r="F69" s="543">
        <f>SUM(D69:E69)</f>
        <v>242078964</v>
      </c>
      <c r="G69" s="475"/>
      <c r="H69" s="475"/>
      <c r="I69" s="475"/>
      <c r="J69" s="475"/>
      <c r="K69" s="399"/>
      <c r="L69" s="399"/>
      <c r="M69" s="399"/>
      <c r="N69" s="399"/>
      <c r="O69" s="399"/>
      <c r="P69" s="399"/>
      <c r="Q69" s="399"/>
      <c r="R69" s="399"/>
      <c r="S69" s="475"/>
      <c r="T69" s="542" t="s">
        <v>125</v>
      </c>
      <c r="U69" s="544"/>
      <c r="V69" s="544"/>
      <c r="W69" s="543">
        <f>SUM(X52)</f>
        <v>208909610</v>
      </c>
      <c r="X69" s="543">
        <f>Y52</f>
        <v>0</v>
      </c>
      <c r="Y69" s="543">
        <f>SUM(W69:X69)</f>
        <v>208909610</v>
      </c>
      <c r="Z69" s="457"/>
      <c r="AA69" s="543">
        <f t="shared" si="0"/>
        <v>-32414164</v>
      </c>
      <c r="AB69" s="543">
        <f t="shared" si="0"/>
        <v>-755190</v>
      </c>
      <c r="AC69" s="543">
        <f>SUM(AA69:AB69)</f>
        <v>-33169354</v>
      </c>
    </row>
    <row r="70" spans="1:29" ht="12.75">
      <c r="A70" s="475"/>
      <c r="B70" s="475"/>
      <c r="C70" s="545" t="s">
        <v>400</v>
      </c>
      <c r="D70" s="540">
        <f>SUM(D67:D69)</f>
        <v>1109407121</v>
      </c>
      <c r="E70" s="540">
        <f>SUM(E67:E69)</f>
        <v>97765813</v>
      </c>
      <c r="F70" s="540">
        <f>SUM(F67:F69)</f>
        <v>1207172934</v>
      </c>
      <c r="G70" s="475"/>
      <c r="H70" s="475"/>
      <c r="I70" s="475"/>
      <c r="J70" s="475"/>
      <c r="K70" s="399"/>
      <c r="L70" s="399"/>
      <c r="M70" s="399"/>
      <c r="N70" s="399"/>
      <c r="O70" s="399"/>
      <c r="P70" s="399"/>
      <c r="Q70" s="399"/>
      <c r="R70" s="399"/>
      <c r="S70" s="475"/>
      <c r="T70" s="545" t="s">
        <v>400</v>
      </c>
      <c r="U70" s="475"/>
      <c r="V70" s="545"/>
      <c r="W70" s="540">
        <f>SUM(W67:W69)</f>
        <v>1018338190</v>
      </c>
      <c r="X70" s="540">
        <f>SUM(X67:X69)</f>
        <v>249678632</v>
      </c>
      <c r="Y70" s="540">
        <f>SUM(Y67:Y69)</f>
        <v>1268016822</v>
      </c>
      <c r="Z70" s="457"/>
      <c r="AA70" s="540">
        <f>SUM(AA67:AA69)</f>
        <v>-91068931</v>
      </c>
      <c r="AB70" s="540">
        <f>SUM(AB67:AB69)</f>
        <v>151912819</v>
      </c>
      <c r="AC70" s="540">
        <f>SUM(AC67:AC69)</f>
        <v>60843888</v>
      </c>
    </row>
    <row r="71" spans="1:29" ht="12.75">
      <c r="A71" s="475"/>
      <c r="B71" s="475"/>
      <c r="C71" s="545"/>
      <c r="D71" s="540"/>
      <c r="E71" s="540"/>
      <c r="F71" s="540"/>
      <c r="G71" s="475"/>
      <c r="H71" s="475"/>
      <c r="I71" s="475"/>
      <c r="J71" s="475"/>
      <c r="K71" s="475"/>
      <c r="L71" s="399"/>
      <c r="M71" s="399"/>
      <c r="N71" s="399"/>
      <c r="O71" s="399"/>
      <c r="P71" s="399"/>
      <c r="Q71" s="399"/>
      <c r="R71" s="399"/>
      <c r="S71" s="475"/>
      <c r="T71" s="475"/>
      <c r="U71" s="475"/>
      <c r="V71" s="475"/>
      <c r="W71" s="475"/>
      <c r="X71" s="475"/>
      <c r="Y71" s="475"/>
      <c r="Z71" s="475"/>
      <c r="AA71" s="475"/>
      <c r="AB71" s="475"/>
      <c r="AC71" s="399"/>
    </row>
    <row r="72" spans="1:29" ht="12.75">
      <c r="A72" s="475"/>
      <c r="B72" s="475"/>
      <c r="C72" s="539" t="s">
        <v>126</v>
      </c>
      <c r="D72" s="540"/>
      <c r="E72" s="540"/>
      <c r="F72" s="540"/>
      <c r="G72" s="475"/>
      <c r="H72" s="475"/>
      <c r="I72" s="475"/>
      <c r="J72" s="475"/>
      <c r="K72" s="475"/>
      <c r="L72" s="399"/>
      <c r="M72" s="399"/>
      <c r="N72" s="399"/>
      <c r="O72" s="399"/>
      <c r="P72" s="399"/>
      <c r="Q72" s="399"/>
      <c r="R72" s="399"/>
      <c r="S72" s="475"/>
      <c r="T72" s="539" t="s">
        <v>126</v>
      </c>
      <c r="U72" s="546"/>
      <c r="V72" s="539"/>
      <c r="W72" s="547"/>
      <c r="X72" s="547"/>
      <c r="Y72" s="475"/>
      <c r="Z72" s="475"/>
      <c r="AA72" s="475"/>
      <c r="AB72" s="475"/>
      <c r="AC72" s="399"/>
    </row>
    <row r="73" spans="1:29" ht="12.75">
      <c r="A73" s="475"/>
      <c r="B73" s="475"/>
      <c r="C73" s="475" t="s">
        <v>124</v>
      </c>
      <c r="D73" s="540">
        <f>SUM(D30)</f>
        <v>83401107</v>
      </c>
      <c r="E73" s="540">
        <f>SUM(E30)</f>
        <v>330628266</v>
      </c>
      <c r="F73" s="540">
        <f>SUM(D73:E73)</f>
        <v>414029373</v>
      </c>
      <c r="G73" s="475"/>
      <c r="H73" s="475"/>
      <c r="I73" s="475"/>
      <c r="J73" s="475"/>
      <c r="K73" s="475"/>
      <c r="L73" s="399"/>
      <c r="M73" s="399"/>
      <c r="N73" s="399"/>
      <c r="O73" s="399"/>
      <c r="P73" s="399"/>
      <c r="Q73" s="399"/>
      <c r="R73" s="399"/>
      <c r="S73" s="475"/>
      <c r="T73" s="475" t="s">
        <v>124</v>
      </c>
      <c r="U73" s="475"/>
      <c r="V73" s="475"/>
      <c r="W73" s="540">
        <f>SUM(X30)</f>
        <v>34960948</v>
      </c>
      <c r="X73" s="540">
        <f>Y30</f>
        <v>313781207</v>
      </c>
      <c r="Y73" s="540">
        <f>SUM(W73:X73)</f>
        <v>348742155</v>
      </c>
      <c r="Z73" s="457"/>
      <c r="AA73" s="540">
        <f aca="true" t="shared" si="1" ref="AA73:AB75">W73-D73</f>
        <v>-48440159</v>
      </c>
      <c r="AB73" s="540">
        <f t="shared" si="1"/>
        <v>-16847059</v>
      </c>
      <c r="AC73" s="457">
        <f>SUM(AA73:AB73)</f>
        <v>-65287218</v>
      </c>
    </row>
    <row r="74" spans="1:29" ht="12.75">
      <c r="A74" s="475"/>
      <c r="B74" s="475"/>
      <c r="C74" s="475" t="s">
        <v>408</v>
      </c>
      <c r="D74" s="540">
        <v>0</v>
      </c>
      <c r="E74" s="540">
        <v>0</v>
      </c>
      <c r="F74" s="540">
        <f>SUM(D74:E74)</f>
        <v>0</v>
      </c>
      <c r="G74" s="475"/>
      <c r="H74" s="475"/>
      <c r="I74" s="475"/>
      <c r="J74" s="475"/>
      <c r="K74" s="475"/>
      <c r="L74" s="399"/>
      <c r="M74" s="399"/>
      <c r="N74" s="399"/>
      <c r="O74" s="399"/>
      <c r="P74" s="399"/>
      <c r="Q74" s="399"/>
      <c r="R74" s="399"/>
      <c r="S74" s="475"/>
      <c r="T74" s="475" t="s">
        <v>408</v>
      </c>
      <c r="U74" s="475"/>
      <c r="V74" s="475"/>
      <c r="W74" s="540">
        <v>0</v>
      </c>
      <c r="X74" s="540">
        <v>0</v>
      </c>
      <c r="Y74" s="540">
        <f>SUM(W74:X74)</f>
        <v>0</v>
      </c>
      <c r="Z74" s="457"/>
      <c r="AA74" s="540">
        <f t="shared" si="1"/>
        <v>0</v>
      </c>
      <c r="AB74" s="540">
        <f t="shared" si="1"/>
        <v>0</v>
      </c>
      <c r="AC74" s="457">
        <f>SUM(AA74:AB74)</f>
        <v>0</v>
      </c>
    </row>
    <row r="75" spans="1:29" ht="12.75">
      <c r="A75" s="475"/>
      <c r="B75" s="475"/>
      <c r="C75" s="542" t="s">
        <v>125</v>
      </c>
      <c r="D75" s="543">
        <f>SUM(D59)</f>
        <v>6245115</v>
      </c>
      <c r="E75" s="543">
        <f>SUM(E59)</f>
        <v>0</v>
      </c>
      <c r="F75" s="543">
        <f>SUM(D75:E75)</f>
        <v>6245115</v>
      </c>
      <c r="G75" s="475"/>
      <c r="H75" s="475"/>
      <c r="I75" s="475"/>
      <c r="J75" s="475"/>
      <c r="K75" s="475"/>
      <c r="L75" s="399"/>
      <c r="M75" s="399"/>
      <c r="N75" s="399"/>
      <c r="O75" s="399"/>
      <c r="P75" s="399"/>
      <c r="Q75" s="399"/>
      <c r="R75" s="399"/>
      <c r="S75" s="475"/>
      <c r="T75" s="542" t="s">
        <v>125</v>
      </c>
      <c r="U75" s="544"/>
      <c r="V75" s="544"/>
      <c r="W75" s="543">
        <f>SUM(X59)</f>
        <v>6245115</v>
      </c>
      <c r="X75" s="543">
        <v>0</v>
      </c>
      <c r="Y75" s="543">
        <f>SUM(W75:X75)</f>
        <v>6245115</v>
      </c>
      <c r="Z75" s="457"/>
      <c r="AA75" s="543">
        <f t="shared" si="1"/>
        <v>0</v>
      </c>
      <c r="AB75" s="543">
        <f t="shared" si="1"/>
        <v>0</v>
      </c>
      <c r="AC75" s="543">
        <f>SUM(AA75:AB75)</f>
        <v>0</v>
      </c>
    </row>
    <row r="76" spans="1:29" ht="12.75">
      <c r="A76" s="475"/>
      <c r="B76" s="475"/>
      <c r="C76" s="545" t="s">
        <v>400</v>
      </c>
      <c r="D76" s="540">
        <f>SUM(D73:D75)</f>
        <v>89646222</v>
      </c>
      <c r="E76" s="540">
        <f>SUM(E73:E75)</f>
        <v>330628266</v>
      </c>
      <c r="F76" s="540">
        <f>SUM(F73:F75)</f>
        <v>420274488</v>
      </c>
      <c r="G76" s="475"/>
      <c r="H76" s="475"/>
      <c r="I76" s="475"/>
      <c r="J76" s="475"/>
      <c r="K76" s="475"/>
      <c r="L76" s="399"/>
      <c r="M76" s="399"/>
      <c r="N76" s="399"/>
      <c r="O76" s="399"/>
      <c r="P76" s="399"/>
      <c r="Q76" s="399"/>
      <c r="R76" s="399"/>
      <c r="S76" s="475"/>
      <c r="T76" s="545" t="s">
        <v>400</v>
      </c>
      <c r="U76" s="475"/>
      <c r="V76" s="545"/>
      <c r="W76" s="540">
        <f>SUM(W73:W75)</f>
        <v>41206063</v>
      </c>
      <c r="X76" s="540">
        <f>SUM(X73:X75)</f>
        <v>313781207</v>
      </c>
      <c r="Y76" s="540">
        <f>SUM(Y73:Y75)</f>
        <v>354987270</v>
      </c>
      <c r="Z76" s="457"/>
      <c r="AA76" s="540">
        <f>SUM(AA73:AA75)</f>
        <v>-48440159</v>
      </c>
      <c r="AB76" s="540">
        <f>SUM(AB73:AB75)</f>
        <v>-16847059</v>
      </c>
      <c r="AC76" s="540">
        <f>SUM(AC73:AC75)</f>
        <v>-65287218</v>
      </c>
    </row>
    <row r="77" spans="1:29" ht="12.75">
      <c r="A77" s="475"/>
      <c r="B77" s="475"/>
      <c r="C77" s="545"/>
      <c r="D77" s="540"/>
      <c r="E77" s="540"/>
      <c r="F77" s="540"/>
      <c r="G77" s="475"/>
      <c r="H77" s="475"/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5"/>
      <c r="U77" s="475"/>
      <c r="V77" s="475"/>
      <c r="W77" s="475"/>
      <c r="X77" s="475"/>
      <c r="Y77" s="475"/>
      <c r="Z77" s="399"/>
      <c r="AA77" s="540"/>
      <c r="AB77" s="540"/>
      <c r="AC77" s="399"/>
    </row>
    <row r="78" spans="1:29" ht="12.75">
      <c r="A78" s="475"/>
      <c r="B78" s="475"/>
      <c r="C78" s="539" t="s">
        <v>127</v>
      </c>
      <c r="D78" s="540"/>
      <c r="E78" s="540"/>
      <c r="F78" s="540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539" t="s">
        <v>127</v>
      </c>
      <c r="U78" s="475"/>
      <c r="V78" s="539"/>
      <c r="W78" s="475"/>
      <c r="X78" s="475"/>
      <c r="Y78" s="475"/>
      <c r="Z78" s="399"/>
      <c r="AA78" s="540"/>
      <c r="AB78" s="540"/>
      <c r="AC78" s="399"/>
    </row>
    <row r="79" spans="1:29" ht="12.75">
      <c r="A79" s="475"/>
      <c r="B79" s="475"/>
      <c r="C79" s="475" t="s">
        <v>124</v>
      </c>
      <c r="D79" s="540">
        <f>SUM(D27)</f>
        <v>47334244</v>
      </c>
      <c r="E79" s="540">
        <f>SUM(E27)</f>
        <v>342773</v>
      </c>
      <c r="F79" s="540">
        <f>SUM(D79:E79)</f>
        <v>47677017</v>
      </c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75" t="s">
        <v>124</v>
      </c>
      <c r="U79" s="475"/>
      <c r="V79" s="475"/>
      <c r="W79" s="540">
        <f>SUM(X27)</f>
        <v>52120347</v>
      </c>
      <c r="X79" s="540">
        <v>0</v>
      </c>
      <c r="Y79" s="540">
        <f>SUM(W79:X79)</f>
        <v>52120347</v>
      </c>
      <c r="Z79" s="457"/>
      <c r="AA79" s="540">
        <f aca="true" t="shared" si="2" ref="AA79:AB81">W79-D79</f>
        <v>4786103</v>
      </c>
      <c r="AB79" s="540">
        <f t="shared" si="2"/>
        <v>-342773</v>
      </c>
      <c r="AC79" s="457">
        <f>SUM(AA79:AB79)</f>
        <v>4443330</v>
      </c>
    </row>
    <row r="80" spans="1:29" ht="12.75">
      <c r="A80" s="475"/>
      <c r="B80" s="475"/>
      <c r="C80" s="475" t="s">
        <v>408</v>
      </c>
      <c r="D80" s="540">
        <v>0</v>
      </c>
      <c r="E80" s="540">
        <v>0</v>
      </c>
      <c r="F80" s="540">
        <f>SUM(D80:E80)</f>
        <v>0</v>
      </c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 t="s">
        <v>408</v>
      </c>
      <c r="U80" s="475"/>
      <c r="V80" s="475"/>
      <c r="W80" s="540">
        <v>0</v>
      </c>
      <c r="X80" s="540">
        <v>0</v>
      </c>
      <c r="Y80" s="540">
        <f>SUM(W80:X80)</f>
        <v>0</v>
      </c>
      <c r="Z80" s="457"/>
      <c r="AA80" s="540">
        <f t="shared" si="2"/>
        <v>0</v>
      </c>
      <c r="AB80" s="540">
        <f t="shared" si="2"/>
        <v>0</v>
      </c>
      <c r="AC80" s="457">
        <f>SUM(AA80:AB80)</f>
        <v>0</v>
      </c>
    </row>
    <row r="81" spans="1:29" ht="12.75">
      <c r="A81" s="475"/>
      <c r="B81" s="475"/>
      <c r="C81" s="542" t="s">
        <v>125</v>
      </c>
      <c r="D81" s="543">
        <v>0</v>
      </c>
      <c r="E81" s="543">
        <v>0</v>
      </c>
      <c r="F81" s="543">
        <f>SUM(D81:E81)</f>
        <v>0</v>
      </c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542" t="s">
        <v>125</v>
      </c>
      <c r="U81" s="544"/>
      <c r="V81" s="544"/>
      <c r="W81" s="543">
        <v>0</v>
      </c>
      <c r="X81" s="543">
        <v>0</v>
      </c>
      <c r="Y81" s="543">
        <f>SUM(W81:X81)</f>
        <v>0</v>
      </c>
      <c r="Z81" s="457"/>
      <c r="AA81" s="543">
        <f t="shared" si="2"/>
        <v>0</v>
      </c>
      <c r="AB81" s="543">
        <f t="shared" si="2"/>
        <v>0</v>
      </c>
      <c r="AC81" s="543">
        <f>SUM(AA81:AB81)</f>
        <v>0</v>
      </c>
    </row>
    <row r="82" spans="1:29" ht="12.75">
      <c r="A82" s="475"/>
      <c r="B82" s="475"/>
      <c r="C82" s="545" t="s">
        <v>400</v>
      </c>
      <c r="D82" s="540">
        <f>SUM(D79:D81)</f>
        <v>47334244</v>
      </c>
      <c r="E82" s="540">
        <f>SUM(E79:E81)</f>
        <v>342773</v>
      </c>
      <c r="F82" s="540">
        <f>SUM(F79:F81)</f>
        <v>47677017</v>
      </c>
      <c r="G82" s="475"/>
      <c r="H82" s="475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545" t="s">
        <v>400</v>
      </c>
      <c r="U82" s="475"/>
      <c r="V82" s="545"/>
      <c r="W82" s="540">
        <f>SUM(W79:W81)</f>
        <v>52120347</v>
      </c>
      <c r="X82" s="540">
        <f>SUM(X79:X81)</f>
        <v>0</v>
      </c>
      <c r="Y82" s="540">
        <f>SUM(Y79:Y81)</f>
        <v>52120347</v>
      </c>
      <c r="Z82" s="457"/>
      <c r="AA82" s="540">
        <f>SUM(AA79:AA81)</f>
        <v>4786103</v>
      </c>
      <c r="AB82" s="540">
        <f>SUM(AB79:AB81)</f>
        <v>-342773</v>
      </c>
      <c r="AC82" s="540">
        <f>SUM(AC79:AC81)</f>
        <v>4443330</v>
      </c>
    </row>
    <row r="83" spans="1:29" ht="12.75">
      <c r="A83" s="475"/>
      <c r="B83" s="475"/>
      <c r="C83" s="54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399"/>
      <c r="AA83" s="540"/>
      <c r="AB83" s="540"/>
      <c r="AC83" s="399"/>
    </row>
    <row r="84" spans="1:29" ht="12.75">
      <c r="A84" s="475"/>
      <c r="B84" s="475"/>
      <c r="C84" s="548" t="s">
        <v>128</v>
      </c>
      <c r="D84" s="549">
        <f>SUM(D82,D76,D70)</f>
        <v>1246387587</v>
      </c>
      <c r="E84" s="549">
        <f>SUM(E82,E76,E70)</f>
        <v>428736852</v>
      </c>
      <c r="F84" s="549">
        <f>SUM(F82,F76,F70)</f>
        <v>1675124439</v>
      </c>
      <c r="G84" s="548"/>
      <c r="H84" s="548"/>
      <c r="I84" s="548"/>
      <c r="J84" s="548"/>
      <c r="K84" s="548"/>
      <c r="L84" s="548"/>
      <c r="M84" s="548"/>
      <c r="N84" s="548"/>
      <c r="O84" s="548"/>
      <c r="P84" s="548"/>
      <c r="Q84" s="548"/>
      <c r="R84" s="548"/>
      <c r="S84" s="548"/>
      <c r="T84" s="548" t="s">
        <v>128</v>
      </c>
      <c r="U84" s="548"/>
      <c r="V84" s="548"/>
      <c r="W84" s="549">
        <f>SUM(W82,W76,W70)</f>
        <v>1111664600</v>
      </c>
      <c r="X84" s="549">
        <f>SUM(X82,X76,X70)</f>
        <v>563459839</v>
      </c>
      <c r="Y84" s="549">
        <f>SUM(Y82,Y76,Y70)</f>
        <v>1675124439</v>
      </c>
      <c r="Z84" s="379"/>
      <c r="AA84" s="549">
        <f>SUM(AA82,AA76,AA70)</f>
        <v>-134722987</v>
      </c>
      <c r="AB84" s="549">
        <f>SUM(AB82,AB76,AB70)</f>
        <v>134722987</v>
      </c>
      <c r="AC84" s="549">
        <f>SUM(AC82,AC76,AC70)</f>
        <v>0</v>
      </c>
    </row>
    <row r="85" spans="1:29" ht="12.75">
      <c r="A85" s="548"/>
      <c r="B85" s="548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  <c r="AC85" s="399"/>
    </row>
    <row r="86" spans="1:29" ht="12.75">
      <c r="A86" s="475"/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399"/>
    </row>
    <row r="87" spans="1:3" ht="12.75">
      <c r="A87" s="475"/>
      <c r="B87" s="475"/>
      <c r="C87" s="475"/>
    </row>
  </sheetData>
  <sheetProtection/>
  <mergeCells count="179">
    <mergeCell ref="G27:I27"/>
    <mergeCell ref="K28:K30"/>
    <mergeCell ref="R34:U34"/>
    <mergeCell ref="W22:W25"/>
    <mergeCell ref="R22:U22"/>
    <mergeCell ref="G25:I25"/>
    <mergeCell ref="L30:O30"/>
    <mergeCell ref="W28:W30"/>
    <mergeCell ref="G26:I26"/>
    <mergeCell ref="Q26:Q27"/>
    <mergeCell ref="L17:O17"/>
    <mergeCell ref="L20:O20"/>
    <mergeCell ref="L21:O21"/>
    <mergeCell ref="L13:O13"/>
    <mergeCell ref="L15:O15"/>
    <mergeCell ref="L16:O16"/>
    <mergeCell ref="L14:O14"/>
    <mergeCell ref="G19:I19"/>
    <mergeCell ref="G13:I13"/>
    <mergeCell ref="R25:U25"/>
    <mergeCell ref="R16:U16"/>
    <mergeCell ref="G11:I11"/>
    <mergeCell ref="G16:I16"/>
    <mergeCell ref="G15:I15"/>
    <mergeCell ref="L25:O25"/>
    <mergeCell ref="G14:I14"/>
    <mergeCell ref="K22:K25"/>
    <mergeCell ref="R20:U20"/>
    <mergeCell ref="R19:U19"/>
    <mergeCell ref="R21:U21"/>
    <mergeCell ref="Q22:Q25"/>
    <mergeCell ref="R27:U27"/>
    <mergeCell ref="K26:K27"/>
    <mergeCell ref="L19:O19"/>
    <mergeCell ref="Q8:Q21"/>
    <mergeCell ref="R13:U13"/>
    <mergeCell ref="R15:U15"/>
    <mergeCell ref="R8:U8"/>
    <mergeCell ref="L11:O11"/>
    <mergeCell ref="L8:O8"/>
    <mergeCell ref="R11:U11"/>
    <mergeCell ref="R12:U12"/>
    <mergeCell ref="G9:I9"/>
    <mergeCell ref="R9:U9"/>
    <mergeCell ref="G10:I10"/>
    <mergeCell ref="L12:O12"/>
    <mergeCell ref="T1:AB1"/>
    <mergeCell ref="X6:Z6"/>
    <mergeCell ref="AA6:AC6"/>
    <mergeCell ref="A6:C7"/>
    <mergeCell ref="L6:Q7"/>
    <mergeCell ref="R6:W7"/>
    <mergeCell ref="D6:F6"/>
    <mergeCell ref="G6:K7"/>
    <mergeCell ref="A3:AC3"/>
    <mergeCell ref="AA36:AC36"/>
    <mergeCell ref="R36:W37"/>
    <mergeCell ref="X36:Z36"/>
    <mergeCell ref="W8:W21"/>
    <mergeCell ref="R17:U17"/>
    <mergeCell ref="R10:U10"/>
    <mergeCell ref="S35:V35"/>
    <mergeCell ref="R14:U14"/>
    <mergeCell ref="R18:U18"/>
    <mergeCell ref="R28:U28"/>
    <mergeCell ref="G17:I17"/>
    <mergeCell ref="G22:I22"/>
    <mergeCell ref="A30:C30"/>
    <mergeCell ref="L26:O26"/>
    <mergeCell ref="K8:K21"/>
    <mergeCell ref="L22:O22"/>
    <mergeCell ref="G8:I8"/>
    <mergeCell ref="L9:O9"/>
    <mergeCell ref="L10:O10"/>
    <mergeCell ref="G12:I12"/>
    <mergeCell ref="B40:C40"/>
    <mergeCell ref="G42:I42"/>
    <mergeCell ref="A34:C34"/>
    <mergeCell ref="A35:C35"/>
    <mergeCell ref="H35:J35"/>
    <mergeCell ref="L34:O34"/>
    <mergeCell ref="P38:P39"/>
    <mergeCell ref="G38:I38"/>
    <mergeCell ref="G41:I41"/>
    <mergeCell ref="B27:C27"/>
    <mergeCell ref="L18:O18"/>
    <mergeCell ref="W38:W43"/>
    <mergeCell ref="R41:U41"/>
    <mergeCell ref="R43:U43"/>
    <mergeCell ref="M35:P35"/>
    <mergeCell ref="R38:U38"/>
    <mergeCell ref="L48:O48"/>
    <mergeCell ref="R48:U48"/>
    <mergeCell ref="R49:U49"/>
    <mergeCell ref="A36:C37"/>
    <mergeCell ref="D36:F36"/>
    <mergeCell ref="G36:K37"/>
    <mergeCell ref="L38:O39"/>
    <mergeCell ref="L36:Q37"/>
    <mergeCell ref="K38:K43"/>
    <mergeCell ref="Q38:Q43"/>
    <mergeCell ref="G49:I49"/>
    <mergeCell ref="G53:I53"/>
    <mergeCell ref="G52:I52"/>
    <mergeCell ref="G54:I54"/>
    <mergeCell ref="AA46:AC46"/>
    <mergeCell ref="L49:O49"/>
    <mergeCell ref="Q49:Q57"/>
    <mergeCell ref="R52:U52"/>
    <mergeCell ref="G48:I48"/>
    <mergeCell ref="X46:Z46"/>
    <mergeCell ref="K48:K57"/>
    <mergeCell ref="G57:I57"/>
    <mergeCell ref="G56:I56"/>
    <mergeCell ref="Q58:Q60"/>
    <mergeCell ref="G55:I55"/>
    <mergeCell ref="A44:C44"/>
    <mergeCell ref="H44:J44"/>
    <mergeCell ref="M44:P44"/>
    <mergeCell ref="G50:I50"/>
    <mergeCell ref="L46:Q47"/>
    <mergeCell ref="AA64:AC64"/>
    <mergeCell ref="A61:C61"/>
    <mergeCell ref="G58:I58"/>
    <mergeCell ref="W64:Y64"/>
    <mergeCell ref="A62:C62"/>
    <mergeCell ref="S65:V65"/>
    <mergeCell ref="K58:K60"/>
    <mergeCell ref="S61:V61"/>
    <mergeCell ref="A46:C47"/>
    <mergeCell ref="A59:C59"/>
    <mergeCell ref="G51:I51"/>
    <mergeCell ref="L58:O58"/>
    <mergeCell ref="L59:O59"/>
    <mergeCell ref="D64:F64"/>
    <mergeCell ref="A52:C52"/>
    <mergeCell ref="D46:F46"/>
    <mergeCell ref="G46:K47"/>
    <mergeCell ref="A57:C57"/>
    <mergeCell ref="R30:U30"/>
    <mergeCell ref="G39:I39"/>
    <mergeCell ref="R59:U59"/>
    <mergeCell ref="R57:U57"/>
    <mergeCell ref="S62:V62"/>
    <mergeCell ref="A63:C63"/>
    <mergeCell ref="H62:J62"/>
    <mergeCell ref="M62:P62"/>
    <mergeCell ref="H61:J61"/>
    <mergeCell ref="M61:P61"/>
    <mergeCell ref="V66:W66"/>
    <mergeCell ref="S44:V44"/>
    <mergeCell ref="R46:W47"/>
    <mergeCell ref="R39:U39"/>
    <mergeCell ref="R40:U40"/>
    <mergeCell ref="L40:O40"/>
    <mergeCell ref="R50:U50"/>
    <mergeCell ref="R42:U42"/>
    <mergeCell ref="R53:U53"/>
    <mergeCell ref="W49:W57"/>
    <mergeCell ref="Q28:Q30"/>
    <mergeCell ref="R24:U24"/>
    <mergeCell ref="R31:U31"/>
    <mergeCell ref="L33:O33"/>
    <mergeCell ref="G34:I34"/>
    <mergeCell ref="L24:O24"/>
    <mergeCell ref="L31:O31"/>
    <mergeCell ref="K31:K34"/>
    <mergeCell ref="Q31:Q34"/>
    <mergeCell ref="L27:O27"/>
    <mergeCell ref="L23:O23"/>
    <mergeCell ref="R23:U23"/>
    <mergeCell ref="L41:O41"/>
    <mergeCell ref="R26:U26"/>
    <mergeCell ref="W26:W27"/>
    <mergeCell ref="W31:W34"/>
    <mergeCell ref="L32:O32"/>
    <mergeCell ref="L29:O29"/>
    <mergeCell ref="R29:U29"/>
    <mergeCell ref="L28:O2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72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32.375" style="0" customWidth="1"/>
    <col min="14" max="14" width="9.125" style="183" customWidth="1"/>
  </cols>
  <sheetData>
    <row r="1" spans="8:13" ht="15">
      <c r="H1" s="1"/>
      <c r="I1" s="1"/>
      <c r="J1" s="1"/>
      <c r="K1" s="1"/>
      <c r="L1" s="1"/>
      <c r="M1" s="6" t="s">
        <v>1081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86" customFormat="1" ht="14.25" customHeight="1">
      <c r="A4" s="1123" t="s">
        <v>585</v>
      </c>
      <c r="B4" s="1123"/>
      <c r="C4" s="1123"/>
      <c r="D4" s="1123"/>
      <c r="E4" s="1123"/>
      <c r="F4" s="1123"/>
      <c r="G4" s="1123"/>
      <c r="H4" s="1123"/>
      <c r="I4" s="1123"/>
      <c r="J4" s="1123"/>
      <c r="K4" s="1123"/>
      <c r="L4" s="1123"/>
      <c r="M4" s="1123"/>
      <c r="N4" s="184"/>
    </row>
    <row r="5" spans="1:14" s="86" customFormat="1" ht="14.25" customHeight="1">
      <c r="A5" s="1123" t="s">
        <v>494</v>
      </c>
      <c r="B5" s="1123"/>
      <c r="C5" s="1123"/>
      <c r="D5" s="1123"/>
      <c r="E5" s="1123"/>
      <c r="F5" s="1123"/>
      <c r="G5" s="1123"/>
      <c r="H5" s="1123"/>
      <c r="I5" s="1123"/>
      <c r="J5" s="1123"/>
      <c r="K5" s="1123"/>
      <c r="L5" s="1123"/>
      <c r="M5" s="1123"/>
      <c r="N5" s="184"/>
    </row>
    <row r="6" spans="1:14" s="86" customFormat="1" ht="18" customHeight="1">
      <c r="A6" s="1123"/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84"/>
    </row>
    <row r="7" spans="1:14" s="85" customFormat="1" ht="12.75">
      <c r="A7" s="165" t="s">
        <v>397</v>
      </c>
      <c r="B7" s="134" t="s">
        <v>378</v>
      </c>
      <c r="C7" s="134" t="s">
        <v>379</v>
      </c>
      <c r="D7" s="134" t="s">
        <v>380</v>
      </c>
      <c r="E7" s="134" t="s">
        <v>381</v>
      </c>
      <c r="F7" s="134" t="s">
        <v>382</v>
      </c>
      <c r="G7" s="134" t="s">
        <v>383</v>
      </c>
      <c r="H7" s="134" t="s">
        <v>384</v>
      </c>
      <c r="I7" s="134" t="s">
        <v>385</v>
      </c>
      <c r="J7" s="134" t="s">
        <v>386</v>
      </c>
      <c r="K7" s="134" t="s">
        <v>387</v>
      </c>
      <c r="L7" s="134" t="s">
        <v>388</v>
      </c>
      <c r="M7" s="134" t="s">
        <v>389</v>
      </c>
      <c r="N7" s="185"/>
    </row>
    <row r="8" spans="1:14" s="88" customFormat="1" ht="22.5" customHeight="1">
      <c r="A8" s="186" t="s">
        <v>1031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8"/>
    </row>
    <row r="9" spans="1:14" s="190" customFormat="1" ht="27" customHeight="1">
      <c r="A9" s="187" t="s">
        <v>883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1:14" s="87" customFormat="1" ht="12.75">
      <c r="A10" s="169" t="s">
        <v>703</v>
      </c>
      <c r="B10" s="136">
        <v>1</v>
      </c>
      <c r="C10" s="136">
        <v>1</v>
      </c>
      <c r="D10" s="136">
        <v>1</v>
      </c>
      <c r="E10" s="136">
        <v>1</v>
      </c>
      <c r="F10" s="136">
        <v>1</v>
      </c>
      <c r="G10" s="136">
        <v>1</v>
      </c>
      <c r="H10" s="136">
        <v>1</v>
      </c>
      <c r="I10" s="136">
        <v>1</v>
      </c>
      <c r="J10" s="136">
        <v>1</v>
      </c>
      <c r="K10" s="136">
        <v>1</v>
      </c>
      <c r="L10" s="136">
        <v>1</v>
      </c>
      <c r="M10" s="136">
        <v>1</v>
      </c>
      <c r="N10" s="191"/>
    </row>
    <row r="11" spans="1:14" s="87" customFormat="1" ht="12.75">
      <c r="A11" s="169" t="s">
        <v>704</v>
      </c>
      <c r="B11" s="136">
        <v>16</v>
      </c>
      <c r="C11" s="136">
        <v>16</v>
      </c>
      <c r="D11" s="136">
        <v>16</v>
      </c>
      <c r="E11" s="136">
        <v>16</v>
      </c>
      <c r="F11" s="136">
        <v>16</v>
      </c>
      <c r="G11" s="136">
        <v>16</v>
      </c>
      <c r="H11" s="136">
        <v>16</v>
      </c>
      <c r="I11" s="136">
        <v>16</v>
      </c>
      <c r="J11" s="136">
        <v>17</v>
      </c>
      <c r="K11" s="136">
        <v>17</v>
      </c>
      <c r="L11" s="136">
        <v>17</v>
      </c>
      <c r="M11" s="136">
        <v>17</v>
      </c>
      <c r="N11" s="191"/>
    </row>
    <row r="12" spans="1:14" s="87" customFormat="1" ht="12.75" customHeight="1">
      <c r="A12" s="169" t="s">
        <v>705</v>
      </c>
      <c r="B12" s="136">
        <v>4</v>
      </c>
      <c r="C12" s="136">
        <v>4</v>
      </c>
      <c r="D12" s="136">
        <v>4</v>
      </c>
      <c r="E12" s="136">
        <v>4</v>
      </c>
      <c r="F12" s="136">
        <v>3</v>
      </c>
      <c r="G12" s="136">
        <v>3</v>
      </c>
      <c r="H12" s="136">
        <v>3</v>
      </c>
      <c r="I12" s="136">
        <v>3</v>
      </c>
      <c r="J12" s="136">
        <v>2</v>
      </c>
      <c r="K12" s="136">
        <v>2</v>
      </c>
      <c r="L12" s="136">
        <v>2</v>
      </c>
      <c r="M12" s="136">
        <v>2</v>
      </c>
      <c r="N12" s="191"/>
    </row>
    <row r="13" spans="1:14" s="87" customFormat="1" ht="12.75">
      <c r="A13" s="192" t="s">
        <v>706</v>
      </c>
      <c r="B13" s="136">
        <v>9</v>
      </c>
      <c r="C13" s="136">
        <v>9</v>
      </c>
      <c r="D13" s="136">
        <v>9</v>
      </c>
      <c r="E13" s="136">
        <v>9</v>
      </c>
      <c r="F13" s="136">
        <v>9</v>
      </c>
      <c r="G13" s="136">
        <v>9</v>
      </c>
      <c r="H13" s="136">
        <v>9</v>
      </c>
      <c r="I13" s="136">
        <v>9</v>
      </c>
      <c r="J13" s="136">
        <v>8</v>
      </c>
      <c r="K13" s="136">
        <v>8</v>
      </c>
      <c r="L13" s="136">
        <v>8</v>
      </c>
      <c r="M13" s="136">
        <v>8</v>
      </c>
      <c r="N13" s="191"/>
    </row>
    <row r="14" spans="1:14" s="87" customFormat="1" ht="12.75">
      <c r="A14" s="169" t="s">
        <v>707</v>
      </c>
      <c r="B14" s="136">
        <v>1</v>
      </c>
      <c r="C14" s="136">
        <v>1</v>
      </c>
      <c r="D14" s="136">
        <v>1</v>
      </c>
      <c r="E14" s="136">
        <v>1</v>
      </c>
      <c r="F14" s="136">
        <v>1</v>
      </c>
      <c r="G14" s="136">
        <v>1</v>
      </c>
      <c r="H14" s="136">
        <v>1</v>
      </c>
      <c r="I14" s="136">
        <v>1</v>
      </c>
      <c r="J14" s="136">
        <v>1</v>
      </c>
      <c r="K14" s="136">
        <v>1</v>
      </c>
      <c r="L14" s="136">
        <v>1</v>
      </c>
      <c r="M14" s="136">
        <v>1</v>
      </c>
      <c r="N14" s="191"/>
    </row>
    <row r="15" spans="1:14" s="87" customFormat="1" ht="12.75">
      <c r="A15" s="169" t="s">
        <v>708</v>
      </c>
      <c r="B15" s="136">
        <v>1</v>
      </c>
      <c r="C15" s="136">
        <v>1</v>
      </c>
      <c r="D15" s="136">
        <v>1</v>
      </c>
      <c r="E15" s="136">
        <v>1</v>
      </c>
      <c r="F15" s="136">
        <v>1</v>
      </c>
      <c r="G15" s="136">
        <v>1</v>
      </c>
      <c r="H15" s="136">
        <v>1</v>
      </c>
      <c r="I15" s="136">
        <v>1</v>
      </c>
      <c r="J15" s="136">
        <v>1</v>
      </c>
      <c r="K15" s="136">
        <v>1</v>
      </c>
      <c r="L15" s="136">
        <v>1</v>
      </c>
      <c r="M15" s="136">
        <v>1</v>
      </c>
      <c r="N15" s="191"/>
    </row>
    <row r="16" spans="1:14" s="190" customFormat="1" ht="22.5" customHeight="1">
      <c r="A16" s="187" t="s">
        <v>868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/>
    </row>
    <row r="17" spans="1:14" s="87" customFormat="1" ht="12.75">
      <c r="A17" s="169" t="s">
        <v>709</v>
      </c>
      <c r="B17" s="136">
        <v>2</v>
      </c>
      <c r="C17" s="136">
        <v>2</v>
      </c>
      <c r="D17" s="136">
        <v>2</v>
      </c>
      <c r="E17" s="136">
        <v>2</v>
      </c>
      <c r="F17" s="136">
        <v>2</v>
      </c>
      <c r="G17" s="136">
        <v>2</v>
      </c>
      <c r="H17" s="136">
        <v>2</v>
      </c>
      <c r="I17" s="136">
        <v>2</v>
      </c>
      <c r="J17" s="136">
        <v>2</v>
      </c>
      <c r="K17" s="136">
        <v>2</v>
      </c>
      <c r="L17" s="136">
        <v>2</v>
      </c>
      <c r="M17" s="136">
        <v>2</v>
      </c>
      <c r="N17" s="191"/>
    </row>
    <row r="18" spans="1:14" s="87" customFormat="1" ht="12.75">
      <c r="A18" s="169" t="s">
        <v>712</v>
      </c>
      <c r="B18" s="136">
        <v>1</v>
      </c>
      <c r="C18" s="136">
        <v>1</v>
      </c>
      <c r="D18" s="136">
        <v>1</v>
      </c>
      <c r="E18" s="136">
        <v>1</v>
      </c>
      <c r="F18" s="136">
        <v>1</v>
      </c>
      <c r="G18" s="136">
        <v>1</v>
      </c>
      <c r="H18" s="136">
        <v>1</v>
      </c>
      <c r="I18" s="136">
        <v>1</v>
      </c>
      <c r="J18" s="136">
        <v>1</v>
      </c>
      <c r="K18" s="136">
        <v>1</v>
      </c>
      <c r="L18" s="136">
        <v>1</v>
      </c>
      <c r="M18" s="136">
        <v>1</v>
      </c>
      <c r="N18" s="191"/>
    </row>
    <row r="19" spans="1:14" s="190" customFormat="1" ht="25.5">
      <c r="A19" s="193" t="s">
        <v>867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9"/>
    </row>
    <row r="20" spans="1:14" s="87" customFormat="1" ht="12.75">
      <c r="A20" s="169" t="s">
        <v>709</v>
      </c>
      <c r="B20" s="136">
        <v>1</v>
      </c>
      <c r="C20" s="136">
        <v>1</v>
      </c>
      <c r="D20" s="136">
        <v>1</v>
      </c>
      <c r="E20" s="136">
        <v>1</v>
      </c>
      <c r="F20" s="136">
        <v>1</v>
      </c>
      <c r="G20" s="136">
        <v>1</v>
      </c>
      <c r="H20" s="136">
        <v>1</v>
      </c>
      <c r="I20" s="136">
        <v>1</v>
      </c>
      <c r="J20" s="136">
        <v>0</v>
      </c>
      <c r="K20" s="136">
        <v>0</v>
      </c>
      <c r="L20" s="136">
        <v>0</v>
      </c>
      <c r="M20" s="136">
        <v>0</v>
      </c>
      <c r="N20" s="191"/>
    </row>
    <row r="21" spans="1:14" s="87" customFormat="1" ht="12.75">
      <c r="A21" s="169" t="s">
        <v>710</v>
      </c>
      <c r="B21" s="136">
        <v>1</v>
      </c>
      <c r="C21" s="136">
        <v>1</v>
      </c>
      <c r="D21" s="136">
        <v>1</v>
      </c>
      <c r="E21" s="136">
        <v>1</v>
      </c>
      <c r="F21" s="136">
        <v>1</v>
      </c>
      <c r="G21" s="136">
        <v>1</v>
      </c>
      <c r="H21" s="136">
        <v>1</v>
      </c>
      <c r="I21" s="136">
        <v>1</v>
      </c>
      <c r="J21" s="136">
        <v>0</v>
      </c>
      <c r="K21" s="136">
        <v>0</v>
      </c>
      <c r="L21" s="136">
        <v>0</v>
      </c>
      <c r="M21" s="136">
        <v>0</v>
      </c>
      <c r="N21" s="191"/>
    </row>
    <row r="22" spans="1:14" s="87" customFormat="1" ht="12.75">
      <c r="A22" s="169" t="s">
        <v>711</v>
      </c>
      <c r="B22" s="136">
        <v>1</v>
      </c>
      <c r="C22" s="136">
        <v>1</v>
      </c>
      <c r="D22" s="136">
        <v>1</v>
      </c>
      <c r="E22" s="136">
        <v>1</v>
      </c>
      <c r="F22" s="136">
        <v>1</v>
      </c>
      <c r="G22" s="136">
        <v>1</v>
      </c>
      <c r="H22" s="136">
        <v>1</v>
      </c>
      <c r="I22" s="136">
        <v>1</v>
      </c>
      <c r="J22" s="136">
        <v>0</v>
      </c>
      <c r="K22" s="136">
        <v>0</v>
      </c>
      <c r="L22" s="136">
        <v>0</v>
      </c>
      <c r="M22" s="136">
        <v>0</v>
      </c>
      <c r="N22" s="191"/>
    </row>
    <row r="23" spans="1:14" s="190" customFormat="1" ht="30.75" customHeight="1">
      <c r="A23" s="848" t="s">
        <v>1051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</row>
    <row r="24" spans="1:14" s="87" customFormat="1" ht="12.75">
      <c r="A24" s="169" t="s">
        <v>710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2</v>
      </c>
      <c r="K24" s="136">
        <v>2</v>
      </c>
      <c r="L24" s="136">
        <v>2</v>
      </c>
      <c r="M24" s="136">
        <v>2</v>
      </c>
      <c r="N24" s="191"/>
    </row>
    <row r="25" spans="1:14" s="87" customFormat="1" ht="12.75">
      <c r="A25" s="169" t="s">
        <v>711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1</v>
      </c>
      <c r="K25" s="136">
        <v>1</v>
      </c>
      <c r="L25" s="136">
        <v>1</v>
      </c>
      <c r="M25" s="136">
        <v>1</v>
      </c>
      <c r="N25" s="191"/>
    </row>
    <row r="26" spans="1:14" s="190" customFormat="1" ht="22.5" customHeight="1">
      <c r="A26" s="187" t="s">
        <v>658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/>
    </row>
    <row r="27" spans="1:14" s="87" customFormat="1" ht="12.75">
      <c r="A27" s="169" t="s">
        <v>713</v>
      </c>
      <c r="B27" s="136">
        <v>1</v>
      </c>
      <c r="C27" s="136">
        <v>1</v>
      </c>
      <c r="D27" s="136">
        <v>1</v>
      </c>
      <c r="E27" s="136">
        <v>1</v>
      </c>
      <c r="F27" s="136">
        <v>1</v>
      </c>
      <c r="G27" s="136">
        <v>1</v>
      </c>
      <c r="H27" s="136">
        <v>1</v>
      </c>
      <c r="I27" s="136">
        <v>1</v>
      </c>
      <c r="J27" s="136">
        <v>1</v>
      </c>
      <c r="K27" s="136">
        <v>1</v>
      </c>
      <c r="L27" s="136">
        <v>1</v>
      </c>
      <c r="M27" s="136">
        <v>1</v>
      </c>
      <c r="N27" s="191"/>
    </row>
    <row r="28" spans="1:14" s="87" customFormat="1" ht="12.75">
      <c r="A28" s="169" t="s">
        <v>715</v>
      </c>
      <c r="B28" s="136">
        <v>4</v>
      </c>
      <c r="C28" s="136">
        <v>4</v>
      </c>
      <c r="D28" s="136">
        <v>4</v>
      </c>
      <c r="E28" s="136">
        <v>4</v>
      </c>
      <c r="F28" s="136">
        <v>4</v>
      </c>
      <c r="G28" s="136">
        <v>4</v>
      </c>
      <c r="H28" s="136">
        <v>4</v>
      </c>
      <c r="I28" s="136">
        <v>4</v>
      </c>
      <c r="J28" s="136">
        <v>4</v>
      </c>
      <c r="K28" s="136">
        <v>4</v>
      </c>
      <c r="L28" s="136">
        <v>4</v>
      </c>
      <c r="M28" s="136">
        <v>4</v>
      </c>
      <c r="N28" s="191"/>
    </row>
    <row r="29" spans="1:14" s="190" customFormat="1" ht="22.5" customHeight="1">
      <c r="A29" s="187" t="s">
        <v>869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9"/>
    </row>
    <row r="30" spans="1:14" s="87" customFormat="1" ht="12.75">
      <c r="A30" s="169" t="s">
        <v>713</v>
      </c>
      <c r="B30" s="136">
        <v>1</v>
      </c>
      <c r="C30" s="136">
        <v>1</v>
      </c>
      <c r="D30" s="136">
        <v>1</v>
      </c>
      <c r="E30" s="136">
        <v>1</v>
      </c>
      <c r="F30" s="136">
        <v>1</v>
      </c>
      <c r="G30" s="136">
        <v>1</v>
      </c>
      <c r="H30" s="136">
        <v>1</v>
      </c>
      <c r="I30" s="136">
        <v>1</v>
      </c>
      <c r="J30" s="136">
        <v>1</v>
      </c>
      <c r="K30" s="136">
        <v>1</v>
      </c>
      <c r="L30" s="136">
        <v>1</v>
      </c>
      <c r="M30" s="136">
        <v>1</v>
      </c>
      <c r="N30" s="191"/>
    </row>
    <row r="31" spans="1:14" s="87" customFormat="1" ht="12.75">
      <c r="A31" s="169" t="s">
        <v>714</v>
      </c>
      <c r="B31" s="136">
        <v>5</v>
      </c>
      <c r="C31" s="136">
        <v>5</v>
      </c>
      <c r="D31" s="136">
        <v>5</v>
      </c>
      <c r="E31" s="136">
        <v>5</v>
      </c>
      <c r="F31" s="136">
        <v>5</v>
      </c>
      <c r="G31" s="136">
        <v>5</v>
      </c>
      <c r="H31" s="136">
        <v>5</v>
      </c>
      <c r="I31" s="136">
        <v>5</v>
      </c>
      <c r="J31" s="136">
        <v>4</v>
      </c>
      <c r="K31" s="136">
        <v>4</v>
      </c>
      <c r="L31" s="136">
        <v>4</v>
      </c>
      <c r="M31" s="136">
        <v>4</v>
      </c>
      <c r="N31" s="191"/>
    </row>
    <row r="32" spans="1:14" s="190" customFormat="1" ht="22.5" customHeight="1">
      <c r="A32" s="187" t="s">
        <v>716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9"/>
    </row>
    <row r="33" spans="1:14" s="87" customFormat="1" ht="12.75">
      <c r="A33" s="169" t="s">
        <v>717</v>
      </c>
      <c r="B33" s="136">
        <v>1</v>
      </c>
      <c r="C33" s="136">
        <v>1</v>
      </c>
      <c r="D33" s="136">
        <v>1</v>
      </c>
      <c r="E33" s="136">
        <v>1</v>
      </c>
      <c r="F33" s="136">
        <v>1</v>
      </c>
      <c r="G33" s="136">
        <v>1</v>
      </c>
      <c r="H33" s="136">
        <v>1</v>
      </c>
      <c r="I33" s="136">
        <v>1</v>
      </c>
      <c r="J33" s="136">
        <v>1</v>
      </c>
      <c r="K33" s="136">
        <v>1</v>
      </c>
      <c r="L33" s="136">
        <v>1</v>
      </c>
      <c r="M33" s="136">
        <v>1</v>
      </c>
      <c r="N33" s="191"/>
    </row>
    <row r="34" spans="1:14" s="87" customFormat="1" ht="12.75">
      <c r="A34" s="169" t="s">
        <v>884</v>
      </c>
      <c r="B34" s="136">
        <v>1</v>
      </c>
      <c r="C34" s="136">
        <v>1</v>
      </c>
      <c r="D34" s="136">
        <v>1</v>
      </c>
      <c r="E34" s="136">
        <v>1</v>
      </c>
      <c r="F34" s="136">
        <v>1</v>
      </c>
      <c r="G34" s="136">
        <v>1</v>
      </c>
      <c r="H34" s="136">
        <v>1</v>
      </c>
      <c r="I34" s="136">
        <v>1</v>
      </c>
      <c r="J34" s="136">
        <v>1</v>
      </c>
      <c r="K34" s="136">
        <v>1</v>
      </c>
      <c r="L34" s="136">
        <v>1</v>
      </c>
      <c r="M34" s="136">
        <v>1</v>
      </c>
      <c r="N34" s="191"/>
    </row>
    <row r="35" spans="1:14" s="87" customFormat="1" ht="12.75">
      <c r="A35" s="169" t="s">
        <v>885</v>
      </c>
      <c r="B35" s="136">
        <v>0.5</v>
      </c>
      <c r="C35" s="136">
        <v>0.5</v>
      </c>
      <c r="D35" s="136">
        <v>0.5</v>
      </c>
      <c r="E35" s="136">
        <v>0.5</v>
      </c>
      <c r="F35" s="136">
        <v>0.5</v>
      </c>
      <c r="G35" s="136">
        <v>0.5</v>
      </c>
      <c r="H35" s="136">
        <v>0.5</v>
      </c>
      <c r="I35" s="136">
        <v>0.5</v>
      </c>
      <c r="J35" s="136">
        <v>0.5</v>
      </c>
      <c r="K35" s="136">
        <v>0.5</v>
      </c>
      <c r="L35" s="136">
        <v>0.5</v>
      </c>
      <c r="M35" s="136">
        <v>0.5</v>
      </c>
      <c r="N35" s="191"/>
    </row>
    <row r="36" spans="1:14" s="162" customFormat="1" ht="38.25">
      <c r="A36" s="167" t="s">
        <v>1032</v>
      </c>
      <c r="B36" s="161">
        <f aca="true" t="shared" si="0" ref="B36:M36">SUM(B10:B35)</f>
        <v>51.5</v>
      </c>
      <c r="C36" s="161">
        <f t="shared" si="0"/>
        <v>51.5</v>
      </c>
      <c r="D36" s="161">
        <f t="shared" si="0"/>
        <v>51.5</v>
      </c>
      <c r="E36" s="161">
        <f t="shared" si="0"/>
        <v>51.5</v>
      </c>
      <c r="F36" s="161">
        <f t="shared" si="0"/>
        <v>50.5</v>
      </c>
      <c r="G36" s="161">
        <f t="shared" si="0"/>
        <v>50.5</v>
      </c>
      <c r="H36" s="161">
        <f t="shared" si="0"/>
        <v>50.5</v>
      </c>
      <c r="I36" s="161">
        <f t="shared" si="0"/>
        <v>50.5</v>
      </c>
      <c r="J36" s="161">
        <f t="shared" si="0"/>
        <v>48.5</v>
      </c>
      <c r="K36" s="161">
        <f t="shared" si="0"/>
        <v>48.5</v>
      </c>
      <c r="L36" s="161">
        <f t="shared" si="0"/>
        <v>48.5</v>
      </c>
      <c r="M36" s="161">
        <f t="shared" si="0"/>
        <v>48.5</v>
      </c>
      <c r="N36" s="194"/>
    </row>
    <row r="37" spans="1:14" s="87" customFormat="1" ht="14.25" customHeight="1">
      <c r="A37" s="16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91"/>
    </row>
    <row r="38" spans="1:14" s="88" customFormat="1" ht="22.5" customHeight="1">
      <c r="A38" s="186" t="s">
        <v>408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8"/>
    </row>
    <row r="39" spans="1:14" s="87" customFormat="1" ht="12.75">
      <c r="A39" s="169" t="s">
        <v>470</v>
      </c>
      <c r="B39" s="136">
        <v>23</v>
      </c>
      <c r="C39" s="136">
        <v>23</v>
      </c>
      <c r="D39" s="136">
        <v>23</v>
      </c>
      <c r="E39" s="136">
        <v>23</v>
      </c>
      <c r="F39" s="136">
        <v>23</v>
      </c>
      <c r="G39" s="136">
        <v>23</v>
      </c>
      <c r="H39" s="136">
        <v>23</v>
      </c>
      <c r="I39" s="136">
        <v>23</v>
      </c>
      <c r="J39" s="136">
        <v>23</v>
      </c>
      <c r="K39" s="136">
        <v>23</v>
      </c>
      <c r="L39" s="136">
        <v>23</v>
      </c>
      <c r="M39" s="136">
        <v>23</v>
      </c>
      <c r="N39" s="191"/>
    </row>
    <row r="40" spans="1:14" s="88" customFormat="1" ht="22.5" customHeight="1">
      <c r="A40" s="186" t="s">
        <v>1028</v>
      </c>
      <c r="B40" s="161">
        <f aca="true" t="shared" si="1" ref="B40:M40">SUM(B39:B39)</f>
        <v>23</v>
      </c>
      <c r="C40" s="161">
        <f t="shared" si="1"/>
        <v>23</v>
      </c>
      <c r="D40" s="161">
        <f t="shared" si="1"/>
        <v>23</v>
      </c>
      <c r="E40" s="161">
        <f t="shared" si="1"/>
        <v>23</v>
      </c>
      <c r="F40" s="161">
        <f t="shared" si="1"/>
        <v>23</v>
      </c>
      <c r="G40" s="161">
        <f t="shared" si="1"/>
        <v>23</v>
      </c>
      <c r="H40" s="161">
        <f t="shared" si="1"/>
        <v>23</v>
      </c>
      <c r="I40" s="161">
        <f t="shared" si="1"/>
        <v>23</v>
      </c>
      <c r="J40" s="161">
        <f t="shared" si="1"/>
        <v>23</v>
      </c>
      <c r="K40" s="161">
        <f t="shared" si="1"/>
        <v>23</v>
      </c>
      <c r="L40" s="161">
        <f t="shared" si="1"/>
        <v>23</v>
      </c>
      <c r="M40" s="161">
        <f t="shared" si="1"/>
        <v>23</v>
      </c>
      <c r="N40" s="138"/>
    </row>
    <row r="41" spans="1:13" s="138" customFormat="1" ht="14.25" customHeight="1">
      <c r="A41" s="170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</row>
    <row r="42" spans="1:14" s="88" customFormat="1" ht="22.5" customHeight="1">
      <c r="A42" s="186" t="s">
        <v>493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8"/>
    </row>
    <row r="43" spans="1:14" s="87" customFormat="1" ht="12.75">
      <c r="A43" s="169" t="s">
        <v>718</v>
      </c>
      <c r="B43" s="136">
        <v>1</v>
      </c>
      <c r="C43" s="136">
        <v>1</v>
      </c>
      <c r="D43" s="136">
        <v>1</v>
      </c>
      <c r="E43" s="136">
        <v>1</v>
      </c>
      <c r="F43" s="136">
        <v>1</v>
      </c>
      <c r="G43" s="136">
        <v>1</v>
      </c>
      <c r="H43" s="136">
        <v>1</v>
      </c>
      <c r="I43" s="136">
        <v>1</v>
      </c>
      <c r="J43" s="136">
        <v>1</v>
      </c>
      <c r="K43" s="136">
        <v>1</v>
      </c>
      <c r="L43" s="136">
        <v>1</v>
      </c>
      <c r="M43" s="136">
        <v>1</v>
      </c>
      <c r="N43" s="191"/>
    </row>
    <row r="44" spans="1:14" s="87" customFormat="1" ht="12.75">
      <c r="A44" s="171" t="s">
        <v>719</v>
      </c>
      <c r="B44" s="136">
        <v>1</v>
      </c>
      <c r="C44" s="136">
        <v>1</v>
      </c>
      <c r="D44" s="136">
        <v>1</v>
      </c>
      <c r="E44" s="136">
        <v>1</v>
      </c>
      <c r="F44" s="136">
        <v>1</v>
      </c>
      <c r="G44" s="136">
        <v>1</v>
      </c>
      <c r="H44" s="136">
        <v>1</v>
      </c>
      <c r="I44" s="136">
        <v>1</v>
      </c>
      <c r="J44" s="136">
        <v>1</v>
      </c>
      <c r="K44" s="136">
        <v>1</v>
      </c>
      <c r="L44" s="136">
        <v>1</v>
      </c>
      <c r="M44" s="136">
        <v>1</v>
      </c>
      <c r="N44" s="191"/>
    </row>
    <row r="45" spans="1:14" s="87" customFormat="1" ht="12.75">
      <c r="A45" s="171" t="s">
        <v>1006</v>
      </c>
      <c r="B45" s="136">
        <v>0</v>
      </c>
      <c r="C45" s="136">
        <v>0</v>
      </c>
      <c r="D45" s="136">
        <v>0</v>
      </c>
      <c r="E45" s="136">
        <v>1</v>
      </c>
      <c r="F45" s="136">
        <v>1</v>
      </c>
      <c r="G45" s="136">
        <v>1</v>
      </c>
      <c r="H45" s="136">
        <v>1</v>
      </c>
      <c r="I45" s="136">
        <v>1</v>
      </c>
      <c r="J45" s="136">
        <v>1</v>
      </c>
      <c r="K45" s="136">
        <v>1</v>
      </c>
      <c r="L45" s="136">
        <v>1</v>
      </c>
      <c r="M45" s="136">
        <v>1</v>
      </c>
      <c r="N45" s="191"/>
    </row>
    <row r="46" spans="1:14" s="190" customFormat="1" ht="22.5" customHeight="1">
      <c r="A46" s="187" t="s">
        <v>720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</row>
    <row r="47" spans="1:14" s="87" customFormat="1" ht="12.75">
      <c r="A47" s="171" t="s">
        <v>391</v>
      </c>
      <c r="B47" s="136">
        <v>12</v>
      </c>
      <c r="C47" s="136">
        <v>12</v>
      </c>
      <c r="D47" s="136">
        <v>12</v>
      </c>
      <c r="E47" s="136">
        <v>12</v>
      </c>
      <c r="F47" s="136">
        <v>12</v>
      </c>
      <c r="G47" s="136">
        <v>12</v>
      </c>
      <c r="H47" s="136">
        <v>12</v>
      </c>
      <c r="I47" s="136">
        <v>12</v>
      </c>
      <c r="J47" s="136">
        <v>12</v>
      </c>
      <c r="K47" s="136">
        <v>12</v>
      </c>
      <c r="L47" s="136">
        <v>12</v>
      </c>
      <c r="M47" s="136">
        <v>12</v>
      </c>
      <c r="N47" s="191"/>
    </row>
    <row r="48" spans="1:14" s="190" customFormat="1" ht="22.5" customHeight="1">
      <c r="A48" s="187" t="s">
        <v>373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</row>
    <row r="49" spans="1:14" s="87" customFormat="1" ht="12.75">
      <c r="A49" s="169" t="s">
        <v>374</v>
      </c>
      <c r="B49" s="136">
        <v>1</v>
      </c>
      <c r="C49" s="136">
        <v>1</v>
      </c>
      <c r="D49" s="136">
        <v>1</v>
      </c>
      <c r="E49" s="136">
        <v>1</v>
      </c>
      <c r="F49" s="136">
        <v>1</v>
      </c>
      <c r="G49" s="136">
        <v>1</v>
      </c>
      <c r="H49" s="136">
        <v>1</v>
      </c>
      <c r="I49" s="136">
        <v>1</v>
      </c>
      <c r="J49" s="136">
        <v>1</v>
      </c>
      <c r="K49" s="136">
        <v>1</v>
      </c>
      <c r="L49" s="136">
        <v>1</v>
      </c>
      <c r="M49" s="136">
        <v>1</v>
      </c>
      <c r="N49" s="191"/>
    </row>
    <row r="50" spans="1:14" s="190" customFormat="1" ht="24.75" customHeight="1">
      <c r="A50" s="187" t="s">
        <v>757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</row>
    <row r="51" spans="1:14" s="87" customFormat="1" ht="25.5">
      <c r="A51" s="169" t="s">
        <v>1036</v>
      </c>
      <c r="B51" s="136">
        <v>1</v>
      </c>
      <c r="C51" s="136">
        <v>1</v>
      </c>
      <c r="D51" s="136">
        <v>1</v>
      </c>
      <c r="E51" s="136">
        <v>1</v>
      </c>
      <c r="F51" s="136">
        <v>1</v>
      </c>
      <c r="G51" s="136">
        <v>1</v>
      </c>
      <c r="H51" s="136">
        <v>1</v>
      </c>
      <c r="I51" s="136">
        <v>1</v>
      </c>
      <c r="J51" s="136">
        <v>1</v>
      </c>
      <c r="K51" s="136">
        <v>1</v>
      </c>
      <c r="L51" s="136">
        <v>1</v>
      </c>
      <c r="M51" s="136">
        <v>1</v>
      </c>
      <c r="N51" s="191"/>
    </row>
    <row r="52" spans="1:14" s="190" customFormat="1" ht="22.5" customHeight="1">
      <c r="A52" s="187" t="s">
        <v>393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</row>
    <row r="53" spans="1:14" s="87" customFormat="1" ht="12.75">
      <c r="A53" s="168" t="s">
        <v>733</v>
      </c>
      <c r="B53" s="136">
        <v>1</v>
      </c>
      <c r="C53" s="136">
        <v>1</v>
      </c>
      <c r="D53" s="136">
        <v>1</v>
      </c>
      <c r="E53" s="136">
        <v>1</v>
      </c>
      <c r="F53" s="136">
        <v>1</v>
      </c>
      <c r="G53" s="136">
        <v>1</v>
      </c>
      <c r="H53" s="136">
        <v>1</v>
      </c>
      <c r="I53" s="136">
        <v>1</v>
      </c>
      <c r="J53" s="136">
        <v>1</v>
      </c>
      <c r="K53" s="136">
        <v>1</v>
      </c>
      <c r="L53" s="136">
        <v>1</v>
      </c>
      <c r="M53" s="136">
        <v>1</v>
      </c>
      <c r="N53" s="191"/>
    </row>
    <row r="54" spans="1:14" s="87" customFormat="1" ht="12.75">
      <c r="A54" s="168" t="s">
        <v>394</v>
      </c>
      <c r="B54" s="136">
        <v>3</v>
      </c>
      <c r="C54" s="136">
        <v>3</v>
      </c>
      <c r="D54" s="136">
        <v>3</v>
      </c>
      <c r="E54" s="136">
        <v>3</v>
      </c>
      <c r="F54" s="136">
        <v>3</v>
      </c>
      <c r="G54" s="136">
        <v>3</v>
      </c>
      <c r="H54" s="136">
        <v>2</v>
      </c>
      <c r="I54" s="136">
        <v>2</v>
      </c>
      <c r="J54" s="136">
        <v>2</v>
      </c>
      <c r="K54" s="136">
        <v>2</v>
      </c>
      <c r="L54" s="136">
        <v>2</v>
      </c>
      <c r="M54" s="136">
        <v>2</v>
      </c>
      <c r="N54" s="191"/>
    </row>
    <row r="55" spans="1:14" s="190" customFormat="1" ht="22.5" customHeight="1">
      <c r="A55" s="187" t="s">
        <v>395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9"/>
    </row>
    <row r="56" spans="1:14" s="87" customFormat="1" ht="12.75">
      <c r="A56" s="168" t="s">
        <v>396</v>
      </c>
      <c r="B56" s="179">
        <v>5</v>
      </c>
      <c r="C56" s="179">
        <v>5</v>
      </c>
      <c r="D56" s="179">
        <v>5</v>
      </c>
      <c r="E56" s="179">
        <v>5</v>
      </c>
      <c r="F56" s="179">
        <v>5</v>
      </c>
      <c r="G56" s="179">
        <v>5</v>
      </c>
      <c r="H56" s="136">
        <v>5</v>
      </c>
      <c r="I56" s="136">
        <v>5</v>
      </c>
      <c r="J56" s="136">
        <v>5</v>
      </c>
      <c r="K56" s="136">
        <v>5</v>
      </c>
      <c r="L56" s="136">
        <v>5</v>
      </c>
      <c r="M56" s="136">
        <v>5</v>
      </c>
      <c r="N56" s="191"/>
    </row>
    <row r="57" spans="1:14" s="88" customFormat="1" ht="22.5" customHeight="1">
      <c r="A57" s="186" t="s">
        <v>469</v>
      </c>
      <c r="B57" s="161">
        <f aca="true" t="shared" si="2" ref="B57:M57">SUM(B43:B56)</f>
        <v>25</v>
      </c>
      <c r="C57" s="161">
        <f t="shared" si="2"/>
        <v>25</v>
      </c>
      <c r="D57" s="161">
        <f t="shared" si="2"/>
        <v>25</v>
      </c>
      <c r="E57" s="161">
        <f t="shared" si="2"/>
        <v>26</v>
      </c>
      <c r="F57" s="161">
        <f t="shared" si="2"/>
        <v>26</v>
      </c>
      <c r="G57" s="161">
        <f t="shared" si="2"/>
        <v>26</v>
      </c>
      <c r="H57" s="161">
        <f t="shared" si="2"/>
        <v>25</v>
      </c>
      <c r="I57" s="161">
        <f t="shared" si="2"/>
        <v>25</v>
      </c>
      <c r="J57" s="161">
        <f t="shared" si="2"/>
        <v>25</v>
      </c>
      <c r="K57" s="161">
        <f t="shared" si="2"/>
        <v>25</v>
      </c>
      <c r="L57" s="161">
        <f t="shared" si="2"/>
        <v>25</v>
      </c>
      <c r="M57" s="161">
        <f t="shared" si="2"/>
        <v>25</v>
      </c>
      <c r="N57" s="138"/>
    </row>
    <row r="58" spans="1:14" s="88" customFormat="1" ht="30.75" customHeight="1">
      <c r="A58" s="172" t="s">
        <v>471</v>
      </c>
      <c r="B58" s="562">
        <f aca="true" t="shared" si="3" ref="B58:M58">SUM(B57,B40,B36)</f>
        <v>99.5</v>
      </c>
      <c r="C58" s="562">
        <f t="shared" si="3"/>
        <v>99.5</v>
      </c>
      <c r="D58" s="562">
        <f t="shared" si="3"/>
        <v>99.5</v>
      </c>
      <c r="E58" s="562">
        <f t="shared" si="3"/>
        <v>100.5</v>
      </c>
      <c r="F58" s="562">
        <f t="shared" si="3"/>
        <v>99.5</v>
      </c>
      <c r="G58" s="562">
        <f t="shared" si="3"/>
        <v>99.5</v>
      </c>
      <c r="H58" s="562">
        <f t="shared" si="3"/>
        <v>98.5</v>
      </c>
      <c r="I58" s="562">
        <f t="shared" si="3"/>
        <v>98.5</v>
      </c>
      <c r="J58" s="562">
        <f t="shared" si="3"/>
        <v>96.5</v>
      </c>
      <c r="K58" s="562">
        <f t="shared" si="3"/>
        <v>96.5</v>
      </c>
      <c r="L58" s="562">
        <f t="shared" si="3"/>
        <v>96.5</v>
      </c>
      <c r="M58" s="562">
        <f t="shared" si="3"/>
        <v>96.5</v>
      </c>
      <c r="N58" s="138"/>
    </row>
    <row r="59" spans="1:14" s="87" customFormat="1" ht="6" customHeight="1">
      <c r="A59" s="16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91"/>
    </row>
    <row r="60" spans="1:14" s="88" customFormat="1" ht="25.5" customHeight="1">
      <c r="A60" s="186" t="s">
        <v>392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8"/>
    </row>
    <row r="61" spans="1:14" s="87" customFormat="1" ht="30" customHeight="1">
      <c r="A61" s="560" t="s">
        <v>1053</v>
      </c>
      <c r="B61" s="561">
        <v>0</v>
      </c>
      <c r="C61" s="561">
        <v>0</v>
      </c>
      <c r="D61" s="561">
        <v>12</v>
      </c>
      <c r="E61" s="561">
        <v>12</v>
      </c>
      <c r="F61" s="561">
        <v>12</v>
      </c>
      <c r="G61" s="561">
        <v>12</v>
      </c>
      <c r="H61" s="561">
        <v>12</v>
      </c>
      <c r="I61" s="561">
        <v>12</v>
      </c>
      <c r="J61" s="561">
        <v>12</v>
      </c>
      <c r="K61" s="561">
        <v>12</v>
      </c>
      <c r="L61" s="561">
        <v>12</v>
      </c>
      <c r="M61" s="561">
        <v>12</v>
      </c>
      <c r="N61" s="191"/>
    </row>
    <row r="62" spans="1:14" s="87" customFormat="1" ht="30" customHeight="1">
      <c r="A62" s="560" t="s">
        <v>1054</v>
      </c>
      <c r="B62" s="561">
        <v>0</v>
      </c>
      <c r="C62" s="561">
        <v>0</v>
      </c>
      <c r="D62" s="561">
        <v>9</v>
      </c>
      <c r="E62" s="561">
        <v>9</v>
      </c>
      <c r="F62" s="561">
        <v>9</v>
      </c>
      <c r="G62" s="561">
        <v>9</v>
      </c>
      <c r="H62" s="561">
        <v>9</v>
      </c>
      <c r="I62" s="561">
        <v>9</v>
      </c>
      <c r="J62" s="561">
        <v>9</v>
      </c>
      <c r="K62" s="561">
        <v>9</v>
      </c>
      <c r="L62" s="561">
        <v>9</v>
      </c>
      <c r="M62" s="561">
        <v>0</v>
      </c>
      <c r="N62" s="191"/>
    </row>
    <row r="63" spans="1:14" s="87" customFormat="1" ht="30" customHeight="1">
      <c r="A63" s="560" t="s">
        <v>1055</v>
      </c>
      <c r="B63" s="561">
        <v>0</v>
      </c>
      <c r="C63" s="561">
        <v>0</v>
      </c>
      <c r="D63" s="561">
        <v>72</v>
      </c>
      <c r="E63" s="561">
        <v>72</v>
      </c>
      <c r="F63" s="561">
        <v>72</v>
      </c>
      <c r="G63" s="561">
        <v>72</v>
      </c>
      <c r="H63" s="561">
        <v>72</v>
      </c>
      <c r="I63" s="561">
        <v>72</v>
      </c>
      <c r="J63" s="561">
        <v>72</v>
      </c>
      <c r="K63" s="561">
        <v>72</v>
      </c>
      <c r="L63" s="561">
        <v>72</v>
      </c>
      <c r="M63" s="561">
        <v>72</v>
      </c>
      <c r="N63" s="191"/>
    </row>
    <row r="64" spans="1:14" s="87" customFormat="1" ht="45" customHeight="1">
      <c r="A64" s="560" t="s">
        <v>1056</v>
      </c>
      <c r="B64" s="561">
        <v>0</v>
      </c>
      <c r="C64" s="561">
        <v>0</v>
      </c>
      <c r="D64" s="561">
        <v>0</v>
      </c>
      <c r="E64" s="561">
        <v>0</v>
      </c>
      <c r="F64" s="561">
        <v>33</v>
      </c>
      <c r="G64" s="561">
        <v>33</v>
      </c>
      <c r="H64" s="561">
        <v>33</v>
      </c>
      <c r="I64" s="561">
        <v>33</v>
      </c>
      <c r="J64" s="561">
        <v>33</v>
      </c>
      <c r="K64" s="561">
        <v>33</v>
      </c>
      <c r="L64" s="561">
        <v>33</v>
      </c>
      <c r="M64" s="561">
        <v>0</v>
      </c>
      <c r="N64" s="191"/>
    </row>
    <row r="65" spans="1:14" s="87" customFormat="1" ht="42" customHeight="1">
      <c r="A65" s="560" t="s">
        <v>945</v>
      </c>
      <c r="B65" s="561">
        <v>0</v>
      </c>
      <c r="C65" s="561">
        <v>0</v>
      </c>
      <c r="D65" s="561">
        <v>12</v>
      </c>
      <c r="E65" s="561">
        <v>12</v>
      </c>
      <c r="F65" s="561">
        <v>12</v>
      </c>
      <c r="G65" s="561">
        <v>12</v>
      </c>
      <c r="H65" s="561">
        <v>12</v>
      </c>
      <c r="I65" s="561">
        <v>12</v>
      </c>
      <c r="J65" s="561">
        <v>12</v>
      </c>
      <c r="K65" s="561">
        <v>12</v>
      </c>
      <c r="L65" s="561">
        <v>12</v>
      </c>
      <c r="M65" s="561">
        <v>12</v>
      </c>
      <c r="N65" s="191"/>
    </row>
    <row r="66" spans="1:14" s="87" customFormat="1" ht="42" customHeight="1">
      <c r="A66" s="560" t="s">
        <v>946</v>
      </c>
      <c r="B66" s="561">
        <v>0</v>
      </c>
      <c r="C66" s="561">
        <v>0</v>
      </c>
      <c r="D66" s="561">
        <v>15</v>
      </c>
      <c r="E66" s="561">
        <v>15</v>
      </c>
      <c r="F66" s="561">
        <v>15</v>
      </c>
      <c r="G66" s="561">
        <v>15</v>
      </c>
      <c r="H66" s="561">
        <v>15</v>
      </c>
      <c r="I66" s="561">
        <v>15</v>
      </c>
      <c r="J66" s="561">
        <v>15</v>
      </c>
      <c r="K66" s="561">
        <v>15</v>
      </c>
      <c r="L66" s="561">
        <v>15</v>
      </c>
      <c r="M66" s="561">
        <v>15</v>
      </c>
      <c r="N66" s="191"/>
    </row>
    <row r="67" spans="1:14" s="87" customFormat="1" ht="42" customHeight="1">
      <c r="A67" s="560" t="s">
        <v>947</v>
      </c>
      <c r="B67" s="561">
        <v>0</v>
      </c>
      <c r="C67" s="561">
        <v>0</v>
      </c>
      <c r="D67" s="561">
        <v>15</v>
      </c>
      <c r="E67" s="561">
        <v>15</v>
      </c>
      <c r="F67" s="561">
        <v>15</v>
      </c>
      <c r="G67" s="561">
        <v>15</v>
      </c>
      <c r="H67" s="561">
        <v>15</v>
      </c>
      <c r="I67" s="561">
        <v>15</v>
      </c>
      <c r="J67" s="561">
        <v>15</v>
      </c>
      <c r="K67" s="561">
        <v>15</v>
      </c>
      <c r="L67" s="561">
        <v>15</v>
      </c>
      <c r="M67" s="561">
        <v>15</v>
      </c>
      <c r="N67" s="191"/>
    </row>
    <row r="68" spans="1:14" s="88" customFormat="1" ht="32.25" customHeight="1">
      <c r="A68" s="172" t="s">
        <v>584</v>
      </c>
      <c r="B68" s="562">
        <f aca="true" t="shared" si="4" ref="B68:M68">SUM(B61:B67)</f>
        <v>0</v>
      </c>
      <c r="C68" s="562">
        <f t="shared" si="4"/>
        <v>0</v>
      </c>
      <c r="D68" s="562">
        <f t="shared" si="4"/>
        <v>135</v>
      </c>
      <c r="E68" s="562">
        <f t="shared" si="4"/>
        <v>135</v>
      </c>
      <c r="F68" s="562">
        <f t="shared" si="4"/>
        <v>168</v>
      </c>
      <c r="G68" s="562">
        <f t="shared" si="4"/>
        <v>168</v>
      </c>
      <c r="H68" s="562">
        <f t="shared" si="4"/>
        <v>168</v>
      </c>
      <c r="I68" s="562">
        <f t="shared" si="4"/>
        <v>168</v>
      </c>
      <c r="J68" s="562">
        <f t="shared" si="4"/>
        <v>168</v>
      </c>
      <c r="K68" s="562">
        <f t="shared" si="4"/>
        <v>168</v>
      </c>
      <c r="L68" s="562">
        <f t="shared" si="4"/>
        <v>168</v>
      </c>
      <c r="M68" s="562">
        <f t="shared" si="4"/>
        <v>126</v>
      </c>
      <c r="N68" s="138"/>
    </row>
    <row r="70" spans="1:14" s="88" customFormat="1" ht="25.5" customHeight="1">
      <c r="A70" s="186" t="s">
        <v>1052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8"/>
    </row>
    <row r="71" spans="1:14" s="87" customFormat="1" ht="28.5" customHeight="1">
      <c r="A71" s="560" t="s">
        <v>1035</v>
      </c>
      <c r="B71" s="561">
        <v>0</v>
      </c>
      <c r="C71" s="561">
        <v>0</v>
      </c>
      <c r="D71" s="561">
        <v>0</v>
      </c>
      <c r="E71" s="561">
        <v>0</v>
      </c>
      <c r="F71" s="561">
        <v>0</v>
      </c>
      <c r="G71" s="561">
        <v>0</v>
      </c>
      <c r="H71" s="561">
        <v>4</v>
      </c>
      <c r="I71" s="561">
        <v>1</v>
      </c>
      <c r="J71" s="561">
        <v>0</v>
      </c>
      <c r="K71" s="561">
        <v>0</v>
      </c>
      <c r="L71" s="561">
        <v>0</v>
      </c>
      <c r="M71" s="561">
        <v>0</v>
      </c>
      <c r="N71" s="191"/>
    </row>
    <row r="72" spans="1:14" s="88" customFormat="1" ht="32.25" customHeight="1">
      <c r="A72" s="172" t="s">
        <v>1050</v>
      </c>
      <c r="B72" s="562">
        <f>SUM(B71)</f>
        <v>0</v>
      </c>
      <c r="C72" s="562">
        <f aca="true" t="shared" si="5" ref="C72:M72">SUM(C71)</f>
        <v>0</v>
      </c>
      <c r="D72" s="562">
        <f t="shared" si="5"/>
        <v>0</v>
      </c>
      <c r="E72" s="562">
        <f t="shared" si="5"/>
        <v>0</v>
      </c>
      <c r="F72" s="562">
        <f t="shared" si="5"/>
        <v>0</v>
      </c>
      <c r="G72" s="562">
        <f t="shared" si="5"/>
        <v>0</v>
      </c>
      <c r="H72" s="562">
        <f t="shared" si="5"/>
        <v>4</v>
      </c>
      <c r="I72" s="562">
        <f t="shared" si="5"/>
        <v>1</v>
      </c>
      <c r="J72" s="562">
        <f t="shared" si="5"/>
        <v>0</v>
      </c>
      <c r="K72" s="562">
        <f t="shared" si="5"/>
        <v>0</v>
      </c>
      <c r="L72" s="562">
        <f t="shared" si="5"/>
        <v>0</v>
      </c>
      <c r="M72" s="562">
        <f t="shared" si="5"/>
        <v>0</v>
      </c>
      <c r="N72" s="138"/>
    </row>
  </sheetData>
  <sheetProtection/>
  <mergeCells count="3">
    <mergeCell ref="A4:M4"/>
    <mergeCell ref="A5:M5"/>
    <mergeCell ref="A6:M6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8" r:id="rId1"/>
  <rowBreaks count="1" manualBreakCount="1">
    <brk id="4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76"/>
  <sheetViews>
    <sheetView zoomScaleSheetLayoutView="100" zoomScalePageLayoutView="0" workbookViewId="0" topLeftCell="A1">
      <selection activeCell="C1" sqref="C1:D1"/>
    </sheetView>
  </sheetViews>
  <sheetFormatPr defaultColWidth="8.875" defaultRowHeight="12.75"/>
  <cols>
    <col min="1" max="1" width="4.125" style="90" bestFit="1" customWidth="1"/>
    <col min="2" max="2" width="2.375" style="3" customWidth="1"/>
    <col min="3" max="3" width="94.875" style="3" customWidth="1"/>
    <col min="4" max="4" width="15.125" style="3" bestFit="1" customWidth="1"/>
    <col min="5" max="16384" width="8.875" style="3" customWidth="1"/>
  </cols>
  <sheetData>
    <row r="1" spans="3:5" ht="15">
      <c r="C1" s="893" t="s">
        <v>1082</v>
      </c>
      <c r="D1" s="1132"/>
      <c r="E1" s="89"/>
    </row>
    <row r="2" spans="3:5" ht="15">
      <c r="C2" s="6"/>
      <c r="D2" s="178"/>
      <c r="E2" s="89"/>
    </row>
    <row r="3" spans="2:4" ht="15.75">
      <c r="B3" s="1133" t="s">
        <v>850</v>
      </c>
      <c r="C3" s="1133"/>
      <c r="D3" s="1133"/>
    </row>
    <row r="4" spans="2:4" ht="15">
      <c r="B4" s="201"/>
      <c r="C4" s="201"/>
      <c r="D4" s="201"/>
    </row>
    <row r="5" ht="15.75" thickBot="1">
      <c r="D5" s="6"/>
    </row>
    <row r="6" spans="1:4" s="4" customFormat="1" ht="14.25">
      <c r="A6" s="1124" t="s">
        <v>484</v>
      </c>
      <c r="B6" s="1134" t="s">
        <v>397</v>
      </c>
      <c r="C6" s="1135"/>
      <c r="D6" s="7" t="s">
        <v>410</v>
      </c>
    </row>
    <row r="7" spans="1:4" s="110" customFormat="1" ht="12">
      <c r="A7" s="1125"/>
      <c r="B7" s="1136" t="s">
        <v>478</v>
      </c>
      <c r="C7" s="1136"/>
      <c r="D7" s="109" t="s">
        <v>479</v>
      </c>
    </row>
    <row r="8" spans="1:4" s="4" customFormat="1" ht="14.25">
      <c r="A8" s="116">
        <v>1</v>
      </c>
      <c r="B8" s="111" t="s">
        <v>403</v>
      </c>
      <c r="C8" s="11"/>
      <c r="D8" s="336"/>
    </row>
    <row r="9" spans="1:4" s="13" customFormat="1" ht="15">
      <c r="A9" s="116">
        <v>2</v>
      </c>
      <c r="B9" s="112" t="s">
        <v>493</v>
      </c>
      <c r="C9" s="12"/>
      <c r="D9" s="337"/>
    </row>
    <row r="10" spans="1:4" ht="18.75" customHeight="1">
      <c r="A10" s="116">
        <v>3</v>
      </c>
      <c r="B10" s="92" t="s">
        <v>411</v>
      </c>
      <c r="C10" s="164" t="s">
        <v>870</v>
      </c>
      <c r="D10" s="338">
        <v>3000000</v>
      </c>
    </row>
    <row r="11" spans="1:4" ht="27.75" customHeight="1">
      <c r="A11" s="116">
        <v>4</v>
      </c>
      <c r="B11" s="92" t="s">
        <v>411</v>
      </c>
      <c r="C11" s="164" t="s">
        <v>951</v>
      </c>
      <c r="D11" s="338">
        <f>3700000+9000000</f>
        <v>12700000</v>
      </c>
    </row>
    <row r="12" spans="1:4" ht="43.5" customHeight="1">
      <c r="A12" s="116">
        <v>5</v>
      </c>
      <c r="B12" s="92" t="s">
        <v>411</v>
      </c>
      <c r="C12" s="164" t="s">
        <v>954</v>
      </c>
      <c r="D12" s="338">
        <f>17462500+100000</f>
        <v>17562500</v>
      </c>
    </row>
    <row r="13" spans="1:4" ht="27.75" customHeight="1">
      <c r="A13" s="116">
        <v>6</v>
      </c>
      <c r="B13" s="92" t="s">
        <v>411</v>
      </c>
      <c r="C13" s="164" t="s">
        <v>871</v>
      </c>
      <c r="D13" s="338">
        <v>525300</v>
      </c>
    </row>
    <row r="14" spans="1:4" ht="27.75" customHeight="1">
      <c r="A14" s="116">
        <v>7</v>
      </c>
      <c r="B14" s="92" t="s">
        <v>411</v>
      </c>
      <c r="C14" s="164" t="s">
        <v>872</v>
      </c>
      <c r="D14" s="338">
        <v>3225085</v>
      </c>
    </row>
    <row r="15" spans="1:4" ht="18.75" customHeight="1">
      <c r="A15" s="116">
        <v>8</v>
      </c>
      <c r="B15" s="92" t="s">
        <v>411</v>
      </c>
      <c r="C15" s="164" t="s">
        <v>873</v>
      </c>
      <c r="D15" s="338">
        <v>25400</v>
      </c>
    </row>
    <row r="16" spans="1:4" ht="27.75" customHeight="1">
      <c r="A16" s="116">
        <v>9</v>
      </c>
      <c r="B16" s="92" t="s">
        <v>411</v>
      </c>
      <c r="C16" s="164" t="s">
        <v>874</v>
      </c>
      <c r="D16" s="338">
        <f>4445000-2059095</f>
        <v>2385905</v>
      </c>
    </row>
    <row r="17" spans="1:4" ht="27.75" customHeight="1">
      <c r="A17" s="116">
        <v>10</v>
      </c>
      <c r="B17" s="92" t="s">
        <v>411</v>
      </c>
      <c r="C17" s="164" t="s">
        <v>875</v>
      </c>
      <c r="D17" s="338">
        <v>11201400</v>
      </c>
    </row>
    <row r="18" spans="1:4" ht="45.75" customHeight="1">
      <c r="A18" s="116">
        <v>11</v>
      </c>
      <c r="B18" s="92" t="s">
        <v>411</v>
      </c>
      <c r="C18" s="164" t="s">
        <v>876</v>
      </c>
      <c r="D18" s="338">
        <v>1237243</v>
      </c>
    </row>
    <row r="19" spans="1:4" ht="17.25" customHeight="1">
      <c r="A19" s="116">
        <v>12</v>
      </c>
      <c r="B19" s="92" t="s">
        <v>411</v>
      </c>
      <c r="C19" s="164" t="s">
        <v>948</v>
      </c>
      <c r="D19" s="338">
        <v>3150000</v>
      </c>
    </row>
    <row r="20" spans="1:4" ht="17.25" customHeight="1">
      <c r="A20" s="116">
        <v>13</v>
      </c>
      <c r="B20" s="749" t="s">
        <v>411</v>
      </c>
      <c r="C20" s="746" t="s">
        <v>1057</v>
      </c>
      <c r="D20" s="338">
        <f>500000+500000</f>
        <v>1000000</v>
      </c>
    </row>
    <row r="21" spans="1:4" ht="17.25" customHeight="1">
      <c r="A21" s="116">
        <v>14</v>
      </c>
      <c r="B21" s="749" t="s">
        <v>411</v>
      </c>
      <c r="C21" s="746" t="s">
        <v>952</v>
      </c>
      <c r="D21" s="338">
        <v>1707563</v>
      </c>
    </row>
    <row r="22" spans="1:4" ht="17.25" customHeight="1">
      <c r="A22" s="116">
        <v>15</v>
      </c>
      <c r="B22" s="749" t="s">
        <v>411</v>
      </c>
      <c r="C22" s="746" t="s">
        <v>953</v>
      </c>
      <c r="D22" s="338">
        <v>1398066</v>
      </c>
    </row>
    <row r="23" spans="1:4" ht="17.25" customHeight="1">
      <c r="A23" s="116">
        <v>16</v>
      </c>
      <c r="B23" s="749" t="s">
        <v>411</v>
      </c>
      <c r="C23" s="746" t="s">
        <v>955</v>
      </c>
      <c r="D23" s="338">
        <v>88773</v>
      </c>
    </row>
    <row r="24" spans="1:4" ht="20.25" customHeight="1">
      <c r="A24" s="116">
        <v>17</v>
      </c>
      <c r="B24" s="749" t="s">
        <v>411</v>
      </c>
      <c r="C24" s="746" t="s">
        <v>1070</v>
      </c>
      <c r="D24" s="338">
        <v>242560000</v>
      </c>
    </row>
    <row r="25" spans="1:4" ht="30" customHeight="1">
      <c r="A25" s="116">
        <v>18</v>
      </c>
      <c r="B25" s="749" t="s">
        <v>411</v>
      </c>
      <c r="C25" s="746" t="s">
        <v>1071</v>
      </c>
      <c r="D25" s="338">
        <v>3832400</v>
      </c>
    </row>
    <row r="26" spans="1:4" ht="17.25" customHeight="1">
      <c r="A26" s="116">
        <v>19</v>
      </c>
      <c r="B26" s="749" t="s">
        <v>411</v>
      </c>
      <c r="C26" s="746" t="s">
        <v>1072</v>
      </c>
      <c r="D26" s="338">
        <v>17861888</v>
      </c>
    </row>
    <row r="27" spans="1:4" ht="17.25" customHeight="1">
      <c r="A27" s="116">
        <v>20</v>
      </c>
      <c r="B27" s="749" t="s">
        <v>411</v>
      </c>
      <c r="C27" s="746" t="s">
        <v>1073</v>
      </c>
      <c r="D27" s="338">
        <v>6019000</v>
      </c>
    </row>
    <row r="28" spans="1:4" s="37" customFormat="1" ht="15">
      <c r="A28" s="116">
        <v>21</v>
      </c>
      <c r="B28" s="92"/>
      <c r="C28" s="15" t="s">
        <v>427</v>
      </c>
      <c r="D28" s="339">
        <f>SUM(D10:D27)</f>
        <v>329480523</v>
      </c>
    </row>
    <row r="29" spans="1:4" s="37" customFormat="1" ht="15">
      <c r="A29" s="116">
        <v>22</v>
      </c>
      <c r="B29" s="1129" t="s">
        <v>408</v>
      </c>
      <c r="C29" s="1130"/>
      <c r="D29" s="1131"/>
    </row>
    <row r="30" spans="1:4" ht="18.75" customHeight="1">
      <c r="A30" s="116">
        <v>23</v>
      </c>
      <c r="B30" s="92" t="s">
        <v>411</v>
      </c>
      <c r="C30" s="164" t="s">
        <v>878</v>
      </c>
      <c r="D30" s="338">
        <v>374000</v>
      </c>
    </row>
    <row r="31" spans="1:4" ht="18.75" customHeight="1">
      <c r="A31" s="116">
        <v>24</v>
      </c>
      <c r="B31" s="92" t="s">
        <v>411</v>
      </c>
      <c r="C31" s="164" t="s">
        <v>877</v>
      </c>
      <c r="D31" s="338">
        <v>126000</v>
      </c>
    </row>
    <row r="32" spans="1:4" s="37" customFormat="1" ht="15">
      <c r="A32" s="116">
        <v>25</v>
      </c>
      <c r="B32" s="163"/>
      <c r="C32" s="15" t="s">
        <v>556</v>
      </c>
      <c r="D32" s="339">
        <f>SUM(D30:D31)</f>
        <v>500000</v>
      </c>
    </row>
    <row r="33" spans="1:4" s="37" customFormat="1" ht="15">
      <c r="A33" s="116">
        <v>26</v>
      </c>
      <c r="B33" s="1129" t="s">
        <v>1031</v>
      </c>
      <c r="C33" s="1130"/>
      <c r="D33" s="1131"/>
    </row>
    <row r="34" spans="1:4" ht="18.75" customHeight="1">
      <c r="A34" s="116">
        <v>27</v>
      </c>
      <c r="B34" s="92" t="s">
        <v>411</v>
      </c>
      <c r="C34" s="164" t="s">
        <v>852</v>
      </c>
      <c r="D34" s="338">
        <v>231140</v>
      </c>
    </row>
    <row r="35" spans="1:4" ht="18.75" customHeight="1">
      <c r="A35" s="116">
        <v>28</v>
      </c>
      <c r="B35" s="92" t="s">
        <v>411</v>
      </c>
      <c r="C35" s="164" t="s">
        <v>853</v>
      </c>
      <c r="D35" s="338">
        <v>127000</v>
      </c>
    </row>
    <row r="36" spans="1:4" ht="18.75" customHeight="1">
      <c r="A36" s="116">
        <v>29</v>
      </c>
      <c r="B36" s="92" t="s">
        <v>411</v>
      </c>
      <c r="C36" s="164" t="s">
        <v>854</v>
      </c>
      <c r="D36" s="338">
        <v>124000</v>
      </c>
    </row>
    <row r="37" spans="1:4" ht="18.75" customHeight="1">
      <c r="A37" s="116">
        <v>30</v>
      </c>
      <c r="B37" s="92" t="s">
        <v>411</v>
      </c>
      <c r="C37" s="164" t="s">
        <v>855</v>
      </c>
      <c r="D37" s="338">
        <v>76200</v>
      </c>
    </row>
    <row r="38" spans="1:4" s="37" customFormat="1" ht="15">
      <c r="A38" s="747">
        <v>31</v>
      </c>
      <c r="B38" s="163"/>
      <c r="C38" s="15" t="s">
        <v>1034</v>
      </c>
      <c r="D38" s="339">
        <f>SUM(D34:D37)</f>
        <v>558340</v>
      </c>
    </row>
    <row r="39" spans="1:4" s="4" customFormat="1" ht="15" thickBot="1">
      <c r="A39" s="117">
        <v>32</v>
      </c>
      <c r="B39" s="16" t="s">
        <v>400</v>
      </c>
      <c r="C39" s="16"/>
      <c r="D39" s="340">
        <f>SUM(D38+D32+D28)</f>
        <v>330538863</v>
      </c>
    </row>
    <row r="40" spans="1:4" ht="15">
      <c r="A40" s="116">
        <v>33</v>
      </c>
      <c r="B40" s="1126" t="s">
        <v>409</v>
      </c>
      <c r="C40" s="1126"/>
      <c r="D40" s="1127"/>
    </row>
    <row r="41" spans="1:4" s="13" customFormat="1" ht="15">
      <c r="A41" s="116">
        <v>34</v>
      </c>
      <c r="B41" s="139" t="s">
        <v>493</v>
      </c>
      <c r="C41" s="14"/>
      <c r="D41" s="8"/>
    </row>
    <row r="42" spans="1:4" ht="18.75" customHeight="1">
      <c r="A42" s="116">
        <v>35</v>
      </c>
      <c r="B42" s="92" t="s">
        <v>411</v>
      </c>
      <c r="C42" s="164" t="s">
        <v>686</v>
      </c>
      <c r="D42" s="338">
        <v>1000000</v>
      </c>
    </row>
    <row r="43" spans="1:4" ht="18.75" customHeight="1">
      <c r="A43" s="116">
        <v>36</v>
      </c>
      <c r="B43" s="92" t="s">
        <v>411</v>
      </c>
      <c r="C43" s="164" t="s">
        <v>879</v>
      </c>
      <c r="D43" s="338">
        <v>254000</v>
      </c>
    </row>
    <row r="44" spans="1:4" s="37" customFormat="1" ht="29.25" customHeight="1">
      <c r="A44" s="116">
        <v>37</v>
      </c>
      <c r="B44" s="92" t="s">
        <v>411</v>
      </c>
      <c r="C44" s="164" t="s">
        <v>1067</v>
      </c>
      <c r="D44" s="338">
        <v>1587500</v>
      </c>
    </row>
    <row r="45" spans="1:4" s="37" customFormat="1" ht="29.25" customHeight="1">
      <c r="A45" s="116">
        <v>38</v>
      </c>
      <c r="B45" s="92" t="s">
        <v>411</v>
      </c>
      <c r="C45" s="164" t="s">
        <v>1068</v>
      </c>
      <c r="D45" s="338">
        <f>2500000+19779919</f>
        <v>22279919</v>
      </c>
    </row>
    <row r="46" spans="1:4" s="37" customFormat="1" ht="33" customHeight="1">
      <c r="A46" s="116">
        <v>39</v>
      </c>
      <c r="B46" s="92" t="s">
        <v>411</v>
      </c>
      <c r="C46" s="164" t="s">
        <v>880</v>
      </c>
      <c r="D46" s="338">
        <v>11154409</v>
      </c>
    </row>
    <row r="47" spans="1:4" s="37" customFormat="1" ht="18" customHeight="1">
      <c r="A47" s="116">
        <v>40</v>
      </c>
      <c r="B47" s="92" t="s">
        <v>411</v>
      </c>
      <c r="C47" s="164" t="s">
        <v>950</v>
      </c>
      <c r="D47" s="338">
        <v>2645132</v>
      </c>
    </row>
    <row r="48" spans="1:4" s="37" customFormat="1" ht="18" customHeight="1">
      <c r="A48" s="116">
        <v>41</v>
      </c>
      <c r="B48" s="92" t="s">
        <v>411</v>
      </c>
      <c r="C48" s="164" t="s">
        <v>1069</v>
      </c>
      <c r="D48" s="338">
        <v>5000000</v>
      </c>
    </row>
    <row r="49" spans="1:4" s="37" customFormat="1" ht="18" customHeight="1">
      <c r="A49" s="116">
        <v>42</v>
      </c>
      <c r="B49" s="92" t="s">
        <v>411</v>
      </c>
      <c r="C49" s="164" t="s">
        <v>1074</v>
      </c>
      <c r="D49" s="338">
        <v>2500000</v>
      </c>
    </row>
    <row r="50" spans="1:4" s="13" customFormat="1" ht="15">
      <c r="A50" s="116">
        <v>43</v>
      </c>
      <c r="B50" s="114"/>
      <c r="C50" s="5" t="s">
        <v>427</v>
      </c>
      <c r="D50" s="341">
        <f>SUM(D40:D49)</f>
        <v>46420960</v>
      </c>
    </row>
    <row r="51" spans="1:4" s="37" customFormat="1" ht="15">
      <c r="A51" s="116">
        <v>44</v>
      </c>
      <c r="B51" s="1129" t="s">
        <v>1031</v>
      </c>
      <c r="C51" s="1130"/>
      <c r="D51" s="1131"/>
    </row>
    <row r="52" spans="1:4" ht="18.75" customHeight="1">
      <c r="A52" s="116">
        <v>45</v>
      </c>
      <c r="B52" s="92" t="s">
        <v>411</v>
      </c>
      <c r="C52" s="164" t="s">
        <v>851</v>
      </c>
      <c r="D52" s="338">
        <v>196850</v>
      </c>
    </row>
    <row r="53" spans="1:4" s="37" customFormat="1" ht="15">
      <c r="A53" s="747">
        <v>46</v>
      </c>
      <c r="B53" s="345"/>
      <c r="C53" s="15" t="s">
        <v>1034</v>
      </c>
      <c r="D53" s="339">
        <f>SUM(D52:D52)</f>
        <v>196850</v>
      </c>
    </row>
    <row r="54" spans="1:4" ht="15.75" thickBot="1">
      <c r="A54" s="117">
        <v>47</v>
      </c>
      <c r="B54" s="113" t="s">
        <v>400</v>
      </c>
      <c r="C54" s="16"/>
      <c r="D54" s="342">
        <f>SUM(D50+D53)</f>
        <v>46617810</v>
      </c>
    </row>
    <row r="55" spans="1:4" ht="15">
      <c r="A55" s="684">
        <v>48</v>
      </c>
      <c r="B55" s="1126" t="s">
        <v>132</v>
      </c>
      <c r="C55" s="1126"/>
      <c r="D55" s="1127"/>
    </row>
    <row r="56" spans="1:4" s="13" customFormat="1" ht="15">
      <c r="A56" s="116">
        <v>49</v>
      </c>
      <c r="B56" s="17" t="s">
        <v>493</v>
      </c>
      <c r="C56" s="14"/>
      <c r="D56" s="9"/>
    </row>
    <row r="57" spans="1:4" s="37" customFormat="1" ht="20.25" customHeight="1">
      <c r="A57" s="116">
        <v>50</v>
      </c>
      <c r="B57" s="92" t="s">
        <v>411</v>
      </c>
      <c r="C57" s="164" t="s">
        <v>474</v>
      </c>
      <c r="D57" s="563">
        <v>449520</v>
      </c>
    </row>
    <row r="58" spans="1:4" ht="32.25" customHeight="1">
      <c r="A58" s="116">
        <v>51</v>
      </c>
      <c r="B58" s="92" t="s">
        <v>411</v>
      </c>
      <c r="C58" s="164" t="s">
        <v>881</v>
      </c>
      <c r="D58" s="563">
        <f>80026110-35026110</f>
        <v>45000000</v>
      </c>
    </row>
    <row r="59" spans="1:4" ht="27.75" customHeight="1">
      <c r="A59" s="747">
        <v>52</v>
      </c>
      <c r="B59" s="92" t="s">
        <v>411</v>
      </c>
      <c r="C59" s="164" t="s">
        <v>882</v>
      </c>
      <c r="D59" s="338">
        <f>1159500-904841</f>
        <v>254659</v>
      </c>
    </row>
    <row r="60" spans="1:6" ht="30" customHeight="1">
      <c r="A60" s="747">
        <v>53</v>
      </c>
      <c r="B60" s="92" t="s">
        <v>411</v>
      </c>
      <c r="C60" s="164" t="s">
        <v>949</v>
      </c>
      <c r="D60" s="748">
        <v>788000</v>
      </c>
      <c r="F60" s="3" t="s">
        <v>109</v>
      </c>
    </row>
    <row r="61" spans="1:4" ht="18.75" customHeight="1">
      <c r="A61" s="747">
        <v>54</v>
      </c>
      <c r="B61" s="92" t="s">
        <v>411</v>
      </c>
      <c r="C61" s="802" t="s">
        <v>1007</v>
      </c>
      <c r="D61" s="563">
        <v>50000</v>
      </c>
    </row>
    <row r="62" spans="1:4" s="4" customFormat="1" ht="15" thickBot="1">
      <c r="A62" s="117">
        <v>55</v>
      </c>
      <c r="B62" s="18" t="s">
        <v>400</v>
      </c>
      <c r="C62" s="16"/>
      <c r="D62" s="343">
        <f>SUM(D57:D61)</f>
        <v>46542179</v>
      </c>
    </row>
    <row r="63" spans="1:4" ht="15" hidden="1">
      <c r="A63" s="684">
        <v>46</v>
      </c>
      <c r="B63" s="1126" t="s">
        <v>475</v>
      </c>
      <c r="C63" s="1126"/>
      <c r="D63" s="1127"/>
    </row>
    <row r="64" spans="1:4" s="13" customFormat="1" ht="15" hidden="1">
      <c r="A64" s="116">
        <v>47</v>
      </c>
      <c r="B64" s="92"/>
      <c r="C64" s="20"/>
      <c r="D64" s="19"/>
    </row>
    <row r="65" spans="1:4" s="4" customFormat="1" ht="15" hidden="1" thickBot="1">
      <c r="A65" s="116">
        <v>51</v>
      </c>
      <c r="B65" s="18" t="s">
        <v>400</v>
      </c>
      <c r="C65" s="16"/>
      <c r="D65" s="10">
        <f>SUM(D64:D64)</f>
        <v>0</v>
      </c>
    </row>
    <row r="66" spans="1:4" ht="15">
      <c r="A66" s="116">
        <v>56</v>
      </c>
      <c r="B66" s="1126" t="s">
        <v>476</v>
      </c>
      <c r="C66" s="1126"/>
      <c r="D66" s="1127"/>
    </row>
    <row r="67" spans="1:4" ht="15">
      <c r="A67" s="116">
        <v>57</v>
      </c>
      <c r="B67" s="17" t="s">
        <v>493</v>
      </c>
      <c r="C67" s="108"/>
      <c r="D67" s="107"/>
    </row>
    <row r="68" spans="1:4" ht="30">
      <c r="A68" s="747">
        <v>58</v>
      </c>
      <c r="B68" s="92" t="s">
        <v>411</v>
      </c>
      <c r="C68" s="93" t="s">
        <v>956</v>
      </c>
      <c r="D68" s="344">
        <f>389000+4649000</f>
        <v>5038000</v>
      </c>
    </row>
    <row r="69" spans="1:4" s="4" customFormat="1" ht="15" thickBot="1">
      <c r="A69" s="117">
        <v>59</v>
      </c>
      <c r="B69" s="18" t="s">
        <v>400</v>
      </c>
      <c r="C69" s="16"/>
      <c r="D69" s="343">
        <f>SUM(D68:D68)</f>
        <v>5038000</v>
      </c>
    </row>
    <row r="70" spans="1:4" ht="21" customHeight="1" thickBot="1">
      <c r="A70" s="117">
        <v>60</v>
      </c>
      <c r="B70" s="115" t="s">
        <v>401</v>
      </c>
      <c r="C70" s="18"/>
      <c r="D70" s="343">
        <f>SUM(D69+D62+D54+D39)</f>
        <v>428736852</v>
      </c>
    </row>
    <row r="72" ht="21" customHeight="1"/>
    <row r="74" spans="2:4" ht="15">
      <c r="B74" s="1128"/>
      <c r="C74" s="1128"/>
      <c r="D74" s="1128"/>
    </row>
    <row r="76" ht="15">
      <c r="H76" s="91"/>
    </row>
  </sheetData>
  <sheetProtection/>
  <mergeCells count="13">
    <mergeCell ref="B40:D40"/>
    <mergeCell ref="B7:C7"/>
    <mergeCell ref="B29:D29"/>
    <mergeCell ref="A6:A7"/>
    <mergeCell ref="B63:D63"/>
    <mergeCell ref="B66:D66"/>
    <mergeCell ref="B74:D74"/>
    <mergeCell ref="B33:D33"/>
    <mergeCell ref="C1:D1"/>
    <mergeCell ref="B55:D55"/>
    <mergeCell ref="B3:D3"/>
    <mergeCell ref="B6:C6"/>
    <mergeCell ref="B51:D5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7" r:id="rId1"/>
  <rowBreaks count="1" manualBreakCount="1">
    <brk id="54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5"/>
  <sheetViews>
    <sheetView zoomScalePageLayoutView="0" workbookViewId="0" topLeftCell="A1">
      <selection activeCell="C1" sqref="C1:D1"/>
    </sheetView>
  </sheetViews>
  <sheetFormatPr defaultColWidth="8.875" defaultRowHeight="12.75"/>
  <cols>
    <col min="1" max="1" width="4.125" style="95" bestFit="1" customWidth="1"/>
    <col min="2" max="2" width="2.375" style="51" customWidth="1"/>
    <col min="3" max="3" width="81.25390625" style="51" customWidth="1"/>
    <col min="4" max="4" width="15.375" style="51" bestFit="1" customWidth="1"/>
    <col min="5" max="16384" width="8.875" style="51" customWidth="1"/>
  </cols>
  <sheetData>
    <row r="1" spans="3:5" ht="15">
      <c r="C1" s="893" t="s">
        <v>1083</v>
      </c>
      <c r="D1" s="1132"/>
      <c r="E1" s="89"/>
    </row>
    <row r="2" spans="3:5" ht="15">
      <c r="C2" s="2"/>
      <c r="D2" s="89"/>
      <c r="E2" s="89"/>
    </row>
    <row r="3" spans="2:4" ht="15">
      <c r="B3" s="1140" t="s">
        <v>412</v>
      </c>
      <c r="C3" s="1140"/>
      <c r="D3" s="1140"/>
    </row>
    <row r="4" spans="2:4" ht="15">
      <c r="B4" s="1140" t="s">
        <v>494</v>
      </c>
      <c r="C4" s="1140"/>
      <c r="D4" s="1140"/>
    </row>
    <row r="5" spans="2:4" ht="15">
      <c r="B5" s="53"/>
      <c r="C5" s="53"/>
      <c r="D5" s="53"/>
    </row>
    <row r="6" ht="15">
      <c r="D6" s="52"/>
    </row>
    <row r="7" spans="1:4" s="54" customFormat="1" ht="21" customHeight="1">
      <c r="A7" s="1137" t="s">
        <v>484</v>
      </c>
      <c r="B7" s="1141" t="s">
        <v>397</v>
      </c>
      <c r="C7" s="1141"/>
      <c r="D7" s="97" t="s">
        <v>410</v>
      </c>
    </row>
    <row r="8" spans="1:4" s="94" customFormat="1" ht="12">
      <c r="A8" s="1138"/>
      <c r="B8" s="1142" t="s">
        <v>478</v>
      </c>
      <c r="C8" s="1143"/>
      <c r="D8" s="96" t="s">
        <v>479</v>
      </c>
    </row>
    <row r="9" spans="1:4" s="54" customFormat="1" ht="25.5" customHeight="1">
      <c r="A9" s="96">
        <v>1</v>
      </c>
      <c r="B9" s="56" t="s">
        <v>423</v>
      </c>
      <c r="C9" s="55"/>
      <c r="D9" s="102"/>
    </row>
    <row r="10" spans="1:4" ht="15">
      <c r="A10" s="96">
        <v>2</v>
      </c>
      <c r="B10" s="98" t="s">
        <v>492</v>
      </c>
      <c r="C10" s="93" t="s">
        <v>970</v>
      </c>
      <c r="D10" s="199">
        <v>1000000</v>
      </c>
    </row>
    <row r="11" spans="1:4" ht="15">
      <c r="A11" s="96">
        <v>3</v>
      </c>
      <c r="B11" s="98" t="s">
        <v>492</v>
      </c>
      <c r="C11" s="93" t="s">
        <v>971</v>
      </c>
      <c r="D11" s="750">
        <v>-1000000</v>
      </c>
    </row>
    <row r="12" spans="1:4" s="54" customFormat="1" ht="15.75" customHeight="1">
      <c r="A12" s="96">
        <v>4</v>
      </c>
      <c r="B12" s="56" t="s">
        <v>400</v>
      </c>
      <c r="C12" s="56"/>
      <c r="D12" s="200">
        <f>SUM(D10:D11)</f>
        <v>0</v>
      </c>
    </row>
    <row r="13" spans="1:4" s="54" customFormat="1" ht="6" customHeight="1">
      <c r="A13" s="101"/>
      <c r="B13" s="100"/>
      <c r="C13" s="100"/>
      <c r="D13" s="102"/>
    </row>
    <row r="14" spans="1:4" s="54" customFormat="1" ht="25.5" customHeight="1">
      <c r="A14" s="96">
        <v>5</v>
      </c>
      <c r="B14" s="1139" t="s">
        <v>422</v>
      </c>
      <c r="C14" s="1139"/>
      <c r="D14" s="1139"/>
    </row>
    <row r="15" spans="1:4" ht="15">
      <c r="A15" s="96">
        <v>6</v>
      </c>
      <c r="B15" s="98" t="s">
        <v>492</v>
      </c>
      <c r="C15" s="93" t="s">
        <v>730</v>
      </c>
      <c r="D15" s="199">
        <v>300000</v>
      </c>
    </row>
    <row r="16" spans="1:4" ht="15">
      <c r="A16" s="96">
        <v>7</v>
      </c>
      <c r="B16" s="98" t="s">
        <v>492</v>
      </c>
      <c r="C16" s="93" t="s">
        <v>972</v>
      </c>
      <c r="D16" s="199">
        <v>153824</v>
      </c>
    </row>
    <row r="17" spans="1:4" ht="15.75" customHeight="1">
      <c r="A17" s="96">
        <v>8</v>
      </c>
      <c r="B17" s="56" t="s">
        <v>400</v>
      </c>
      <c r="C17" s="56"/>
      <c r="D17" s="200">
        <f>SUM(D15:D16)</f>
        <v>453824</v>
      </c>
    </row>
    <row r="18" spans="1:4" s="54" customFormat="1" ht="7.5" customHeight="1">
      <c r="A18" s="101"/>
      <c r="B18" s="100"/>
      <c r="C18" s="100"/>
      <c r="D18" s="102"/>
    </row>
    <row r="19" spans="1:4" s="54" customFormat="1" ht="25.5" customHeight="1">
      <c r="A19" s="96">
        <v>9</v>
      </c>
      <c r="B19" s="56" t="s">
        <v>732</v>
      </c>
      <c r="C19" s="55"/>
      <c r="D19" s="102"/>
    </row>
    <row r="20" spans="1:4" ht="15">
      <c r="A20" s="96">
        <v>10</v>
      </c>
      <c r="B20" s="98" t="s">
        <v>492</v>
      </c>
      <c r="C20" s="93" t="s">
        <v>957</v>
      </c>
      <c r="D20" s="199">
        <v>1000000</v>
      </c>
    </row>
    <row r="21" spans="1:4" ht="15">
      <c r="A21" s="96">
        <v>11</v>
      </c>
      <c r="B21" s="98" t="s">
        <v>492</v>
      </c>
      <c r="C21" s="93" t="s">
        <v>958</v>
      </c>
      <c r="D21" s="750">
        <v>-40723</v>
      </c>
    </row>
    <row r="22" spans="1:4" ht="30">
      <c r="A22" s="96">
        <v>12</v>
      </c>
      <c r="B22" s="98" t="s">
        <v>492</v>
      </c>
      <c r="C22" s="93" t="s">
        <v>959</v>
      </c>
      <c r="D22" s="750">
        <v>-500000</v>
      </c>
    </row>
    <row r="23" spans="1:4" ht="15" customHeight="1">
      <c r="A23" s="96">
        <v>13</v>
      </c>
      <c r="B23" s="98" t="s">
        <v>492</v>
      </c>
      <c r="C23" s="93" t="s">
        <v>965</v>
      </c>
      <c r="D23" s="199">
        <v>1553784</v>
      </c>
    </row>
    <row r="24" spans="1:4" ht="15">
      <c r="A24" s="96">
        <v>14</v>
      </c>
      <c r="B24" s="98" t="s">
        <v>492</v>
      </c>
      <c r="C24" s="93" t="s">
        <v>966</v>
      </c>
      <c r="D24" s="199">
        <v>750000</v>
      </c>
    </row>
    <row r="25" spans="1:4" ht="15">
      <c r="A25" s="96">
        <v>15</v>
      </c>
      <c r="B25" s="98" t="s">
        <v>492</v>
      </c>
      <c r="C25" s="93" t="s">
        <v>967</v>
      </c>
      <c r="D25" s="750">
        <v>-668467</v>
      </c>
    </row>
    <row r="26" spans="1:4" ht="15">
      <c r="A26" s="96">
        <v>16</v>
      </c>
      <c r="B26" s="98" t="s">
        <v>492</v>
      </c>
      <c r="C26" s="93" t="s">
        <v>968</v>
      </c>
      <c r="D26" s="750">
        <v>-1467722</v>
      </c>
    </row>
    <row r="27" spans="1:4" ht="15">
      <c r="A27" s="96">
        <v>17</v>
      </c>
      <c r="B27" s="98" t="s">
        <v>492</v>
      </c>
      <c r="C27" s="93" t="s">
        <v>969</v>
      </c>
      <c r="D27" s="750">
        <v>-100000</v>
      </c>
    </row>
    <row r="28" spans="1:4" ht="15">
      <c r="A28" s="96">
        <v>18</v>
      </c>
      <c r="B28" s="98" t="s">
        <v>492</v>
      </c>
      <c r="C28" s="93" t="s">
        <v>1008</v>
      </c>
      <c r="D28" s="750">
        <v>-130000</v>
      </c>
    </row>
    <row r="29" spans="1:4" ht="15">
      <c r="A29" s="96">
        <v>19</v>
      </c>
      <c r="B29" s="98" t="s">
        <v>492</v>
      </c>
      <c r="C29" s="93" t="s">
        <v>1009</v>
      </c>
      <c r="D29" s="750">
        <v>-50000</v>
      </c>
    </row>
    <row r="30" spans="1:4" s="54" customFormat="1" ht="15.75" customHeight="1">
      <c r="A30" s="96">
        <v>20</v>
      </c>
      <c r="B30" s="56" t="s">
        <v>400</v>
      </c>
      <c r="C30" s="56"/>
      <c r="D30" s="200">
        <f>SUM(D20:D29)</f>
        <v>346872</v>
      </c>
    </row>
    <row r="31" spans="1:4" s="54" customFormat="1" ht="7.5" customHeight="1">
      <c r="A31" s="101"/>
      <c r="B31" s="100"/>
      <c r="C31" s="100"/>
      <c r="D31" s="102"/>
    </row>
    <row r="32" spans="1:4" s="54" customFormat="1" ht="24" customHeight="1">
      <c r="A32" s="96">
        <v>21</v>
      </c>
      <c r="B32" s="1139" t="s">
        <v>907</v>
      </c>
      <c r="C32" s="1139"/>
      <c r="D32" s="1139"/>
    </row>
    <row r="33" spans="1:4" ht="15">
      <c r="A33" s="96">
        <v>22</v>
      </c>
      <c r="B33" s="98" t="s">
        <v>492</v>
      </c>
      <c r="C33" s="93" t="s">
        <v>960</v>
      </c>
      <c r="D33" s="199">
        <v>6865581</v>
      </c>
    </row>
    <row r="34" spans="1:4" ht="15">
      <c r="A34" s="96">
        <v>23</v>
      </c>
      <c r="B34" s="98" t="s">
        <v>492</v>
      </c>
      <c r="C34" s="93" t="s">
        <v>962</v>
      </c>
      <c r="D34" s="750">
        <f>-6762752-102829</f>
        <v>-6865581</v>
      </c>
    </row>
    <row r="35" spans="1:4" s="54" customFormat="1" ht="15.75" customHeight="1">
      <c r="A35" s="96">
        <v>24</v>
      </c>
      <c r="B35" s="56" t="s">
        <v>400</v>
      </c>
      <c r="C35" s="56"/>
      <c r="D35" s="200">
        <f>SUM(D33:D34)</f>
        <v>0</v>
      </c>
    </row>
    <row r="36" spans="1:4" s="54" customFormat="1" ht="7.5" customHeight="1">
      <c r="A36" s="96"/>
      <c r="B36" s="56"/>
      <c r="C36" s="56"/>
      <c r="D36" s="200"/>
    </row>
    <row r="37" spans="1:4" s="54" customFormat="1" ht="24" customHeight="1">
      <c r="A37" s="96">
        <v>25</v>
      </c>
      <c r="B37" s="1139" t="s">
        <v>908</v>
      </c>
      <c r="C37" s="1139"/>
      <c r="D37" s="1139"/>
    </row>
    <row r="38" spans="1:4" ht="15">
      <c r="A38" s="96">
        <v>26</v>
      </c>
      <c r="B38" s="98" t="s">
        <v>492</v>
      </c>
      <c r="C38" s="93" t="s">
        <v>961</v>
      </c>
      <c r="D38" s="199">
        <v>30016102</v>
      </c>
    </row>
    <row r="39" spans="1:4" ht="15">
      <c r="A39" s="96">
        <v>27</v>
      </c>
      <c r="B39" s="98" t="s">
        <v>492</v>
      </c>
      <c r="C39" s="93" t="s">
        <v>962</v>
      </c>
      <c r="D39" s="750">
        <f>-50995-5512457-430000-379000-4649000-255887-18738763</f>
        <v>-30016102</v>
      </c>
    </row>
    <row r="40" spans="1:4" s="54" customFormat="1" ht="15.75" customHeight="1">
      <c r="A40" s="96">
        <v>28</v>
      </c>
      <c r="B40" s="56" t="s">
        <v>400</v>
      </c>
      <c r="C40" s="56"/>
      <c r="D40" s="200">
        <f>SUM(D38:D39)</f>
        <v>0</v>
      </c>
    </row>
    <row r="41" spans="1:4" s="54" customFormat="1" ht="7.5" customHeight="1">
      <c r="A41" s="96"/>
      <c r="B41" s="56"/>
      <c r="C41" s="56"/>
      <c r="D41" s="200"/>
    </row>
    <row r="42" spans="1:4" ht="15.75" customHeight="1">
      <c r="A42" s="96">
        <v>29</v>
      </c>
      <c r="B42" s="56" t="s">
        <v>425</v>
      </c>
      <c r="C42" s="56"/>
      <c r="D42" s="200">
        <f>SUM(D12,D17,D30,D35,D40)</f>
        <v>800696</v>
      </c>
    </row>
    <row r="43" spans="1:4" s="54" customFormat="1" ht="6.75" customHeight="1">
      <c r="A43" s="96"/>
      <c r="B43" s="56"/>
      <c r="C43" s="56"/>
      <c r="D43" s="200"/>
    </row>
    <row r="44" spans="1:4" s="54" customFormat="1" ht="25.5" customHeight="1">
      <c r="A44" s="96">
        <v>30</v>
      </c>
      <c r="B44" s="1139" t="s">
        <v>407</v>
      </c>
      <c r="C44" s="1139"/>
      <c r="D44" s="1139"/>
    </row>
    <row r="45" spans="1:4" ht="30">
      <c r="A45" s="96">
        <v>31</v>
      </c>
      <c r="B45" s="98" t="s">
        <v>492</v>
      </c>
      <c r="C45" s="93" t="s">
        <v>731</v>
      </c>
      <c r="D45" s="199">
        <v>389000</v>
      </c>
    </row>
    <row r="46" spans="1:4" ht="15">
      <c r="A46" s="96">
        <v>32</v>
      </c>
      <c r="B46" s="98" t="s">
        <v>492</v>
      </c>
      <c r="C46" s="93" t="s">
        <v>963</v>
      </c>
      <c r="D46" s="199">
        <v>4649000</v>
      </c>
    </row>
    <row r="47" spans="1:4" s="94" customFormat="1" ht="18" customHeight="1">
      <c r="A47" s="96">
        <v>33</v>
      </c>
      <c r="B47" s="751" t="s">
        <v>964</v>
      </c>
      <c r="C47" s="751"/>
      <c r="D47" s="752">
        <f>SUM(D45:D46)</f>
        <v>5038000</v>
      </c>
    </row>
    <row r="48" spans="1:4" ht="30">
      <c r="A48" s="96">
        <v>34</v>
      </c>
      <c r="B48" s="98" t="s">
        <v>492</v>
      </c>
      <c r="C48" s="93" t="s">
        <v>901</v>
      </c>
      <c r="D48" s="199">
        <v>799000</v>
      </c>
    </row>
    <row r="49" spans="1:4" ht="30">
      <c r="A49" s="96">
        <v>35</v>
      </c>
      <c r="B49" s="98" t="s">
        <v>492</v>
      </c>
      <c r="C49" s="93" t="s">
        <v>902</v>
      </c>
      <c r="D49" s="199">
        <v>2071000</v>
      </c>
    </row>
    <row r="50" spans="1:4" ht="15">
      <c r="A50" s="96">
        <v>36</v>
      </c>
      <c r="B50" s="98" t="s">
        <v>492</v>
      </c>
      <c r="C50" s="93" t="s">
        <v>1008</v>
      </c>
      <c r="D50" s="750">
        <v>-2870000</v>
      </c>
    </row>
    <row r="51" spans="1:4" s="94" customFormat="1" ht="18" customHeight="1">
      <c r="A51" s="96">
        <v>37</v>
      </c>
      <c r="B51" s="751" t="s">
        <v>973</v>
      </c>
      <c r="C51" s="751"/>
      <c r="D51" s="752">
        <f>SUM(D48:D50)</f>
        <v>0</v>
      </c>
    </row>
    <row r="52" spans="1:4" s="54" customFormat="1" ht="6.75" customHeight="1">
      <c r="A52" s="96"/>
      <c r="B52" s="98"/>
      <c r="C52" s="93"/>
      <c r="D52" s="99"/>
    </row>
    <row r="53" spans="1:4" ht="15.75" customHeight="1">
      <c r="A53" s="96">
        <v>38</v>
      </c>
      <c r="B53" s="56" t="s">
        <v>426</v>
      </c>
      <c r="C53" s="56"/>
      <c r="D53" s="200">
        <f>SUM(D51+D47)</f>
        <v>5038000</v>
      </c>
    </row>
    <row r="54" spans="1:4" s="54" customFormat="1" ht="6.75" customHeight="1">
      <c r="A54" s="101"/>
      <c r="B54" s="100"/>
      <c r="C54" s="100"/>
      <c r="D54" s="102"/>
    </row>
    <row r="55" spans="1:4" ht="15.75" customHeight="1">
      <c r="A55" s="96">
        <v>39</v>
      </c>
      <c r="B55" s="56" t="s">
        <v>424</v>
      </c>
      <c r="C55" s="56"/>
      <c r="D55" s="200">
        <f>SUM(D53,D42)</f>
        <v>5838696</v>
      </c>
    </row>
  </sheetData>
  <sheetProtection/>
  <mergeCells count="10">
    <mergeCell ref="A7:A8"/>
    <mergeCell ref="B44:D44"/>
    <mergeCell ref="B14:D14"/>
    <mergeCell ref="C1:D1"/>
    <mergeCell ref="B3:D3"/>
    <mergeCell ref="B7:C7"/>
    <mergeCell ref="B4:D4"/>
    <mergeCell ref="B8:C8"/>
    <mergeCell ref="B32:D32"/>
    <mergeCell ref="B37:D37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2017-10-02T15:23:01Z</cp:lastPrinted>
  <dcterms:created xsi:type="dcterms:W3CDTF">2001-11-30T10:27:10Z</dcterms:created>
  <dcterms:modified xsi:type="dcterms:W3CDTF">2017-10-02T15:24:19Z</dcterms:modified>
  <cp:category/>
  <cp:version/>
  <cp:contentType/>
  <cp:contentStatus/>
</cp:coreProperties>
</file>