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estület\2018. évi előterjesztések\2018.03.01. rendkívüli\Rendelet\"/>
    </mc:Choice>
  </mc:AlternateContent>
  <bookViews>
    <workbookView xWindow="0" yWindow="0" windowWidth="28800" windowHeight="11610" tabRatio="597"/>
  </bookViews>
  <sheets>
    <sheet name="1. m. bevételek 2018" sheetId="191" r:id="rId1"/>
    <sheet name="2. m. kiadások 2018" sheetId="192" r:id="rId2"/>
    <sheet name="2.a KÖH 2018" sheetId="193" r:id="rId3"/>
    <sheet name="3. m. létszám 2018" sheetId="161" r:id="rId4"/>
    <sheet name="4. melléklet 2018" sheetId="194" r:id="rId5"/>
    <sheet name="5.a melléklet-hitelek" sheetId="198" r:id="rId6"/>
    <sheet name="5.b melléklet-kezességv." sheetId="202" r:id="rId7"/>
    <sheet name="5.c melléklet-szerződések-KÖH" sheetId="196" r:id="rId8"/>
    <sheet name="5.c melléklet-szerződések-Önk" sheetId="197" r:id="rId9"/>
    <sheet name="6. melléklet 2018" sheetId="167" r:id="rId10"/>
    <sheet name="7. melléklet 2018" sheetId="199" r:id="rId11"/>
    <sheet name="8. melléklet 2018" sheetId="169" r:id="rId12"/>
    <sheet name="8.a melléklet 2018" sheetId="200" r:id="rId13"/>
    <sheet name="9. melléklet 2018" sheetId="203" r:id="rId14"/>
    <sheet name="10. melléklet 2018" sheetId="195" r:id="rId15"/>
  </sheets>
  <definedNames>
    <definedName name="_xlnm.Print_Titles" localSheetId="0">'1. m. bevételek 2018'!$6:$8</definedName>
    <definedName name="_xlnm.Print_Titles" localSheetId="1">'2. m. kiadások 2018'!$6:$8</definedName>
    <definedName name="_xlnm.Print_Titles" localSheetId="2">'2.a KÖH 2018'!$7:$7</definedName>
    <definedName name="_xlnm.Print_Titles" localSheetId="8">'5.c melléklet-szerződések-Önk'!$1:$8</definedName>
    <definedName name="_xlnm.Print_Area" localSheetId="0">'1. m. bevételek 2018'!$A$1:$G$194</definedName>
    <definedName name="_xlnm.Print_Area" localSheetId="1">'2. m. kiadások 2018'!$A$1:$G$342</definedName>
    <definedName name="_xlnm.Print_Area" localSheetId="2">'2.a KÖH 2018'!$A$2:$J$12</definedName>
    <definedName name="_xlnm.Print_Area" localSheetId="6">'5.b melléklet-kezességv.'!$A$1:$K$13</definedName>
    <definedName name="_xlnm.Print_Area" localSheetId="7">'5.c melléklet-szerződések-KÖH'!$A$1:$E$87</definedName>
    <definedName name="_xlnm.Print_Area" localSheetId="8">'5.c melléklet-szerződések-Önk'!$A$1:$E$123</definedName>
    <definedName name="_xlnm.Print_Area" localSheetId="9">'6. melléklet 2018'!#REF!</definedName>
    <definedName name="_xlnm.Print_Area" localSheetId="11">'8. melléklet 2018'!$A$1:$O$39</definedName>
  </definedNames>
  <calcPr calcId="162913"/>
</workbook>
</file>

<file path=xl/calcChain.xml><?xml version="1.0" encoding="utf-8"?>
<calcChain xmlns="http://schemas.openxmlformats.org/spreadsheetml/2006/main">
  <c r="G306" i="192" l="1"/>
  <c r="F306" i="192"/>
  <c r="E306" i="192"/>
  <c r="D306" i="192"/>
  <c r="E279" i="192"/>
  <c r="D279" i="192"/>
  <c r="G15" i="203" l="1"/>
  <c r="L10" i="200" l="1"/>
  <c r="P10" i="200"/>
  <c r="O10" i="200"/>
  <c r="N10" i="200"/>
  <c r="M10" i="200"/>
  <c r="J10" i="200"/>
  <c r="I10" i="200"/>
  <c r="H10" i="200"/>
  <c r="F10" i="200"/>
  <c r="E10" i="200"/>
  <c r="G10" i="200"/>
  <c r="K9" i="200"/>
  <c r="Q9" i="200" s="1"/>
  <c r="K6" i="200"/>
  <c r="Q6" i="200" s="1"/>
  <c r="K8" i="200" l="1"/>
  <c r="Q8" i="200" s="1"/>
  <c r="S8" i="200" s="1"/>
  <c r="K7" i="200"/>
  <c r="Q7" i="200" s="1"/>
  <c r="S7" i="200" s="1"/>
  <c r="R6" i="200"/>
  <c r="S6" i="200"/>
  <c r="S9" i="200"/>
  <c r="R9" i="200"/>
  <c r="R8" i="200" l="1"/>
  <c r="S10" i="200"/>
  <c r="K10" i="200"/>
  <c r="Q10" i="200"/>
  <c r="R7" i="200"/>
  <c r="R10" i="200" l="1"/>
  <c r="O18" i="169" l="1"/>
  <c r="L25" i="198"/>
  <c r="K25" i="198"/>
  <c r="J25" i="198"/>
  <c r="I25" i="198"/>
  <c r="H25" i="198"/>
  <c r="G25" i="198"/>
  <c r="F25" i="198"/>
  <c r="E25" i="198"/>
  <c r="D25" i="198"/>
  <c r="C25" i="198"/>
  <c r="M24" i="198"/>
  <c r="M23" i="198"/>
  <c r="M22" i="198"/>
  <c r="M21" i="198"/>
  <c r="M20" i="198"/>
  <c r="M19" i="198"/>
  <c r="M25" i="198" s="1"/>
  <c r="L13" i="198"/>
  <c r="K13" i="198"/>
  <c r="J13" i="198"/>
  <c r="I13" i="198"/>
  <c r="H13" i="198"/>
  <c r="G13" i="198"/>
  <c r="F13" i="198"/>
  <c r="E13" i="198"/>
  <c r="C13" i="198"/>
  <c r="M12" i="198"/>
  <c r="M11" i="198"/>
  <c r="M10" i="198"/>
  <c r="M13" i="198" s="1"/>
  <c r="E122" i="197" l="1"/>
  <c r="D122" i="197"/>
  <c r="D121" i="197"/>
  <c r="D120" i="197"/>
  <c r="D116" i="197"/>
  <c r="D113" i="197"/>
  <c r="D112" i="197"/>
  <c r="D110" i="197"/>
  <c r="D109" i="197"/>
  <c r="D107" i="197"/>
  <c r="D106" i="197"/>
  <c r="D102" i="197"/>
  <c r="E101" i="197"/>
  <c r="D101" i="197" s="1"/>
  <c r="D98" i="197"/>
  <c r="D97" i="197"/>
  <c r="D92" i="197"/>
  <c r="D91" i="197"/>
  <c r="D90" i="197"/>
  <c r="D89" i="197"/>
  <c r="D88" i="197"/>
  <c r="D87" i="197"/>
  <c r="D86" i="197"/>
  <c r="D85" i="197"/>
  <c r="D83" i="197"/>
  <c r="D82" i="197"/>
  <c r="E81" i="197"/>
  <c r="D81" i="197"/>
  <c r="D79" i="197"/>
  <c r="D77" i="197"/>
  <c r="D76" i="197"/>
  <c r="D71" i="197"/>
  <c r="D70" i="197"/>
  <c r="D67" i="197"/>
  <c r="D58" i="197"/>
  <c r="D56" i="197"/>
  <c r="D55" i="197"/>
  <c r="E53" i="197"/>
  <c r="D53" i="197" s="1"/>
  <c r="D51" i="197"/>
  <c r="D50" i="197"/>
  <c r="D48" i="197"/>
  <c r="D47" i="197"/>
  <c r="D46" i="197"/>
  <c r="D45" i="197"/>
  <c r="D44" i="197"/>
  <c r="D43" i="197"/>
  <c r="D42" i="197"/>
  <c r="D41" i="197"/>
  <c r="D40" i="197"/>
  <c r="D38" i="197"/>
  <c r="D37" i="197"/>
  <c r="D36" i="197"/>
  <c r="D34" i="197"/>
  <c r="D32" i="197"/>
  <c r="D31" i="197"/>
  <c r="D30" i="197"/>
  <c r="D27" i="197"/>
  <c r="D21" i="197"/>
  <c r="D19" i="197"/>
  <c r="D16" i="197"/>
  <c r="D12" i="197"/>
  <c r="D11" i="197"/>
  <c r="E87" i="196"/>
  <c r="D86" i="196"/>
  <c r="D85" i="196"/>
  <c r="D84" i="196"/>
  <c r="D81" i="196"/>
  <c r="D80" i="196"/>
  <c r="D78" i="196"/>
  <c r="D76" i="196"/>
  <c r="D75" i="196"/>
  <c r="D73" i="196"/>
  <c r="E72" i="196"/>
  <c r="D72" i="196" s="1"/>
  <c r="D71" i="196"/>
  <c r="D69" i="196"/>
  <c r="D67" i="196"/>
  <c r="D65" i="196"/>
  <c r="D63" i="196"/>
  <c r="D62" i="196"/>
  <c r="D61" i="196"/>
  <c r="D60" i="196"/>
  <c r="D57" i="196"/>
  <c r="D56" i="196"/>
  <c r="D55" i="196"/>
  <c r="D54" i="196"/>
  <c r="D53" i="196"/>
  <c r="D51" i="196"/>
  <c r="D50" i="196"/>
  <c r="D47" i="196"/>
  <c r="D46" i="196"/>
  <c r="D44" i="196"/>
  <c r="D43" i="196"/>
  <c r="D34" i="196"/>
  <c r="D33" i="196"/>
  <c r="D32" i="196"/>
  <c r="D30" i="196"/>
  <c r="D29" i="196"/>
  <c r="D28" i="196"/>
  <c r="D24" i="196"/>
  <c r="E21" i="196"/>
  <c r="D20" i="196"/>
  <c r="D15" i="196"/>
  <c r="D9" i="196"/>
  <c r="D87" i="196" l="1"/>
  <c r="E123" i="197"/>
  <c r="D123" i="197"/>
  <c r="I25" i="194" l="1"/>
  <c r="I17" i="194"/>
  <c r="D28" i="194"/>
  <c r="E154" i="191"/>
  <c r="E156" i="191" s="1"/>
  <c r="F154" i="191"/>
  <c r="F156" i="191" s="1"/>
  <c r="G154" i="191"/>
  <c r="G156" i="191" s="1"/>
  <c r="D154" i="191"/>
  <c r="D14" i="194" s="1"/>
  <c r="E149" i="191"/>
  <c r="F149" i="191"/>
  <c r="G149" i="191"/>
  <c r="D149" i="191"/>
  <c r="D26" i="194" s="1"/>
  <c r="D13" i="194"/>
  <c r="C18" i="161"/>
  <c r="D18" i="161"/>
  <c r="E18" i="161"/>
  <c r="B18" i="161"/>
  <c r="F99" i="195"/>
  <c r="E99" i="195"/>
  <c r="D99" i="195"/>
  <c r="G98" i="195"/>
  <c r="G99" i="195" s="1"/>
  <c r="F94" i="195"/>
  <c r="E94" i="195"/>
  <c r="D94" i="195"/>
  <c r="G93" i="195"/>
  <c r="G92" i="195"/>
  <c r="G91" i="195"/>
  <c r="G90" i="195"/>
  <c r="G94" i="195" s="1"/>
  <c r="F86" i="195"/>
  <c r="E86" i="195"/>
  <c r="D86" i="195"/>
  <c r="G85" i="195"/>
  <c r="G84" i="195"/>
  <c r="G83" i="195"/>
  <c r="G82" i="195"/>
  <c r="F78" i="195"/>
  <c r="E78" i="195"/>
  <c r="D78" i="195"/>
  <c r="G77" i="195"/>
  <c r="G76" i="195"/>
  <c r="G75" i="195"/>
  <c r="G74" i="195"/>
  <c r="G73" i="195"/>
  <c r="F69" i="195"/>
  <c r="E69" i="195"/>
  <c r="D69" i="195"/>
  <c r="E68" i="195"/>
  <c r="G68" i="195" s="1"/>
  <c r="G67" i="195"/>
  <c r="F63" i="195"/>
  <c r="F101" i="195" s="1"/>
  <c r="D63" i="195"/>
  <c r="E62" i="195"/>
  <c r="G62" i="195" s="1"/>
  <c r="E61" i="195"/>
  <c r="E63" i="195" s="1"/>
  <c r="F57" i="195"/>
  <c r="D57" i="195"/>
  <c r="G56" i="195"/>
  <c r="E55" i="195"/>
  <c r="G55" i="195" s="1"/>
  <c r="G54" i="195"/>
  <c r="G53" i="195"/>
  <c r="F43" i="195"/>
  <c r="E43" i="195"/>
  <c r="D43" i="195"/>
  <c r="G42" i="195"/>
  <c r="G43" i="195" s="1"/>
  <c r="F38" i="195"/>
  <c r="E38" i="195"/>
  <c r="D38" i="195"/>
  <c r="G37" i="195"/>
  <c r="G38" i="195" s="1"/>
  <c r="F33" i="195"/>
  <c r="E33" i="195"/>
  <c r="D33" i="195"/>
  <c r="G32" i="195"/>
  <c r="G33" i="195" s="1"/>
  <c r="F28" i="195"/>
  <c r="E28" i="195"/>
  <c r="D28" i="195"/>
  <c r="G27" i="195"/>
  <c r="G28" i="195" s="1"/>
  <c r="F23" i="195"/>
  <c r="E23" i="195"/>
  <c r="D23" i="195"/>
  <c r="G22" i="195"/>
  <c r="G23" i="195" s="1"/>
  <c r="F18" i="195"/>
  <c r="E18" i="195"/>
  <c r="D18" i="195"/>
  <c r="G17" i="195"/>
  <c r="G18" i="195" s="1"/>
  <c r="F13" i="195"/>
  <c r="F45" i="195" s="1"/>
  <c r="E13" i="195"/>
  <c r="E45" i="195" s="1"/>
  <c r="D13" i="195"/>
  <c r="G12" i="195"/>
  <c r="G13" i="195" s="1"/>
  <c r="G45" i="195" s="1"/>
  <c r="D101" i="195" l="1"/>
  <c r="G86" i="195"/>
  <c r="D45" i="195"/>
  <c r="G78" i="195"/>
  <c r="G69" i="195"/>
  <c r="G101" i="195" s="1"/>
  <c r="D156" i="191"/>
  <c r="G57" i="195"/>
  <c r="E57" i="195"/>
  <c r="E101" i="195" s="1"/>
  <c r="G61" i="195"/>
  <c r="G63" i="195" s="1"/>
  <c r="E20" i="191" l="1"/>
  <c r="F20" i="191"/>
  <c r="G20" i="191"/>
  <c r="D20" i="191"/>
  <c r="G233" i="192" l="1"/>
  <c r="G227" i="192"/>
  <c r="G199" i="192"/>
  <c r="G167" i="192"/>
  <c r="G84" i="192"/>
  <c r="G69" i="192"/>
  <c r="G131" i="191"/>
  <c r="G60" i="191"/>
  <c r="G141" i="191" l="1"/>
  <c r="F141" i="191"/>
  <c r="E141" i="191"/>
  <c r="D141" i="191"/>
  <c r="D24" i="194" s="1"/>
  <c r="F131" i="191"/>
  <c r="E131" i="191"/>
  <c r="D131" i="191"/>
  <c r="D25" i="194" s="1"/>
  <c r="G126" i="191"/>
  <c r="F126" i="191"/>
  <c r="E126" i="191"/>
  <c r="D126" i="191"/>
  <c r="G88" i="191"/>
  <c r="F88" i="191"/>
  <c r="E88" i="191"/>
  <c r="D88" i="191"/>
  <c r="G78" i="191"/>
  <c r="F78" i="191"/>
  <c r="E78" i="191"/>
  <c r="D78" i="191"/>
  <c r="F60" i="191"/>
  <c r="E60" i="191"/>
  <c r="D60" i="191"/>
  <c r="G327" i="192" l="1"/>
  <c r="F327" i="192"/>
  <c r="E327" i="192"/>
  <c r="D327" i="192"/>
  <c r="I26" i="194" s="1"/>
  <c r="G318" i="192"/>
  <c r="F318" i="192"/>
  <c r="E318" i="192"/>
  <c r="D318" i="192"/>
  <c r="G311" i="192"/>
  <c r="G329" i="192" s="1"/>
  <c r="F311" i="192"/>
  <c r="F329" i="192" s="1"/>
  <c r="E311" i="192"/>
  <c r="E329" i="192" s="1"/>
  <c r="D311" i="192"/>
  <c r="E18" i="192"/>
  <c r="D18" i="192"/>
  <c r="I23" i="194" s="1"/>
  <c r="G37" i="192"/>
  <c r="F37" i="192"/>
  <c r="E37" i="192"/>
  <c r="D37" i="192"/>
  <c r="E28" i="192"/>
  <c r="D28" i="192"/>
  <c r="D329" i="192" l="1"/>
  <c r="I24" i="194"/>
  <c r="G279" i="192"/>
  <c r="F279" i="192"/>
  <c r="F233" i="192"/>
  <c r="E233" i="192"/>
  <c r="D233" i="192"/>
  <c r="I15" i="194" s="1"/>
  <c r="F227" i="192"/>
  <c r="E227" i="192"/>
  <c r="D227" i="192"/>
  <c r="I16" i="194" s="1"/>
  <c r="F199" i="192"/>
  <c r="E199" i="192"/>
  <c r="D199" i="192"/>
  <c r="F167" i="192"/>
  <c r="E167" i="192"/>
  <c r="D167" i="192"/>
  <c r="I11" i="194" s="1"/>
  <c r="F84" i="192"/>
  <c r="E84" i="192"/>
  <c r="D84" i="192"/>
  <c r="I10" i="194" s="1"/>
  <c r="F69" i="192"/>
  <c r="E69" i="192"/>
  <c r="D69" i="192"/>
  <c r="I9" i="194" s="1"/>
  <c r="E52" i="192" l="1"/>
  <c r="D52" i="192"/>
  <c r="G20" i="194" l="1"/>
  <c r="H30" i="194" l="1"/>
  <c r="G30" i="194"/>
  <c r="C30" i="194"/>
  <c r="B30" i="194"/>
  <c r="H20" i="194"/>
  <c r="C20" i="194"/>
  <c r="B20" i="194"/>
  <c r="I12" i="193"/>
  <c r="H12" i="193"/>
  <c r="G12" i="193"/>
  <c r="F12" i="193"/>
  <c r="E12" i="193"/>
  <c r="D12" i="193"/>
  <c r="J11" i="193"/>
  <c r="J10" i="193"/>
  <c r="C12" i="193"/>
  <c r="B12" i="193"/>
  <c r="G338" i="192"/>
  <c r="F338" i="192"/>
  <c r="E338" i="192"/>
  <c r="D338" i="192"/>
  <c r="G219" i="192"/>
  <c r="G235" i="192" s="1"/>
  <c r="F219" i="192"/>
  <c r="E219" i="192"/>
  <c r="D219" i="192"/>
  <c r="G188" i="192"/>
  <c r="F188" i="192"/>
  <c r="E188" i="192"/>
  <c r="D188" i="192"/>
  <c r="I13" i="194" s="1"/>
  <c r="G52" i="192"/>
  <c r="G53" i="192" s="1"/>
  <c r="F52" i="192"/>
  <c r="F53" i="192" s="1"/>
  <c r="E53" i="192"/>
  <c r="D53" i="192"/>
  <c r="G38" i="192"/>
  <c r="F38" i="192"/>
  <c r="E38" i="192"/>
  <c r="D38" i="192"/>
  <c r="D29" i="192"/>
  <c r="G28" i="192"/>
  <c r="G29" i="192" s="1"/>
  <c r="F28" i="192"/>
  <c r="F29" i="192" s="1"/>
  <c r="E29" i="192"/>
  <c r="G15" i="192"/>
  <c r="G19" i="192" s="1"/>
  <c r="F15" i="192"/>
  <c r="F19" i="192" s="1"/>
  <c r="E15" i="192"/>
  <c r="E19" i="192" s="1"/>
  <c r="D15" i="192"/>
  <c r="G190" i="191"/>
  <c r="F190" i="191"/>
  <c r="E190" i="191"/>
  <c r="D190" i="191"/>
  <c r="G183" i="191"/>
  <c r="F183" i="191"/>
  <c r="E183" i="191"/>
  <c r="D183" i="191"/>
  <c r="D27" i="194" s="1"/>
  <c r="G172" i="191"/>
  <c r="F172" i="191"/>
  <c r="E172" i="191"/>
  <c r="D172" i="191"/>
  <c r="D15" i="194" s="1"/>
  <c r="G143" i="191"/>
  <c r="F143" i="191"/>
  <c r="E133" i="191"/>
  <c r="D133" i="191"/>
  <c r="G133" i="191"/>
  <c r="F133" i="191"/>
  <c r="G112" i="191"/>
  <c r="F112" i="191"/>
  <c r="E112" i="191"/>
  <c r="D112" i="191"/>
  <c r="D22" i="194" s="1"/>
  <c r="D30" i="194" s="1"/>
  <c r="G99" i="191"/>
  <c r="F99" i="191"/>
  <c r="E99" i="191"/>
  <c r="D99" i="191"/>
  <c r="D11" i="194" s="1"/>
  <c r="G73" i="191"/>
  <c r="F73" i="191"/>
  <c r="E73" i="191"/>
  <c r="D73" i="191"/>
  <c r="G69" i="191"/>
  <c r="G80" i="191" s="1"/>
  <c r="F69" i="191"/>
  <c r="E69" i="191"/>
  <c r="D69" i="191"/>
  <c r="G37" i="191"/>
  <c r="F37" i="191"/>
  <c r="E37" i="191"/>
  <c r="D37" i="191"/>
  <c r="D12" i="194" s="1"/>
  <c r="G33" i="191"/>
  <c r="G38" i="191" s="1"/>
  <c r="F33" i="191"/>
  <c r="F38" i="191" s="1"/>
  <c r="E33" i="191"/>
  <c r="D33" i="191"/>
  <c r="G25" i="191"/>
  <c r="F25" i="191"/>
  <c r="E25" i="191"/>
  <c r="D25" i="191"/>
  <c r="G13" i="191"/>
  <c r="F13" i="191"/>
  <c r="F15" i="191" s="1"/>
  <c r="E13" i="191"/>
  <c r="D13" i="191"/>
  <c r="D9" i="194" s="1"/>
  <c r="D19" i="192" l="1"/>
  <c r="D40" i="192" s="1"/>
  <c r="I22" i="194"/>
  <c r="I30" i="194" s="1"/>
  <c r="D235" i="192"/>
  <c r="I12" i="194"/>
  <c r="I20" i="194" s="1"/>
  <c r="F80" i="191"/>
  <c r="E15" i="191"/>
  <c r="E27" i="191" s="1"/>
  <c r="D15" i="191"/>
  <c r="D27" i="191" s="1"/>
  <c r="G15" i="191"/>
  <c r="G27" i="191" s="1"/>
  <c r="F27" i="191"/>
  <c r="E40" i="192"/>
  <c r="F40" i="192"/>
  <c r="G40" i="192"/>
  <c r="D143" i="191"/>
  <c r="E143" i="191"/>
  <c r="G158" i="191"/>
  <c r="F158" i="191"/>
  <c r="E80" i="191"/>
  <c r="D80" i="191"/>
  <c r="D10" i="194" s="1"/>
  <c r="D20" i="194" s="1"/>
  <c r="D33" i="194" s="1"/>
  <c r="E38" i="191"/>
  <c r="D38" i="191"/>
  <c r="E235" i="192"/>
  <c r="F235" i="192"/>
  <c r="C33" i="194"/>
  <c r="H33" i="194"/>
  <c r="G33" i="194"/>
  <c r="B33" i="194"/>
  <c r="G331" i="192"/>
  <c r="D331" i="192"/>
  <c r="J9" i="193"/>
  <c r="J12" i="193" s="1"/>
  <c r="I33" i="194" l="1"/>
  <c r="D158" i="191"/>
  <c r="D161" i="191" s="1"/>
  <c r="D194" i="191" s="1"/>
  <c r="G161" i="191"/>
  <c r="G194" i="191" s="1"/>
  <c r="E158" i="191"/>
  <c r="E161" i="191" s="1"/>
  <c r="E194" i="191" s="1"/>
  <c r="F161" i="191"/>
  <c r="F194" i="191" s="1"/>
  <c r="E331" i="192"/>
  <c r="D342" i="192"/>
  <c r="G342" i="192"/>
  <c r="E342" i="192" l="1"/>
  <c r="E28" i="169"/>
  <c r="I28" i="169"/>
  <c r="M28" i="169"/>
  <c r="O33" i="169"/>
  <c r="N32" i="169"/>
  <c r="M32" i="169"/>
  <c r="L32" i="169"/>
  <c r="K32" i="169"/>
  <c r="J32" i="169"/>
  <c r="I32" i="169"/>
  <c r="H32" i="169"/>
  <c r="G32" i="169"/>
  <c r="F32" i="169"/>
  <c r="E32" i="169"/>
  <c r="D32" i="169"/>
  <c r="C32" i="169"/>
  <c r="O31" i="169"/>
  <c r="O30" i="169"/>
  <c r="O29" i="169"/>
  <c r="N28" i="169"/>
  <c r="L28" i="169"/>
  <c r="K28" i="169"/>
  <c r="J28" i="169"/>
  <c r="H28" i="169"/>
  <c r="G28" i="169"/>
  <c r="F28" i="169"/>
  <c r="D28" i="169"/>
  <c r="C28" i="169"/>
  <c r="O27" i="169"/>
  <c r="O26" i="169"/>
  <c r="O25" i="169"/>
  <c r="O24" i="169"/>
  <c r="O23" i="169"/>
  <c r="O16" i="169"/>
  <c r="O15" i="169"/>
  <c r="O14" i="169"/>
  <c r="N13" i="169"/>
  <c r="N17" i="169" s="1"/>
  <c r="M13" i="169"/>
  <c r="M17" i="169" s="1"/>
  <c r="L13" i="169"/>
  <c r="L17" i="169" s="1"/>
  <c r="K13" i="169"/>
  <c r="K17" i="169" s="1"/>
  <c r="J13" i="169"/>
  <c r="J17" i="169" s="1"/>
  <c r="I13" i="169"/>
  <c r="I17" i="169" s="1"/>
  <c r="H13" i="169"/>
  <c r="H17" i="169" s="1"/>
  <c r="G13" i="169"/>
  <c r="G17" i="169" s="1"/>
  <c r="F13" i="169"/>
  <c r="F17" i="169" s="1"/>
  <c r="E13" i="169"/>
  <c r="E17" i="169" s="1"/>
  <c r="D13" i="169"/>
  <c r="D17" i="169" s="1"/>
  <c r="C13" i="169"/>
  <c r="C17" i="169" s="1"/>
  <c r="O12" i="169"/>
  <c r="O11" i="169"/>
  <c r="O10" i="169"/>
  <c r="O9" i="169"/>
  <c r="O8" i="169"/>
  <c r="D46" i="167"/>
  <c r="C46" i="167"/>
  <c r="B46" i="167"/>
  <c r="D38" i="167"/>
  <c r="C38" i="167"/>
  <c r="B38" i="167"/>
  <c r="D25" i="167"/>
  <c r="C25" i="167"/>
  <c r="B25" i="167"/>
  <c r="D17" i="167"/>
  <c r="C17" i="167"/>
  <c r="B17" i="167"/>
  <c r="F16" i="161"/>
  <c r="F15" i="161"/>
  <c r="F14" i="161"/>
  <c r="F12" i="161"/>
  <c r="F11" i="161"/>
  <c r="F10" i="161"/>
  <c r="F9" i="161"/>
  <c r="G34" i="169" l="1"/>
  <c r="G36" i="169" s="1"/>
  <c r="F18" i="161"/>
  <c r="C47" i="167"/>
  <c r="B26" i="167"/>
  <c r="J34" i="169"/>
  <c r="J36" i="169" s="1"/>
  <c r="O35" i="169"/>
  <c r="F34" i="169"/>
  <c r="F36" i="169" s="1"/>
  <c r="C34" i="169"/>
  <c r="C36" i="169" s="1"/>
  <c r="K34" i="169"/>
  <c r="K36" i="169" s="1"/>
  <c r="E34" i="169"/>
  <c r="E36" i="169" s="1"/>
  <c r="D34" i="169"/>
  <c r="D36" i="169" s="1"/>
  <c r="M34" i="169"/>
  <c r="M36" i="169" s="1"/>
  <c r="L34" i="169"/>
  <c r="L36" i="169" s="1"/>
  <c r="H34" i="169"/>
  <c r="H36" i="169" s="1"/>
  <c r="I34" i="169"/>
  <c r="I36" i="169" s="1"/>
  <c r="N34" i="169"/>
  <c r="N36" i="169" s="1"/>
  <c r="O32" i="169"/>
  <c r="O28" i="169"/>
  <c r="D47" i="167"/>
  <c r="C26" i="167"/>
  <c r="D26" i="167"/>
  <c r="B47" i="167"/>
  <c r="D20" i="169"/>
  <c r="H20" i="169"/>
  <c r="L20" i="169"/>
  <c r="E20" i="169"/>
  <c r="I20" i="169"/>
  <c r="M20" i="169"/>
  <c r="F20" i="169"/>
  <c r="J20" i="169"/>
  <c r="N20" i="169"/>
  <c r="C20" i="169"/>
  <c r="G37" i="169"/>
  <c r="G20" i="169"/>
  <c r="G38" i="169" s="1"/>
  <c r="K20" i="169"/>
  <c r="O13" i="169"/>
  <c r="O17" i="169" s="1"/>
  <c r="O20" i="169" s="1"/>
  <c r="J37" i="169" l="1"/>
  <c r="J38" i="169"/>
  <c r="C37" i="169"/>
  <c r="F37" i="169"/>
  <c r="F38" i="169"/>
  <c r="L38" i="169"/>
  <c r="I37" i="169"/>
  <c r="E37" i="169"/>
  <c r="D37" i="169"/>
  <c r="K38" i="169"/>
  <c r="K37" i="169"/>
  <c r="D38" i="169"/>
  <c r="N38" i="169"/>
  <c r="E38" i="169"/>
  <c r="N37" i="169"/>
  <c r="L37" i="169"/>
  <c r="H38" i="169"/>
  <c r="H37" i="169"/>
  <c r="M38" i="169"/>
  <c r="M37" i="169"/>
  <c r="I38" i="169"/>
  <c r="O34" i="169"/>
  <c r="O36" i="169" s="1"/>
  <c r="C39" i="169"/>
  <c r="D39" i="169" s="1"/>
  <c r="E39" i="169" s="1"/>
  <c r="F39" i="169" s="1"/>
  <c r="G39" i="169" s="1"/>
  <c r="H39" i="169" s="1"/>
  <c r="I39" i="169" s="1"/>
  <c r="J39" i="169" s="1"/>
  <c r="K39" i="169" s="1"/>
  <c r="L39" i="169" s="1"/>
  <c r="M39" i="169" s="1"/>
  <c r="N39" i="169" s="1"/>
  <c r="C38" i="169"/>
  <c r="O37" i="169" l="1"/>
  <c r="O39" i="169"/>
  <c r="O38" i="169"/>
  <c r="F331" i="192"/>
  <c r="F342" i="192" s="1"/>
</calcChain>
</file>

<file path=xl/sharedStrings.xml><?xml version="1.0" encoding="utf-8"?>
<sst xmlns="http://schemas.openxmlformats.org/spreadsheetml/2006/main" count="1534" uniqueCount="1020">
  <si>
    <t>1. Informatikai eszközök, szoftverek beszerzése</t>
  </si>
  <si>
    <t>2.1. Dombóvári Város- és Lakásgazdálkodási Nkft. tagi kölcsön</t>
  </si>
  <si>
    <t>1. Tervezett működési célú maradvány</t>
  </si>
  <si>
    <t>2. Tervezett felhalmozási célú maradvány</t>
  </si>
  <si>
    <t>3.1. Víziközmű-fejlesztés finanszírozására elkülönített</t>
  </si>
  <si>
    <t>Kölcsönök visszatérülése</t>
  </si>
  <si>
    <t>1.1. Bölcsőde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</si>
  <si>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</si>
  <si>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</si>
  <si>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</si>
  <si>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</si>
  <si>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</si>
  <si>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</si>
  <si>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</si>
  <si>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</si>
  <si>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</si>
  <si>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</si>
  <si>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</si>
  <si>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</si>
  <si>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</si>
  <si>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</si>
  <si>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</si>
  <si>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</si>
  <si>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</si>
  <si>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</si>
  <si>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</si>
  <si>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</si>
  <si>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</si>
  <si>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</si>
  <si>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</si>
  <si>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</si>
  <si>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</si>
  <si>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</si>
  <si>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</si>
  <si>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</si>
  <si>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</si>
  <si>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</si>
  <si>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</si>
  <si>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</si>
  <si>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1. Polgármesteri keret</t>
  </si>
  <si>
    <t>1.1. Többcélú társulás működésére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</si>
  <si>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</si>
  <si>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</si>
  <si>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</si>
  <si>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</si>
  <si>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</si>
  <si>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</si>
  <si>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</si>
  <si>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</si>
  <si>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</si>
  <si>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</si>
  <si>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</si>
  <si>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</si>
  <si>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</si>
  <si>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</si>
  <si>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</si>
  <si>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</si>
  <si>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</si>
  <si>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</si>
  <si>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</si>
  <si>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</si>
  <si>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</si>
  <si>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</si>
  <si>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</si>
  <si>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</si>
  <si>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</si>
  <si>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</si>
  <si>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</si>
  <si>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</si>
  <si>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</si>
  <si>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</si>
  <si>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</si>
  <si>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1.1. Általános feladatok támogatása</t>
  </si>
  <si>
    <t>1.2. Egyes köznevelési feladatok támogatása</t>
  </si>
  <si>
    <t>1.4. Kulturális feladatok támogatása</t>
  </si>
  <si>
    <t>1.3. Szociális, gyermekjóléti és gyermekétkeztetési feladatok támogatása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</si>
  <si>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</si>
  <si>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</si>
  <si>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</si>
  <si>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</si>
  <si>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</si>
  <si>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</si>
  <si>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</si>
  <si>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</si>
  <si>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</si>
  <si>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</si>
  <si>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</si>
  <si>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</si>
  <si>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</si>
  <si>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</si>
  <si>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</si>
  <si>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</si>
  <si>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</si>
  <si>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</si>
  <si>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</si>
  <si>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</si>
  <si>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</si>
  <si>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</si>
  <si>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</si>
  <si>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</si>
  <si>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</si>
  <si>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</si>
  <si>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</si>
  <si>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</si>
  <si>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</si>
  <si>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</si>
  <si>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</si>
  <si>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</si>
  <si>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Finanszírozási kiadások</t>
  </si>
  <si>
    <t>1. Hitelek, kölcsönök törlesztése</t>
  </si>
  <si>
    <t>2. Államháztartáson belüli megelőlegezések visszafizetése</t>
  </si>
  <si>
    <t>KÖH Dombóvár-ból közfoglalkoztatás</t>
  </si>
  <si>
    <t>1.5. Települési adó - földadó</t>
  </si>
  <si>
    <t>2. Intézményi vagyonbiztosítás és felelősségbiztosítás</t>
  </si>
  <si>
    <t>2.1. Tinódi Ház Nkft.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</si>
  <si>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</si>
  <si>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</si>
  <si>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</si>
  <si>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</si>
  <si>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</si>
  <si>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</si>
  <si>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</si>
  <si>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</si>
  <si>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</si>
  <si>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</si>
  <si>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</si>
  <si>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</si>
  <si>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</si>
  <si>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</si>
  <si>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</si>
  <si>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</si>
  <si>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</si>
  <si>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4.1 Bérleti díj bevételek</t>
  </si>
  <si>
    <t>4.2. Dombóvári Város- és Lakásgazdálkodási Nkft-től lakbér, bérleti díj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</si>
  <si>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</si>
  <si>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</si>
  <si>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</si>
  <si>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</si>
  <si>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</si>
  <si>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</si>
  <si>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</si>
  <si>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</si>
  <si>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</si>
  <si>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</si>
  <si>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</si>
  <si>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</si>
  <si>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</si>
  <si>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</si>
  <si>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</si>
  <si>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</si>
  <si>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</si>
  <si>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</si>
  <si>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1.4. Dombóvári Illyés Gyula Gimnázium Tehetséggondozó Program támogatása</t>
  </si>
  <si>
    <t>5.1. Dombóvári HACS Egyesületnek kölcsön</t>
  </si>
  <si>
    <t>27. Horvay u. csapadékvíz elvezető burkolt árok rekonstrukciója</t>
  </si>
  <si>
    <t>4. Gázkazán beszerzése</t>
  </si>
  <si>
    <t>Eredeti előirányzat</t>
  </si>
  <si>
    <t>Dombóvár Város Önkormányzata intézményeinek</t>
  </si>
  <si>
    <t>Intézmény megnevezése</t>
  </si>
  <si>
    <t>Engedélyezett létszám (fő)</t>
  </si>
  <si>
    <t>Szakmai létszám</t>
  </si>
  <si>
    <t>Nevelő munát közvetlenül segítők</t>
  </si>
  <si>
    <t>Technikai létszám</t>
  </si>
  <si>
    <t>Megváltozott
munkaképességű
dolgozók</t>
  </si>
  <si>
    <t>Összesen</t>
  </si>
  <si>
    <t xml:space="preserve">    Bölcsőde</t>
  </si>
  <si>
    <t xml:space="preserve">    Dombóvár</t>
  </si>
  <si>
    <t xml:space="preserve">    Szakcs</t>
  </si>
  <si>
    <t xml:space="preserve">    Óvoda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</si>
  <si>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</si>
  <si>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</si>
  <si>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</si>
  <si>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</si>
  <si>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</si>
  <si>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</si>
  <si>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támogatás államháztartáson belülről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</si>
  <si>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</si>
  <si>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</si>
  <si>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</si>
  <si>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</si>
  <si>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</si>
  <si>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</si>
  <si>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</si>
  <si>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</si>
  <si>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</si>
  <si>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</si>
  <si>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Fejlesztési célú állami támogatás</t>
  </si>
  <si>
    <t>Felhalmozási célú pénzeszköz átvétele</t>
  </si>
  <si>
    <t>Felhalmozási célú pénzeszköz átadás</t>
  </si>
  <si>
    <t>Felhalmozási célú támogatás államháztartáson belülről</t>
  </si>
  <si>
    <t>Felhalmozási célú kölcsönök visszatérülése</t>
  </si>
  <si>
    <t>Felhalmozási célú maradvány</t>
  </si>
  <si>
    <t>Céltartalék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</si>
  <si>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</si>
  <si>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</si>
  <si>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</si>
  <si>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</si>
  <si>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</si>
  <si>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</si>
  <si>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</si>
  <si>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1.1. Közfoglalkoztatás támogatása</t>
  </si>
  <si>
    <t>2. Működési célú költségvetési támogatások és kiegészítő támogatások</t>
  </si>
  <si>
    <t>3. Felhalmozási célú önkormányzati támogatások</t>
  </si>
  <si>
    <t>Ft</t>
  </si>
  <si>
    <t>2018.</t>
  </si>
  <si>
    <t>Dombóvár Város Önkormányzatának költségvetési mérlege</t>
  </si>
  <si>
    <t>Bevételek</t>
  </si>
  <si>
    <t>Helyi adók</t>
  </si>
  <si>
    <t>Gépjárműadó</t>
  </si>
  <si>
    <t>Egyéb központi adók</t>
  </si>
  <si>
    <t>Egyéb közhatalmi bevételek</t>
  </si>
  <si>
    <t>Működési célú tám. államháztartáson belülről</t>
  </si>
  <si>
    <t>Működési célú pénzeszköz átvétel</t>
  </si>
  <si>
    <t>Kölcsön visszatérülés</t>
  </si>
  <si>
    <t>Működési célú bevételek összesen</t>
  </si>
  <si>
    <t>Felhalmozási célú pénzeszköz átvétel</t>
  </si>
  <si>
    <t>Felhalmozási célú kölcsön visszatérülés</t>
  </si>
  <si>
    <t>Felhalmozási célú hitel igénybevétele</t>
  </si>
  <si>
    <t>Felhalmozási célú bevétel összesen:</t>
  </si>
  <si>
    <t>Bevétel összesen:</t>
  </si>
  <si>
    <t>Kiadások</t>
  </si>
  <si>
    <t>Személyi juttatások összesen:</t>
  </si>
  <si>
    <t>Működési célú pénzeszköz átadás, egyéb tám.</t>
  </si>
  <si>
    <t>Ellátottak pénzbeli juttatása</t>
  </si>
  <si>
    <t>Rövid lejáratú hitel visszafizetés</t>
  </si>
  <si>
    <t>Rövid lejáratú hitel kamat</t>
  </si>
  <si>
    <t>Céltartalék működési, általános tartalék</t>
  </si>
  <si>
    <t>Működési kiadás összesen</t>
  </si>
  <si>
    <t>Felújítási kiadások</t>
  </si>
  <si>
    <t>Felhalmozási célú hitel visszafizetés</t>
  </si>
  <si>
    <t>Hosszú lejáratú hitel kamata</t>
  </si>
  <si>
    <t>Felhalmozási célú kölcsön nyújtás</t>
  </si>
  <si>
    <t>Felhalmozási kiadások összesen:</t>
  </si>
  <si>
    <t>Kiadások összesen: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</si>
  <si>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</si>
  <si>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</si>
  <si>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</si>
  <si>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</si>
  <si>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</si>
  <si>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</si>
  <si>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</si>
  <si>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</si>
  <si>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</si>
  <si>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</si>
  <si>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</si>
  <si>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</si>
  <si>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Intézményi működési bevétel</t>
  </si>
  <si>
    <t xml:space="preserve">  ebből helyi adó</t>
  </si>
  <si>
    <t>Átvett pénzeszközök, támogatás államháztartáson belülről</t>
  </si>
  <si>
    <t xml:space="preserve">  ebből működésre</t>
  </si>
  <si>
    <t xml:space="preserve">  ebből fejlesztésre</t>
  </si>
  <si>
    <t>Bevételek együtt (1+…+6)</t>
  </si>
  <si>
    <t>Összes bevétel (7+8)</t>
  </si>
  <si>
    <t>Személyi juttatás</t>
  </si>
  <si>
    <t>Munkaadókat terhelő járulék</t>
  </si>
  <si>
    <t>Dologi kiadás</t>
  </si>
  <si>
    <t>Egyéb működési célú kiadás</t>
  </si>
  <si>
    <t>Működési kiadások (10+…+14)</t>
  </si>
  <si>
    <t>Egyéb felhalmozási kiadás</t>
  </si>
  <si>
    <t>Felhalmozási kiadás (16+17+18)</t>
  </si>
  <si>
    <t>Céltartalék, általános tartalék</t>
  </si>
  <si>
    <t>Kiadások együtt (15+19+20)</t>
  </si>
  <si>
    <t>Összes kiadás (21+22)</t>
  </si>
  <si>
    <t>7-21 eltérése (+/-)</t>
  </si>
  <si>
    <t>9-23 eltérése (+/-)</t>
  </si>
  <si>
    <t>Záró pénzkészlet</t>
  </si>
  <si>
    <t>2019. év</t>
  </si>
  <si>
    <t>2020. év</t>
  </si>
  <si>
    <t>Finanszírozási műveletek (hiteltörl., Áht-n belüli megelőleg. visszafiz.)</t>
  </si>
  <si>
    <t>Tinódi Könyvtár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</si>
  <si>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</si>
  <si>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</si>
  <si>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</si>
  <si>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</si>
  <si>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4. Elszámolásból származó bevételek</t>
  </si>
  <si>
    <t>Felújítások összesen:</t>
  </si>
  <si>
    <t>8. KÖFOP-1.2.1-VEKOP-16-2017-01275 Dombóvár Város Önkormányzata ASP központhoz való csatlakozása</t>
  </si>
  <si>
    <t>9. TOP -5.2.1-15-TL1-2016-00001 A dombóvári Mászlony szegregátumban élők társadalmi integrációjának helyi szintű komplex programja</t>
  </si>
  <si>
    <t>10. TOP -5.2.1-15-TL1-2016-00002 A dombóvári Szigetsor-Vasút szegregátumban élők társadalmi integrációjának helyi szintű komplex programja</t>
  </si>
  <si>
    <t>11. TOP -5.2.1-15-TL1-2016-00003 A dombóvári Kakasdomb-Erzsébet utca szegregációval veszélyeztetett területén élők társadalmi integrációjának helyi szintű komplex programja</t>
  </si>
  <si>
    <t>Európai Uniós támogatással megvalósuló programok, projektek bevételei, kiadásai</t>
  </si>
  <si>
    <t>szám</t>
  </si>
  <si>
    <t>azonosító</t>
  </si>
  <si>
    <t>program, projekt neve</t>
  </si>
  <si>
    <t>KÖFOP-1.2.1-VEKOP-16-2017-01275</t>
  </si>
  <si>
    <t>Dombóvár Város Önkormányzata ASP központhoz való csatlakozása</t>
  </si>
  <si>
    <t xml:space="preserve">támogatás </t>
  </si>
  <si>
    <t>TOP-3.2.1-15-TL1-2016-00025</t>
  </si>
  <si>
    <t>Épületenergetikai korszerűsítés a Dombóvári Illyés Gyula Gimnázium épületén</t>
  </si>
  <si>
    <t>TOP-3.2.1-15-TL1-2016-00026</t>
  </si>
  <si>
    <t>TOP-5.2.1-15-TL1-2016-00001</t>
  </si>
  <si>
    <t>A dombóvári Mászlony szegregátumban élők társadalmi integrációjának helyi szintű komplex programja</t>
  </si>
  <si>
    <t>TOP-5.2.1-15-TL1-2016-00003</t>
  </si>
  <si>
    <t>A dombóvári Kakasdomb-Erzsébet utca szegregációval veszélyeztetett területén élők társadalmi integrációjának helyi szintű komplex programja</t>
  </si>
  <si>
    <t>TOP-5.2.1-15-TL1-2016-00002</t>
  </si>
  <si>
    <t>A dombóvári Szigetsor-Vasút szegregátumban élők társadalmi integrációjának helyi szintű komplex programja</t>
  </si>
  <si>
    <t>Bevételek összesen:</t>
  </si>
  <si>
    <t>kiadás</t>
  </si>
  <si>
    <t>személyi</t>
  </si>
  <si>
    <t>járulék</t>
  </si>
  <si>
    <t>dologi kiadások (szolgáltatások)</t>
  </si>
  <si>
    <t>eszközbeszerzés</t>
  </si>
  <si>
    <t>felújítás</t>
  </si>
  <si>
    <t>tartalék</t>
  </si>
  <si>
    <t>2.2. Dombóvári HACS Egyesület kölcsön visszafizetés</t>
  </si>
  <si>
    <t>TOP-5.1.2-15-TL1-2016-00002</t>
  </si>
  <si>
    <t>Foglalkoztatási paktum létrehozása Tamási és Dombóvár városok környezetében</t>
  </si>
  <si>
    <t>12. Nyári diákmunka</t>
  </si>
  <si>
    <t>24. Új közlekedési jelző- és utcanév táblák beszerzése</t>
  </si>
  <si>
    <t>2018. évi kiemelt kiadási előirányzata</t>
  </si>
  <si>
    <t>2016-18. év</t>
  </si>
  <si>
    <t>2016. tény</t>
  </si>
  <si>
    <t>Lekötött betétek megszüntetése</t>
  </si>
  <si>
    <t>Betétlekötés</t>
  </si>
  <si>
    <t>2017. várható</t>
  </si>
  <si>
    <t>2018. eredeti</t>
  </si>
  <si>
    <t>Felhalmozási célú hitel törlesztés</t>
  </si>
  <si>
    <t>5. Városháza akadálymentesítése</t>
  </si>
  <si>
    <t>1. Foglalkoztatottak személyi juttatásai (közfoglalkoztatottak)</t>
  </si>
  <si>
    <t>2. Választott tisztségviselők juttatásai</t>
  </si>
  <si>
    <t>3. Egyéb külső személyi juttatások</t>
  </si>
  <si>
    <t>4. Sportpályák (DIS, Szuhay Sportcentrum)</t>
  </si>
  <si>
    <t>5. Tourinform iroda</t>
  </si>
  <si>
    <t>6. Személygépkocsi sofőr</t>
  </si>
  <si>
    <t>7. KÖFOP-1.2.1-VEKOP-16-2017-01275 Dombóvár Város Önkormányzata ASP központhoz való csatlakozása</t>
  </si>
  <si>
    <t>8. TOP -5.2.1-15-TL1-2016-00001 A dombóvári Mászlony szegregátumban élők társadalmi integrációjának helyi szintű komplex programja</t>
  </si>
  <si>
    <t>9. TOP -5.2.1-15-TL1-2016-00002 A dombóvári Szigetsor-Vasút szegregátumban élők társadalmi integrációjának helyi szintű komplex programja</t>
  </si>
  <si>
    <t>10. TOP -5.2.1-15-TL1-2016-00003 A dombóvári Kakasdomb-Erzsébet utca szegregációval veszélyeztetett területén élők társadalmi integrációjának helyi szintű komplex programja</t>
  </si>
  <si>
    <t>11. Nyári diákmunka</t>
  </si>
  <si>
    <t>3. Foglalkoztatás eü. szolg.</t>
  </si>
  <si>
    <t>4. Intézményi gáz</t>
  </si>
  <si>
    <t>5. Város- és községgazdálkodás</t>
  </si>
  <si>
    <t>6. Szúnyoggyérítés</t>
  </si>
  <si>
    <t>7. Helyi utak fenntartása</t>
  </si>
  <si>
    <t>8. Útburkolati jelek festése</t>
  </si>
  <si>
    <t>9. Belvízvédelem, települési vízellátás</t>
  </si>
  <si>
    <t>10. Ingatlanok üzemeltetése</t>
  </si>
  <si>
    <t>11. Köztisztaság, parkfenntartás</t>
  </si>
  <si>
    <t>11.1. Hulladékgyűjtés kezelés, egyéb takarítás, közterület-takarítás, kézi szeméttárolók ürítése</t>
  </si>
  <si>
    <t>11.2. Utak szennyeződés mentesítése, gépi síkosságmentesítés és hóeltakarítás közutakon</t>
  </si>
  <si>
    <t>11.3. Zöldterület kezelés</t>
  </si>
  <si>
    <t>12. Közterületen lévő fák, fasorok cseréje, telepítése, rendezése, nyesése, eseti fakivágások</t>
  </si>
  <si>
    <t>12.1. Fapótlás</t>
  </si>
  <si>
    <t>12.2. Fák permetezése</t>
  </si>
  <si>
    <t>12.3. Fák kivágása, visszavágása</t>
  </si>
  <si>
    <t>13. Növénybeszerzés</t>
  </si>
  <si>
    <t>14. Temetőfenntartás</t>
  </si>
  <si>
    <t>16. Katasztrófavédelemmel, közbiztonsággal kapcsolatos feladatok</t>
  </si>
  <si>
    <t>17. Környezet- és természetvédelmi feladatok</t>
  </si>
  <si>
    <t>18. Közfoglalkoztatás</t>
  </si>
  <si>
    <t>19. Kamatfizetés</t>
  </si>
  <si>
    <t>19.1. Működési hitel után</t>
  </si>
  <si>
    <t>19.2. Beruházási hitel után</t>
  </si>
  <si>
    <t xml:space="preserve">20. Központi orvosi ügyelet </t>
  </si>
  <si>
    <t>21. Gyermek- és ifjúsági önkormányzat</t>
  </si>
  <si>
    <t>22. Jogi tanácsadás</t>
  </si>
  <si>
    <t>23. Városi rendezvények</t>
  </si>
  <si>
    <t>24. Testvérvárosi, külkapcsolati kiadások</t>
  </si>
  <si>
    <t>25. Önkormányzati jogalkotás kiadásai</t>
  </si>
  <si>
    <t>26. Helyi tömegközlekedés biztosítása</t>
  </si>
  <si>
    <t>27. Városmarketing és kommunikációs feladatok</t>
  </si>
  <si>
    <t>28. Víziközmű-fejlesztésekkel kapcs. műszaki tanácsadás</t>
  </si>
  <si>
    <t>29. Közfoglalkoztatáshoz kapcsolódó, a foglalkoztatási programból nem finanszírozható munkák fedezete</t>
  </si>
  <si>
    <t>30. Kincstári Megtakarítási Program (biztosítás polgármesterre)</t>
  </si>
  <si>
    <t>31. Balatonfenyvesi és Gunarasi Ifjúsági Tábor üzemeltetése</t>
  </si>
  <si>
    <t>31.1. Balatonfenyves</t>
  </si>
  <si>
    <t>31.2. Gunaras</t>
  </si>
  <si>
    <t>32. Víznyelőrácsok cseréje</t>
  </si>
  <si>
    <t>33. Csapadékvíz-elvezető hálózat gépi tisztítása</t>
  </si>
  <si>
    <t>34. ÁFA befizetés (építési telkek, víziközmű bérleti díj)</t>
  </si>
  <si>
    <t>35. Sportpályák üzemeltetése</t>
  </si>
  <si>
    <t>35.1. Dombóvári Ifjúsági Sporttelep, Szuhay Sportcentrum</t>
  </si>
  <si>
    <t>35.2. JAM csarnok (Mándl Imre Ökölvívó Terem)</t>
  </si>
  <si>
    <t>36. Hulladékudvar üzemeltetése</t>
  </si>
  <si>
    <t xml:space="preserve">37. Gyepmesteri telep üzemeltetése </t>
  </si>
  <si>
    <t>38. Városkártya rendszer</t>
  </si>
  <si>
    <t>39. Tartalék előre nem tervezett városüzemeltetési feladatok ellátására</t>
  </si>
  <si>
    <t>40. Településrendezési terv módosítása</t>
  </si>
  <si>
    <t>41. Kihívás Napja program - jutalom a körzet infrastrukturális fejlesztésére</t>
  </si>
  <si>
    <t>42. Tourinform iroda működésére</t>
  </si>
  <si>
    <t>43. Karácsonyi díszkivilágítás felszerelése, leszerelése</t>
  </si>
  <si>
    <t>44. Dombóvári Ifjúsági Fúvószenekar részére formaingek</t>
  </si>
  <si>
    <t>45. "Életmód magazin" készítése - Dombó-Média Kft.</t>
  </si>
  <si>
    <t>46. 2017. évi egészségfejlesztési programsorozat költségei</t>
  </si>
  <si>
    <t>47. Önkormányzati bérlakások felszerelése vízmérőórával</t>
  </si>
  <si>
    <t>48. KÖFOP-1.2.1-VEKOP-16-2017-01275 Dombóvár Város Önkormányzata ASP központhoz való csatlakozása</t>
  </si>
  <si>
    <t>49. TOP -3.2.1-15-TL1-2016-00025 Épületenergetikai korszerűsítés a Dombóvári Illyés Gyula Gimnázium épületén</t>
  </si>
  <si>
    <t>50. TOP -3.2.1-15-TL1-2016-00026 Épületenergetikai korszerűsítés a Dombóvári Szivárvány Óvoda Százszorszép Tagóvodája épületén</t>
  </si>
  <si>
    <t>51. TOP -5.2.1-15-TL1-2016-00001 A dombóvári Mászlony szegregátumban élők társadalmi integrációjának helyi szintű komplex programja</t>
  </si>
  <si>
    <t>52. TOP -5.2.1-15-TL1-2016-00002 pályázat A dombóvári Szigetsor-Vasút szegregátumban élők társadalmi integrációjának helyi szintű komplex programja</t>
  </si>
  <si>
    <t>53. TOP -5.2.1-15-TL1-2016-00003 A dombóvári Kakasdomb-Erzsébet utca szegregációval veszélyeztetett területén élők társadalmi integrációjának helyi szintű komplex programja</t>
  </si>
  <si>
    <t>54. TOP-5.1.2-15-TL1-2016-00002 pályázat Foglalkoztatási paktum létrehozása Tamási és Dombóvár városok környezetében</t>
  </si>
  <si>
    <t>55. Dombó-Land Kft. szolgáltatási díj projekt-előkészítési tevékenységért</t>
  </si>
  <si>
    <t>56. Információs táblák elhelyezése a Szigeterdőben</t>
  </si>
  <si>
    <t>57. Szigeterdő szórt alapú sétányok felújítása</t>
  </si>
  <si>
    <t>58. Köztéri műalkotások avatása, és szakvéleményezése</t>
  </si>
  <si>
    <t>59. Régi kukák cseréje</t>
  </si>
  <si>
    <t>60. Csapadékvízgyűjtő tartályok vásárlása</t>
  </si>
  <si>
    <t>61. Plakátoló állványok beszerzése</t>
  </si>
  <si>
    <t>62. Sipos Gyula emléktábla</t>
  </si>
  <si>
    <t>63. Jókai u. 13. alatti lakóház társasházzá alakítása</t>
  </si>
  <si>
    <t>64. Dombóvári értéktár kiadvány</t>
  </si>
  <si>
    <t>65. Városi piac kialakításához kapcsolódó koncepcióterv</t>
  </si>
  <si>
    <t>66. Ipari Park cím elnyerésére irányuló pályázathoz megvalósíthatósági tanulmány, üzleti terv</t>
  </si>
  <si>
    <t>67. Adóellenőrzéshez adószakértő megbízása</t>
  </si>
  <si>
    <t>1.5. Siófok-Pécs kerékpáros útvonal turisztikai megvalósíthatósági
tanulmánytervének elkészítésére támogatás Tamási Város Önkormányzata részére</t>
  </si>
  <si>
    <t>1.6. Vis maior támogatás visszafizetése</t>
  </si>
  <si>
    <t>1.7. Támogató szolgáltatás 2015. évi támogatás visszafizetése</t>
  </si>
  <si>
    <t>2.3. Bursa Hungarica felsőoktatási ösztöndíj pályázat</t>
  </si>
  <si>
    <t>2.4. Iskola egészségügyi feladat</t>
  </si>
  <si>
    <t>2.5. Mecsek Dráva Önkormányzati Társulás 2012-2016. évi hozzájárulás</t>
  </si>
  <si>
    <t>2.6. Mecsek Dráva Önkormányzati Társulás 2017.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</si>
  <si>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</si>
  <si>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</si>
  <si>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</si>
  <si>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</si>
  <si>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</si>
  <si>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</si>
  <si>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2.13. Sportszolgáltatást nyújtó gazdasági társaságok támogatása</t>
  </si>
  <si>
    <t>2.14. Dombóvári Város- és Lakásgazdálkodási Nkft.-vel kötött közszolgáltatási szerződés ellentételezésének összege</t>
  </si>
  <si>
    <t>2.15. Dombóvári Ifjúsági Fúvószenekar támogatása</t>
  </si>
  <si>
    <t>2.16. Tinódi Ház Nonprofit Kft. részére karbantartási munkákra (fűtési rendszer átvizsgálására, vészvilágító lámpatestek és matricák)</t>
  </si>
  <si>
    <t>2.17. Dombóvári Város- és Lakásgazdálkodási Nonprofit Kft. részére pótbefizetés</t>
  </si>
  <si>
    <t>3.1. Foglalkoztatási paktum létrehozása Tamási és Dombóvár városok környezetében TOP-5.1.2-15-TL1-2016-00002 előleg</t>
  </si>
  <si>
    <t>3.2. Régészeti ásatás pályázati saját forrás</t>
  </si>
  <si>
    <t>3.3. TOP -5.2.1-15-TL1-2016-00001 A dombóvári Mászlony szegregátumban élők társadalmi integrációjának helyi szintű komplex programja</t>
  </si>
  <si>
    <t>3.4. TOP -5.2.1-15-TL1-2016-00002 A dombóvári Szigetsor-Vasút szegregátumban élők társadalmi integrációjának helyi szintű komplex programja</t>
  </si>
  <si>
    <t>3.5. TOP -5.2.1-15-TL1-2016-00003 A dombóvári Kakasdomb-Erzsébet utca szegregációval veszélyeztetett területén élők társadalmi integrációjának helyi szintű komplex programja</t>
  </si>
  <si>
    <t>1. Városi piac kialakítása</t>
  </si>
  <si>
    <t>2. Csipkeház melletti járda kiépítése</t>
  </si>
  <si>
    <t>3. Lehel sor páratlan oldalán az árok járdalapos kiépítése (I. ütem)</t>
  </si>
  <si>
    <t>4. Mászlony, Fecske u. 9. kamerás megfigyelése</t>
  </si>
  <si>
    <t>5. Szent Gellért utcai járda-kerékpárút kialakítás a Petőfi utcánál</t>
  </si>
  <si>
    <t>6. Bölcsőde önálló villamos energia ellátása</t>
  </si>
  <si>
    <t>7. Szigeterdőben új játszótér létesítése</t>
  </si>
  <si>
    <t>8. Szennyvízátemelőkhöz 4 db Grundfos szivattyú beszerzése</t>
  </si>
  <si>
    <t>9. Szállásréti tónál street-workout edzőpark kialakítása</t>
  </si>
  <si>
    <t>10. Ingatlanvásárlás</t>
  </si>
  <si>
    <t>11. Közvilágítás bővítése, korszerűsítése, fejlesztése</t>
  </si>
  <si>
    <t>12. Gunarasi kerékpárút mellett 4 db napelemes kandeláber</t>
  </si>
  <si>
    <t>13. Szigeterdő közvilágítás bővítés III. ütem</t>
  </si>
  <si>
    <t>15. Térfigyelő kamerarendszer központ fejlesztése, áthelyezése</t>
  </si>
  <si>
    <t>16. Kórházi parkoló befejező munkálatai (forgalomba helyezés), és II. ütem végrehajtása</t>
  </si>
  <si>
    <t>17. Parkoló építése az Arany J. tér 24. szám alatti ingatlan előkertjének területén</t>
  </si>
  <si>
    <t>18. Parkoló építése az Árpád utcában (a volt fűtőmű irodaház területén)</t>
  </si>
  <si>
    <t>19. Parkolóhelyek kialakítása kukaszigetek áthelyezésével</t>
  </si>
  <si>
    <t>20. Szállásréti tó partfalvédelme I. ütem</t>
  </si>
  <si>
    <t>22. Közkifolyók megszüntetése</t>
  </si>
  <si>
    <t>23. Távhőellátást biztosító rendszer megvásárlása</t>
  </si>
  <si>
    <t>24. Farkas Attila Uszoda megvásárlása</t>
  </si>
  <si>
    <t>28. Földvár utcai közmű rekonstrukció</t>
  </si>
  <si>
    <t>2. Csapadékvíz átemelő gépészeti és szivattyú felújítása II. ütem</t>
  </si>
  <si>
    <t>3. Önkormányzati lakások javítási, felújítási munkái</t>
  </si>
  <si>
    <t xml:space="preserve">4. Csomópontok (Pannónia-Teleki-Hunyadi tér; Kossuth-Dózsa) akadálymentesítése </t>
  </si>
  <si>
    <t>5. Hunyadi tér keleti és nyugati oldalán parkolóhelyek rendezése</t>
  </si>
  <si>
    <t>6. Múzeum fűtésének korszerűsítése</t>
  </si>
  <si>
    <t>7. Zöld Liget Óvodában jóváhagyott felújítások</t>
  </si>
  <si>
    <t>8. Szivárvány Óvodában jóváhagyott felújítások</t>
  </si>
  <si>
    <t>9. Tündérkert Bölcsődében jóváhagyott felújítások</t>
  </si>
  <si>
    <t>10. Buszmegállók felújítása (I. ütem)</t>
  </si>
  <si>
    <t>11. Zsidó emlékmű névtáblájának felújítása</t>
  </si>
  <si>
    <t>12. Járdafelújítások</t>
  </si>
  <si>
    <t>13. Gunarasi járdafelújítás a 6532-es úttól a hotelig</t>
  </si>
  <si>
    <t>14. Szent Gellért utcai járdafelújítás az Ady Endre utcai kereszteződésnél</t>
  </si>
  <si>
    <t>15. Útfelújítások</t>
  </si>
  <si>
    <t>16. Hunyadi téri buszállomás útburkolat javítása aszfaltozással</t>
  </si>
  <si>
    <t>17. Játszóterek felülvizsgálata, a szükséges és lehetséges javítási, felújítási munkák elvégzése</t>
  </si>
  <si>
    <t>18. TOP -3.2.1-15-TL1-2016-00025 Épületenergetikai korszerűsítés a Dombóvári Illyés Gyula Gimnázium épületén</t>
  </si>
  <si>
    <t>19. TOP -3.2.1-15-TL1-2016-00026 Épületenergetikai korszerűsítés a Dombóvári Szivárvány Óvoda Százszorszép Tagóvodája épületén</t>
  </si>
  <si>
    <t>2. Számítástechnikai eszközök</t>
  </si>
  <si>
    <t>1. Óvoda felújítása</t>
  </si>
  <si>
    <t>1.1. Dombóvári Szociális és Gyermekjóléti Intézményfenntartó Társulás részére kerékpárok beszerzésére</t>
  </si>
  <si>
    <t>2.1. Tinódi Ház Nkft. részére új kamerarendszer kiépítésére</t>
  </si>
  <si>
    <t>2.2. Ovi-Sport Program keretében a Százszorszép Tagóvodánál megépülő műfüves focipálya építéséhez önerő</t>
  </si>
  <si>
    <t>3.2. Fejlesztési hitelből megvalósuló beruházások</t>
  </si>
  <si>
    <t>3.2.1. Szabadság u. 2. szám alatti orvosi rendelő felújítása</t>
  </si>
  <si>
    <t>3.2.2. Tündérkert Bölcsőde épületének felújítása</t>
  </si>
  <si>
    <t>3.2.3. Nappali melegedő és Népkonyha áthelyezése</t>
  </si>
  <si>
    <t>3.2.4. Tinódi Ház előtti tér rendezése, Szőlőhegyre vezető kerékpárút megépítése</t>
  </si>
  <si>
    <t>8. Távhő vagyon bérbeadásából származó bevételek</t>
  </si>
  <si>
    <t>9. Formaingek értékesítése</t>
  </si>
  <si>
    <t>10. Tourinform iroda bevétele</t>
  </si>
  <si>
    <t>11. Településrendezési szerződés</t>
  </si>
  <si>
    <t>12. Uszoda üzemeltetési díj</t>
  </si>
  <si>
    <t>13. ÖKO-DOMBÓ Nkft. végelszámolása miatt vagyon felosztása</t>
  </si>
  <si>
    <t>3.2. talajterhelési díj</t>
  </si>
  <si>
    <t>1.1. Ingatlanok értékesítése</t>
  </si>
  <si>
    <t>1.2. Részvény értékesítés</t>
  </si>
  <si>
    <t>1.3. Kórház u. 2878/15 ingatlan értékesítése</t>
  </si>
  <si>
    <t>1.4. Hulladékszállító gépjármű értékesítése</t>
  </si>
  <si>
    <t>1.2. Biztos Kezdet Gyerekház működtetésére</t>
  </si>
  <si>
    <t>1.3. Fogorvosi rendelő fenntartásához hozzájárulás</t>
  </si>
  <si>
    <t>1.7. Nyári diákmunka támogatása</t>
  </si>
  <si>
    <t>2.1. TOP -3.2.1-15-TL1-2016-00025 Épületenergetikai korszerűsítés a Dombóvári Illyés Gyula Gimnázium épületén</t>
  </si>
  <si>
    <t>2.2. TOP -3.2.1-15-TL1-2016-00026 Épületenergetikai korszerűsítés a Dombóvári Szivárvány Óvoda Százszorszép Tagóvodája épületén</t>
  </si>
  <si>
    <t>2.1. Lakosságtól szennyvízhozzájárulás</t>
  </si>
  <si>
    <t>1.2. Hamulyák Közalapítvány kölcsön visszafizetése</t>
  </si>
  <si>
    <t>2018. évi kiadásai</t>
  </si>
  <si>
    <t>2018. évi bevételei</t>
  </si>
  <si>
    <t>29. Szuhay Sportcentrum fejlesztése</t>
  </si>
  <si>
    <t>29.1. Kisteremben nyílászáró csere</t>
  </si>
  <si>
    <t>29.2. 25 db lelátói szék vásárlása</t>
  </si>
  <si>
    <t>29.3. Sportcenrtrumba eszközbeszerzés</t>
  </si>
  <si>
    <t>29.4. Kültéri hangosítás</t>
  </si>
  <si>
    <t>29.5. Szauna felújítása</t>
  </si>
  <si>
    <t>29.6. Center pálya megvilágítása</t>
  </si>
  <si>
    <t>29.7. Fűtésrendszer korszerűsítése</t>
  </si>
  <si>
    <t>29.8. Mobil lelátók beszerzése önrész</t>
  </si>
  <si>
    <t>2.3. Dombóvári Futball Club számára TAO támogatáshoz önrész (fűnyíró traktor és öltözői bútorok beszerzésére)</t>
  </si>
  <si>
    <t>30. TOP -5.2.1-15-TL1-2016-00001 A dombóvári Mászlony szegregátumban élők társadalmi integrációjának helyi szintű komplex programja</t>
  </si>
  <si>
    <t>15. Közvilágítás - üzemeltetés, karbantartás, bérleti díj</t>
  </si>
  <si>
    <t>31. Szőlőhegyi kerékpárút építési munkáinak megkezdéséhez szükséges földmunkák</t>
  </si>
  <si>
    <t>32. Szent Gellért u. útépítés</t>
  </si>
  <si>
    <t>Szivárvány Óvoda és Bölcsőde Dombóvár</t>
  </si>
  <si>
    <t>103. cím összesen</t>
  </si>
  <si>
    <t>101-103. intézmények összesen</t>
  </si>
  <si>
    <t>1. Kisértékű tárgyi eszköz beszerzés</t>
  </si>
  <si>
    <t>3. Kisértékű tárgyi eszköz beszerzés</t>
  </si>
  <si>
    <t>14. Kisértékű tárgyi eszközök beszerzése</t>
  </si>
  <si>
    <t>2.4. Dombó-Média Kft-nek eszközállomány pótlására (új kamera)</t>
  </si>
  <si>
    <t>1.1. Nemzeti Egészségbiztosítási Alapkezelőtől finanszírozás (védőnői ellátás, iskola eü.)</t>
  </si>
  <si>
    <t>1.1. Szivárvány Óvoda és Bölcsőde Dombóvár</t>
  </si>
  <si>
    <t>1.2. Integrált Önkormányzati Szolgáltató Szervezet</t>
  </si>
  <si>
    <t>1.3. Tinódi Könyvtár</t>
  </si>
  <si>
    <t>1.4. Dombóvári Közös Önkormányzati Hivatal</t>
  </si>
  <si>
    <t>1.5.1. Önkormányzat</t>
  </si>
  <si>
    <t>1.5.2. Önkormányzat (állami támogatás előleg)</t>
  </si>
  <si>
    <t>1.5.3. Önkormányzat (pályázatok)</t>
  </si>
  <si>
    <t>2.1. Szivárvány Óvoda és Bölcsőde Dombóvár</t>
  </si>
  <si>
    <t>2.2. Integrált Önkormányzati Szolgáltató Szervezet</t>
  </si>
  <si>
    <t>2.3. Tinódi Könyvtár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</si>
  <si>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</si>
  <si>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</si>
  <si>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</si>
  <si>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</si>
  <si>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</si>
  <si>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2017.12.31-ig</t>
  </si>
  <si>
    <t>2019-től</t>
  </si>
  <si>
    <t>Épületenergetikai korszerűsítés a Dombóvári Szivárvány Óvoda Százszorszép Tagóvodája épületén</t>
  </si>
  <si>
    <t>létszámkerete 2018. évben</t>
  </si>
  <si>
    <t>Céltartalék (felhalmozási)</t>
  </si>
  <si>
    <t>Egyéb felhalmozási célú kiadások Áht-n belülre, Áht-n kívülre</t>
  </si>
  <si>
    <t>Egyéb működési célú kiadások Áht-n belülre, Áht-n kívülre</t>
  </si>
  <si>
    <t>Ft-ban</t>
  </si>
  <si>
    <t>Szerződő fél</t>
  </si>
  <si>
    <t>Tárgy</t>
  </si>
  <si>
    <t>Lejárat/ teljesítési határidő</t>
  </si>
  <si>
    <t>Várható összeg (Ft/év) 2018.</t>
  </si>
  <si>
    <t>Összeg (Ft/év)  2017</t>
  </si>
  <si>
    <t>ABACUS Számítástechnikai Bt.</t>
  </si>
  <si>
    <t>WinSzoc szoftver jogszabálykövetése</t>
  </si>
  <si>
    <t>határozatlan</t>
  </si>
  <si>
    <t>Allianz Hungária Biztosító RT</t>
  </si>
  <si>
    <t>gépjármű-felelősség biztosítás /EIE, BIT, JHG, LLP, JLV, LKU/, Casco+kieg. életbiztosítás /BIT, JHG, EIE, JLV, LKU/</t>
  </si>
  <si>
    <t>gfb-Derbi segédmotor kerékpár</t>
  </si>
  <si>
    <t>Budapest Főváros Kormányhivatala</t>
  </si>
  <si>
    <t>TAKARNET adatátv.hálózathoz-hálózati díj és tuladoni lap más</t>
  </si>
  <si>
    <t xml:space="preserve">lekérdezés alapján havonta </t>
  </si>
  <si>
    <t>e-hiteles tuljadoni lap más.,nem hiteles térképmás...-Szakcs</t>
  </si>
  <si>
    <t>Chlebovics Miklós ev.</t>
  </si>
  <si>
    <t>statisztika elkészítése, szaktanácsadás-KataWin program</t>
  </si>
  <si>
    <t>Daemia Kft.</t>
  </si>
  <si>
    <t>vírusirtó program Linux operációs rendszer</t>
  </si>
  <si>
    <t>Kaspersky vírus-és spam védelem-licensz</t>
  </si>
  <si>
    <t>Dombóvár és Környéke Többcélú Kistérségi Társulás</t>
  </si>
  <si>
    <t>D.vár Bezerédj u.14.sz.alatti helyiségek haszn-i és rezsiktg</t>
  </si>
  <si>
    <t>Dr. Hegedűs és Társa Egészségügyi és Szolg. Bt.</t>
  </si>
  <si>
    <t>üzemorvos-Szakcs</t>
  </si>
  <si>
    <t>DRV</t>
  </si>
  <si>
    <t>vízdíj-hivatal, Szakcs</t>
  </si>
  <si>
    <t>eKÖZIG Zrt.</t>
  </si>
  <si>
    <t>licenszdíj, support díj-Önki.alapnyilvántart.támogató helyi nyilvánt.r</t>
  </si>
  <si>
    <t>E.ON Energiaszolgáltató Kft.</t>
  </si>
  <si>
    <t>rendszerhasználati díj-hivatali épületek</t>
  </si>
  <si>
    <t>áram-Szakcs</t>
  </si>
  <si>
    <t>gáz-Szabadság u. 18. (városháza)</t>
  </si>
  <si>
    <t>E-Szoftverfejlesztő Kft.</t>
  </si>
  <si>
    <t>felhasználói díj+rendszerkövetés-KATAWIN szoftver</t>
  </si>
  <si>
    <t>EURO-PROFIL Kft.</t>
  </si>
  <si>
    <t>Konica Minolta Bizhub 420 fénymásológép üzemeltetése</t>
  </si>
  <si>
    <t>2018.12.31 (évente meghosszíbbítva)</t>
  </si>
  <si>
    <t>Konica Minolta Bizhub 215 fénymásológép üzemeltetése</t>
  </si>
  <si>
    <t>Konica Minolta Bizhub 227 fénymásológép üzemeltetése</t>
  </si>
  <si>
    <t>Konica Minolta Bizhub 423 fénymásológép üzemeltetése</t>
  </si>
  <si>
    <t>Konica Minolta Bizhub C224 fénymásológép üzemeltetése</t>
  </si>
  <si>
    <t>HP Designjet T120 A1 Plotter tintasug. nyomtató bérlete</t>
  </si>
  <si>
    <t>EUROPORTÁL KFT</t>
  </si>
  <si>
    <t>intranet rendszer, www.kondavolgy.hu webszerver szolg.</t>
  </si>
  <si>
    <t>Fleetcor Kft (volt SHELL HUNGARY ZRT)</t>
  </si>
  <si>
    <t>üzemanyag, kártyadíj</t>
  </si>
  <si>
    <t>GOND-X Biztonságtechnikai és Kereskedelmi Kft.</t>
  </si>
  <si>
    <t xml:space="preserve">Bezerédj 14. tűzjelző </t>
  </si>
  <si>
    <t>hivatali diszpécser szolgálat-Szent I. tér 1.</t>
  </si>
  <si>
    <t>bizt.techn távfelügy., műszaki készenlét és karb.-Szab. 18.</t>
  </si>
  <si>
    <t>GreenDoc System Kft.</t>
  </si>
  <si>
    <t>WinPA postázó szoftver követés, emelt szintű támogatás</t>
  </si>
  <si>
    <t>Gulyásné Kovács Zita</t>
  </si>
  <si>
    <t>Ivóvízminőság-jav.Társulás pü-i,gazdálk-i feladatainak ell.</t>
  </si>
  <si>
    <t>JakabNet Szoftverház Kft.</t>
  </si>
  <si>
    <t>Integrált Közszolg. Szoftvercsomag követése-pü,szoc...modul-Szakcs</t>
  </si>
  <si>
    <t>K&amp;H Biztosító Zrt.</t>
  </si>
  <si>
    <t>felelősségbiztosítás, casco-JLV-415</t>
  </si>
  <si>
    <t>felelősségbiztosítás-JHG-242</t>
  </si>
  <si>
    <t>felelősségbiztosítás-EIE-487</t>
  </si>
  <si>
    <t>felelősségbiztosítás-LLP-126</t>
  </si>
  <si>
    <t>Karádi-Kontroll Kft.</t>
  </si>
  <si>
    <t>munkavédelmi tanácsadás</t>
  </si>
  <si>
    <t>Karádiné Kurucz Klára e.v.</t>
  </si>
  <si>
    <t>munkavédelmi tanácsadás-Szakcs</t>
  </si>
  <si>
    <t>KIMÉRA Kft.</t>
  </si>
  <si>
    <t>Jogszabálykövetés /iktató rendszer/</t>
  </si>
  <si>
    <t>Komunáldata Számítástechnikai Fejlesztő és Szolgáltató Kft</t>
  </si>
  <si>
    <t>szoftverfelügyelet /Műk. eng., Telephely eng.</t>
  </si>
  <si>
    <t>2D vonalkóddal ellát.űrlapcsomag karbant.-adó</t>
  </si>
  <si>
    <t>szállás nyilvántartó program üzemeltetés</t>
  </si>
  <si>
    <t>ado 24 nyomtatvány (elektronikusan kitölthető forma)</t>
  </si>
  <si>
    <t>KOREND RENDSZERHÁZ KFT.</t>
  </si>
  <si>
    <t>Gordius pü-i program, FOKA könyvelés rednszer felügyelete</t>
  </si>
  <si>
    <t>2018.06.30 ?</t>
  </si>
  <si>
    <t>MAGIC/onyx/Magyarország Kft</t>
  </si>
  <si>
    <t>Magic program karbantartása, (Gordius-hoz)</t>
  </si>
  <si>
    <t>Magyar Posta Zrt.</t>
  </si>
  <si>
    <t>készpénz-átutalási megbízások adathordozójának díjai</t>
  </si>
  <si>
    <t>postai küldemények havi díja</t>
  </si>
  <si>
    <t>Magyar Telecom Nyrt.</t>
  </si>
  <si>
    <t>tűzlejző rendszer teleofnvonala-Bezerédj 14.</t>
  </si>
  <si>
    <t>vezetékes telefonok - Szakcs</t>
  </si>
  <si>
    <t>mobiltelefon előfizetése-Szakcs (30/501-3166)</t>
  </si>
  <si>
    <t>Márton Zoltán ev.</t>
  </si>
  <si>
    <t>PH épületek fűtési rendszerek üzemeltetése, karbantartása</t>
  </si>
  <si>
    <t>Microsec Zrt.</t>
  </si>
  <si>
    <t>Nem elektronikus aláírásra szolg.tanúsítványok kibocs.fennt.</t>
  </si>
  <si>
    <t>e-Szigno Csomag keretében együttesen nyújtott szolgáltatások</t>
  </si>
  <si>
    <t>MOL Nyrt</t>
  </si>
  <si>
    <t>üzemanyag - szakcs</t>
  </si>
  <si>
    <t>megrendelő</t>
  </si>
  <si>
    <t>MVM Partner Energiakereskedelmi Zrt.</t>
  </si>
  <si>
    <t>villamosenergia-hivatali épületek</t>
  </si>
  <si>
    <t>2018.05.31 (évente új szerződés!)</t>
  </si>
  <si>
    <t>Nemzeti Hulladékgazdálkodási és Vagyonkezelő Zrt.</t>
  </si>
  <si>
    <t>Szab. 18, Bez. 14. kukák ürítése</t>
  </si>
  <si>
    <t>OMV</t>
  </si>
  <si>
    <t>Opten Informatikai Kft.</t>
  </si>
  <si>
    <t>cégtár online (adós modul) éves előfizetés</t>
  </si>
  <si>
    <t>cégtár online (pü-i modul) éves előfizetés</t>
  </si>
  <si>
    <t>lemondásig érvényben</t>
  </si>
  <si>
    <t>Önkormányzati vállalkozás-figyelés -adósok</t>
  </si>
  <si>
    <t>ÖKO-DOMBÓ KFT</t>
  </si>
  <si>
    <t>Bezerédj 14. kuka bérlete (2016.04.01-től NHKV üríti)</t>
  </si>
  <si>
    <t>Renault Mégane LM1S0H szgk. vétele</t>
  </si>
  <si>
    <t>PaprikaSoft Kft.</t>
  </si>
  <si>
    <t>tárhely szolgáltatás(www.dombovar.hu)</t>
  </si>
  <si>
    <t>Print Copy Kft.</t>
  </si>
  <si>
    <t>fénymásolók üzemeltetési költsége (AF3045,MP5500,MP3351)</t>
  </si>
  <si>
    <t>RELLÜM Kft.</t>
  </si>
  <si>
    <t>fénymásoló másolatok díja (Minolta 250)</t>
  </si>
  <si>
    <t>Saldo Rt.</t>
  </si>
  <si>
    <t>tagdíj</t>
  </si>
  <si>
    <t>TAGE Kft.</t>
  </si>
  <si>
    <t>Polg. Hiv. takarítása, felhasznált higéniai szerek</t>
  </si>
  <si>
    <t>Tapaszti Gyula</t>
  </si>
  <si>
    <t>portaszolgálat</t>
  </si>
  <si>
    <t>TARR Kft.</t>
  </si>
  <si>
    <t>internet-előfizetési díj, internet optikai szálbérlet,kábelTV…</t>
  </si>
  <si>
    <t>internet-előfizetési díj-Szakcs</t>
  </si>
  <si>
    <t>Telenor Magyarország Zrt.</t>
  </si>
  <si>
    <t>mobil távközlési szolgáltatások és mobil telefonok vásárlása</t>
  </si>
  <si>
    <t>Tolna Megyei Kormányhivatal</t>
  </si>
  <si>
    <t>helyi személyiadat és lakcímnyilvánt. számgépes rendsz.karbt</t>
  </si>
  <si>
    <t>UNIQA Biztosító Zrt.</t>
  </si>
  <si>
    <t>felelősségbiztosítás-LFA-110 (Renault Mégane)</t>
  </si>
  <si>
    <t>UNION Vienna Insurance Group Biztosító Zrt.</t>
  </si>
  <si>
    <t>gépjármű-felelősség biztosítás /BIT/</t>
  </si>
  <si>
    <t>VARITEL Irodatechnika</t>
  </si>
  <si>
    <t>fénymásoló (KONICA Minolta BizHub 283)bérleti díja</t>
  </si>
  <si>
    <t>2017.12.31 (meg lesz hosszabbítva)</t>
  </si>
  <si>
    <t>fénymásoló bérlete (Develop Ineo 224e)</t>
  </si>
  <si>
    <t>fénymásoló (KONICA Minolta BizHub 420)bérleti díja, üzemeltetési díja</t>
  </si>
  <si>
    <t>Veolia Zrt</t>
  </si>
  <si>
    <t>fűtési díj ( Bezerédj 14.)</t>
  </si>
  <si>
    <t>Wolters Kluwer Kft.</t>
  </si>
  <si>
    <t>előfizetések (jogtárak, döntvénytár)</t>
  </si>
  <si>
    <t>X-R Copy Kft.</t>
  </si>
  <si>
    <t>másolatok díja-Kon. Min. Bizhub 163. és 210.-Szakcs</t>
  </si>
  <si>
    <t>Összeg (Ft/év)  2017.</t>
  </si>
  <si>
    <t>5T Építészeti és Városfejlesztési Kft.</t>
  </si>
  <si>
    <t>Településrendezési tervek készítése</t>
  </si>
  <si>
    <t>Településrendezési tervek módosítása</t>
  </si>
  <si>
    <t>AEGON Magyarország Zrt</t>
  </si>
  <si>
    <t>Vagyonbiztosítás</t>
  </si>
  <si>
    <t>klasszikus élet- és személybiztosítás (Szabó Loránd)</t>
  </si>
  <si>
    <t>ARTBORETUM Kert- és Szépművészeti Társaság</t>
  </si>
  <si>
    <t>Kossuth-szoborcsoport:tájépészeti koncepció,TOP-1.2.1-15.</t>
  </si>
  <si>
    <t>ARKER-INVEST Kft</t>
  </si>
  <si>
    <t>Dombóvár városkártya-jogdíj</t>
  </si>
  <si>
    <t>ATEV Fehérjefeldolgozó Rt.</t>
  </si>
  <si>
    <t>állati hulladék szállítása</t>
  </si>
  <si>
    <t>Balaskó János e.v.</t>
  </si>
  <si>
    <t>városi fúvószenekar felkészítése</t>
  </si>
  <si>
    <t>2017.12.31 (évente új szerződés)</t>
  </si>
  <si>
    <t>Bartal és Rabb Kft</t>
  </si>
  <si>
    <t>Korona Szálló állagmegóvási terve</t>
  </si>
  <si>
    <t>Bán János Mihály</t>
  </si>
  <si>
    <t>Előszerződés (Dombóvár, deák F.u.10. ingatlan adásvétele)</t>
  </si>
  <si>
    <t>CAMINUS Tüzeléstechnikai Kft.</t>
  </si>
  <si>
    <t>kéményseprés (Teleki 81, Szepesi 1. HO.)</t>
  </si>
  <si>
    <t>Csillag Társasház IB.</t>
  </si>
  <si>
    <t>vill. hálózat haszn. díja (térfigyelő r.)</t>
  </si>
  <si>
    <t>Dombó Pál Lakásépítő és Fenntartó</t>
  </si>
  <si>
    <t>közös ktg-Pannónia u. 34.</t>
  </si>
  <si>
    <t>közös költség Ady u. 8. üzlethelyiség</t>
  </si>
  <si>
    <t>DOMBÓ-COOP ZRT</t>
  </si>
  <si>
    <t>Áruház előtti tér használata</t>
  </si>
  <si>
    <t>2016.03.31, legkésőbb a telekhatárok végleges rendezéséig</t>
  </si>
  <si>
    <t>Településrendezési terv módosítása</t>
  </si>
  <si>
    <t>DOMBÓ-LAND KFT.</t>
  </si>
  <si>
    <t>tagi kölcsön 260/2016 (V.26.) Kt. határozat alapján</t>
  </si>
  <si>
    <t>projektmenedzsment feladatok-TOP-5.1.2-15-TL1-2016-00002</t>
  </si>
  <si>
    <t>Dombó-Média Kft</t>
  </si>
  <si>
    <t>Városmarketing és kommunikációs tevékenység</t>
  </si>
  <si>
    <t>DOMBÓVÁR TV</t>
  </si>
  <si>
    <t>2004-2011 között Dombóvárról készült felv. + felhaszn.jog</t>
  </si>
  <si>
    <t>Dombóvár 1043/4 sz. Társasház</t>
  </si>
  <si>
    <t>Pannónia u. 56. rendelő közös ktg.-fel.ellátási szerz. alap.</t>
  </si>
  <si>
    <t>Dombóvill Kft.</t>
  </si>
  <si>
    <t>térfigyelő kamerák karbantartása</t>
  </si>
  <si>
    <t>Dombóvári Illyés Gyula Gimnáziumért Alapítvány</t>
  </si>
  <si>
    <t>Gimnáziumi Tehetséggondozó Program</t>
  </si>
  <si>
    <t>Dombóvári Roma Nemzetiségi Önkormányzat</t>
  </si>
  <si>
    <t>Gépjármű költség - hulladékgyűjtő szigetek rendebetételével</t>
  </si>
  <si>
    <t>Dombóvári Római Katolikus Plébánia</t>
  </si>
  <si>
    <t>vill. hálózat haszn. díja-templom (Jézus Sz.,Kertv.,Újdv.)-térfigyelő r.</t>
  </si>
  <si>
    <t>Dombóvári Szent Lukács Kórház</t>
  </si>
  <si>
    <t>Dombóvári Város- és Lakásgazd. Nkft.</t>
  </si>
  <si>
    <t xml:space="preserve">lakóingatlan kezelés - Fecskeház, Platán tér, Liget </t>
  </si>
  <si>
    <t>közfeladatok ellátása</t>
  </si>
  <si>
    <t>Támogatás képzési tev.során ösztöndíj nyújtásához</t>
  </si>
  <si>
    <t>Dombóvári Vízmű Kft.</t>
  </si>
  <si>
    <t>viziközmű-fejlesztéssel kapcs. műszaki tanácsadói feladatok</t>
  </si>
  <si>
    <t>távhővagyon</t>
  </si>
  <si>
    <t>Farkas Attila Tanuszoda adás-vétele</t>
  </si>
  <si>
    <t xml:space="preserve">dr.  Pucsli és Tsa. Bt. </t>
  </si>
  <si>
    <t>üzemorvosi ellátás</t>
  </si>
  <si>
    <t>iskola eü. feladat</t>
  </si>
  <si>
    <t>dr. Turi Ügyvédi Iroda</t>
  </si>
  <si>
    <t>megbízási díj - jogi tanácsadás</t>
  </si>
  <si>
    <t>DRV Zrt</t>
  </si>
  <si>
    <t>víz-önkormányzati fogyasztási helyek</t>
  </si>
  <si>
    <t>rendszerhasználati díj-ingatlanok, vízátemelők stb…</t>
  </si>
  <si>
    <t>közvilágítás</t>
  </si>
  <si>
    <t>gáz-ingatlanok</t>
  </si>
  <si>
    <t>gáz-Szuhay SC (Földvár u. 18.)</t>
  </si>
  <si>
    <t>Emberi Erőforrás Támogatáskezelő</t>
  </si>
  <si>
    <t>Bursa Hungarica ösztöndíj</t>
  </si>
  <si>
    <t>Emergency Service Egészségügyi Szolgáltató Kft.</t>
  </si>
  <si>
    <t>megbízási díj ügyeleti feladatok ellátására</t>
  </si>
  <si>
    <t>Erzsébet Utalványforgalmazó Kft</t>
  </si>
  <si>
    <t>étkezési, iskolai</t>
  </si>
  <si>
    <t>Fekete Tamás e.v.</t>
  </si>
  <si>
    <t>Dombóvár Junior kártya  kialakítása</t>
  </si>
  <si>
    <t>Gond-X Kft.</t>
  </si>
  <si>
    <t>Szigeterdei lakótorony 24 órás távfelügyelete, Termál u. 5. nyaraló</t>
  </si>
  <si>
    <t>Junior Étterem 24 órás távfelügyelete</t>
  </si>
  <si>
    <t>Junior Étterem műszaki kész. és karb. riasztóhoz</t>
  </si>
  <si>
    <t>Groupama Garancia Biztosító Zrt.</t>
  </si>
  <si>
    <t>Orvosi felelősségbiztosítás</t>
  </si>
  <si>
    <t>Orvosi felelősségbiztosítás-dr. Pucsli E. (Bajcsy Zs. 5.)</t>
  </si>
  <si>
    <t>Gunaras Gyógyfürdő és Idegenforgalmi Zrt</t>
  </si>
  <si>
    <t>ajándéktárgyak értékesítése bizományosi szerződés alapján</t>
  </si>
  <si>
    <t>Harmant Kft.</t>
  </si>
  <si>
    <t>Dvári Ifjúsági Fúvószenekr részére formaingek</t>
  </si>
  <si>
    <t>HIP Számítástechnikai Kft</t>
  </si>
  <si>
    <t>VISUAL SZOLGA háziorvosi programrendszer</t>
  </si>
  <si>
    <t>Ignácz Imre</t>
  </si>
  <si>
    <t>betlehemi kompozíció a víztoronynál</t>
  </si>
  <si>
    <t>INVESTMENT Mérnöki és Fővállalkozó Kft.</t>
  </si>
  <si>
    <t>Önkormányzati épületek energetikai jellemzőinek tanúsítv.</t>
  </si>
  <si>
    <t>vasútsori lakások,Szuhay sc, közüz. konyha vízell.kivit</t>
  </si>
  <si>
    <t>vasútsori lakások,Szuhay sc, közüz. konyha szennyv.elv kivit</t>
  </si>
  <si>
    <t>IZRA Bt.</t>
  </si>
  <si>
    <t>megvalósíthatósági tanulm.-"Energiatudatos Dvár",KEHOP-5.4.1</t>
  </si>
  <si>
    <t>Kapos-Koppányvölgyi Vízi Társ.</t>
  </si>
  <si>
    <t>Szuhajdombi árok üzemeltetése</t>
  </si>
  <si>
    <t>Karádi-Kontroll Kft</t>
  </si>
  <si>
    <t>Tűzvédelmi feladatok elvégzése</t>
  </si>
  <si>
    <t>Kisvárosi Önk.Orsz.Érdekszöv.</t>
  </si>
  <si>
    <t>éves tagdíj</t>
  </si>
  <si>
    <t>Klímabarát Települések Szövetsége</t>
  </si>
  <si>
    <t>egyesületi tagdíj</t>
  </si>
  <si>
    <t>KOVI-95 KFT.</t>
  </si>
  <si>
    <t>hóeltakarítás, síkosságmentesítés</t>
  </si>
  <si>
    <t>Dvár helyi közútjainak kátyúzása, karbantartása, útjelző táblák karb. …</t>
  </si>
  <si>
    <t>Buszmegálló szigetek kialakítása-Kórház u.  K-i, NY-i oldal</t>
  </si>
  <si>
    <t>Szőlőhegyi kerékpárút építési munkái megkezdéséhez földmunka</t>
  </si>
  <si>
    <t>Közép-Dunántúli Vizügy.Ig.Balatoni Kir.</t>
  </si>
  <si>
    <t>mederhasználat díja Balatonfenyves tábor</t>
  </si>
  <si>
    <t>Magyar Európa Park Szövetség Egyesület</t>
  </si>
  <si>
    <t>Magyar Telekom Nyrt.</t>
  </si>
  <si>
    <t>Pénztárgép spec. informatikai szolg.-Tourinform Iroda</t>
  </si>
  <si>
    <t>Internet előfizetési díj Balatonfenyvesi tábor</t>
  </si>
  <si>
    <t>Márkus Mérnöki Iroda Kft</t>
  </si>
  <si>
    <t>műszaki ellenőri feladatok-Vasútsori lakások víz/szennyvíz</t>
  </si>
  <si>
    <t>MÁV Vagyonkezelő Zrt.</t>
  </si>
  <si>
    <t>közüzemi díjak-MÁV sporttelep-(Földvár u. u. 18)</t>
  </si>
  <si>
    <t>Mecsek-Dráva Önkormányzati Társulás</t>
  </si>
  <si>
    <t>intézmény működtetés támogatása</t>
  </si>
  <si>
    <t>Metacontex Kft.</t>
  </si>
  <si>
    <t>NSW-032 Iveco Daily 35C10 billenőplatós tehergépjármű használata</t>
  </si>
  <si>
    <t>Mikrolift Kft</t>
  </si>
  <si>
    <t>Hóvirág u. 1. HO felvonó karbantartása</t>
  </si>
  <si>
    <t>Multi Alarm Zrt.</t>
  </si>
  <si>
    <t>Városi térfigyelő kamerarendszer kiépítése+karbantartás</t>
  </si>
  <si>
    <t>Városi térfigyelő kamerarendszer bővítése+karbantartás</t>
  </si>
  <si>
    <t>Kamera rendszer bővítése (10db kamera)+karbantartás</t>
  </si>
  <si>
    <t xml:space="preserve">MVM Partner Energiakereskedelmi Zrt. </t>
  </si>
  <si>
    <t>áramdíj-ingatlanok, közvilágítás</t>
  </si>
  <si>
    <t>2018.05.31 (közbeszerzés!)</t>
  </si>
  <si>
    <t>Nemzeti Hulladékgazdálkodási Koordináló és Vagyonkezelő Zrt.</t>
  </si>
  <si>
    <t>Hulladékszállítás-Katona József utca 37.</t>
  </si>
  <si>
    <t>BOBR tartály ürítése-város</t>
  </si>
  <si>
    <t>Hulladékelszállítás-háziorvosi rendelők-Hóvirág u. 1.</t>
  </si>
  <si>
    <t>Hulladékszállítás-Szabadság utca 4.</t>
  </si>
  <si>
    <t>hulladékszállítás-Balatonfenyves tábor (1100l-es kuka)</t>
  </si>
  <si>
    <t>Hulladékszállítás-I. u. 35. (Junior Étterem)</t>
  </si>
  <si>
    <t>Népköztársaság u. 23.- 25.- 27.- 29. Társasház</t>
  </si>
  <si>
    <t>közös költség Pannónia u 23-29 garázs</t>
  </si>
  <si>
    <t>közös költség Pannónia u. 27. üzlet</t>
  </si>
  <si>
    <t>Hulladékudvar üzemeltetési szerződés</t>
  </si>
  <si>
    <t>Szelektív hull.gyűjtés többletköltsége, ártalmatlanítás, hulladék begyűjtés…</t>
  </si>
  <si>
    <t>BOBR tartály bérlete-város (2016.04.01-től csak bérlet, hull. Száll: NHKV Zrt.)</t>
  </si>
  <si>
    <t>házhoz menő zöldhulladék gyűjtés</t>
  </si>
  <si>
    <t>megállapodás</t>
  </si>
  <si>
    <t>Péterfi Katalin, Dombóvári Város- és Lakásgazdálkodási NKft.</t>
  </si>
  <si>
    <t>Betlehemi kompozíció bővítése</t>
  </si>
  <si>
    <t>Reality - Property Kft.</t>
  </si>
  <si>
    <t>Petrónus Vagyonértékelő és Szolgáltató Kft.</t>
  </si>
  <si>
    <t>ingatlanforg.érték,bérl.díj megállapítása</t>
  </si>
  <si>
    <t>Régió 2007 Kft.</t>
  </si>
  <si>
    <t>Helyi személyszállítási közszolgáltatás ellátása</t>
  </si>
  <si>
    <t>Prenor Kertészeti és Parképítő Kft.</t>
  </si>
  <si>
    <t>növénybeszerzés zöldterületek felújításához, feljelsztéséhez</t>
  </si>
  <si>
    <t>Presidium Közhasznú Egyesület</t>
  </si>
  <si>
    <t>ajándéktárgy értékesítés bizományosi szerződés alapján</t>
  </si>
  <si>
    <t>SMHV Energetikai Kft.</t>
  </si>
  <si>
    <t>karácsonyi díszvilágítás felszerelése, leszerelése-2017.</t>
  </si>
  <si>
    <t>TAGE - Dvári Város- és Lakásgazd Nkft.</t>
  </si>
  <si>
    <t>Parkfenntartás,utak-járdák tiszt,hóeltak.(keretszerződés)</t>
  </si>
  <si>
    <t>Tamási Tankerületi Központ</t>
  </si>
  <si>
    <t>közüzemi díjak</t>
  </si>
  <si>
    <t>Tamási Város Önkormányzata</t>
  </si>
  <si>
    <t>vissza nem tér. támog.-turisztikai megval. tanulm.</t>
  </si>
  <si>
    <t>Tarr KFT.</t>
  </si>
  <si>
    <t>Internet előfizetési díj Szuhay Sportcentrum, Hunyadi tér 2.</t>
  </si>
  <si>
    <t>Internet előfizetési díj-Bajcsy Zs. u. 2.</t>
  </si>
  <si>
    <t>Topa és Társa Építési Kft.</t>
  </si>
  <si>
    <t>Szent Gellért u. útépítés</t>
  </si>
  <si>
    <t>Tóth Temetkezés Kft.</t>
  </si>
  <si>
    <t>köztemetés</t>
  </si>
  <si>
    <t>U Light ESCO Kft.</t>
  </si>
  <si>
    <t>közvilágítási elemek karbantartása-"aktív"</t>
  </si>
  <si>
    <t>Szigeterdő közvilágítás fejlesztésen III. ütem</t>
  </si>
  <si>
    <t>fűtés-Apáczai (konyha)</t>
  </si>
  <si>
    <t>fűtés-JAÁMK</t>
  </si>
  <si>
    <t>fűtési díj-Illyés Gimázium (kollégium)</t>
  </si>
  <si>
    <t>fűtési díj-Hunyadi tér 32. volt temetőgondnokság</t>
  </si>
  <si>
    <t>eszközök átruházása-koncessziós szerz. távhőszolg.</t>
  </si>
  <si>
    <t>ZNET Telekom Zrt.</t>
  </si>
  <si>
    <t>AirBusiness 10/10 internet-Víztorony</t>
  </si>
  <si>
    <t>kamerarendszer kiépítés, karbantartása, üzem.-Víztorony</t>
  </si>
  <si>
    <t>fordított áfa</t>
  </si>
  <si>
    <t>Többéves kihatással járó kötelezettségvállalások 2017-2018. évi kifizetései (Dombóvár Város Önkormányzata)</t>
  </si>
  <si>
    <t>Többéves kihatással járó kötelezettségvállalások 2017-2018. évi kifizetései (Dombóvári Közös Önkormányzati Hivatal)</t>
  </si>
  <si>
    <t>Több éves kihatással járó döntések számszerűsítése</t>
  </si>
  <si>
    <t>Rövid lejáratú  hitelek, kölcsönök törlesztése</t>
  </si>
  <si>
    <t>Sorsz.</t>
  </si>
  <si>
    <t>Megnevezés</t>
  </si>
  <si>
    <t>2018. 01.01. nyitóállomány</t>
  </si>
  <si>
    <t>Hitelfelvétel</t>
  </si>
  <si>
    <t>2019.</t>
  </si>
  <si>
    <t>2020.</t>
  </si>
  <si>
    <t>2021.</t>
  </si>
  <si>
    <t>2022.</t>
  </si>
  <si>
    <t>2023.</t>
  </si>
  <si>
    <t>2024.</t>
  </si>
  <si>
    <t>2025-től</t>
  </si>
  <si>
    <t>1.</t>
  </si>
  <si>
    <t>2.</t>
  </si>
  <si>
    <t>3.</t>
  </si>
  <si>
    <t>Hosszú lejáratú beruházási hitelek törlesztése</t>
  </si>
  <si>
    <t>Törlesztések évente</t>
  </si>
  <si>
    <t>OTP - MFB ÖKIF (013204158112)</t>
  </si>
  <si>
    <t>OTP - MFB ÖKIF (013204158110)</t>
  </si>
  <si>
    <t>OTP - MFB ÖKIF (013204158113)</t>
  </si>
  <si>
    <t>4.</t>
  </si>
  <si>
    <t>OTP - MFB ÖKIF (013204158111)</t>
  </si>
  <si>
    <t>5.</t>
  </si>
  <si>
    <t>OTP - MFB ÖKIF (013204158109)</t>
  </si>
  <si>
    <t>6.</t>
  </si>
  <si>
    <t>OTP - MFB ÖKIF (013204158114)</t>
  </si>
  <si>
    <t>Finanszírozási műveletek (hitel, maradvány igénybevétele)</t>
  </si>
  <si>
    <t>Dombóvár Város Önkormányzata 2018. évi előirányzat felhasználási terve</t>
  </si>
  <si>
    <t>2021. év</t>
  </si>
  <si>
    <t>Az önkormányzat által nyújtott közvetett támogatások</t>
  </si>
  <si>
    <t>Támogatás kedvezményezettje</t>
  </si>
  <si>
    <t>jellege</t>
  </si>
  <si>
    <t>várható összege (eFt)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</si>
  <si>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</si>
  <si>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</si>
  <si>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</si>
  <si>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</si>
  <si>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</si>
  <si>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</si>
  <si>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Magánszemélyek (akik legfeljebb 8 szobás és legfeljebb 16 ágyszámmal rendelkező szálláshelyen töltenek el vendégéjszakát)</t>
  </si>
  <si>
    <t>idegenforgalmi adó mentesség</t>
  </si>
  <si>
    <t>Gyermekétkeztetés</t>
  </si>
  <si>
    <t>térítési díj kedvezmény (10%)</t>
  </si>
  <si>
    <t>Sportszervezetek, nemzetiségi önkormányzatok, önkormányzat gazdasági társaságai</t>
  </si>
  <si>
    <t>térítésmentes bérlet</t>
  </si>
  <si>
    <t>I. Helyi adónál biztosított kedvezmény, mentesség</t>
  </si>
  <si>
    <t>Az építményadóról szóló 41/2015. (XII. 1.) önkormányzati rendelet</t>
  </si>
  <si>
    <t>A Gunaras-fürdő területén található, az ingatlan-nyilvántartásban üdülő, hétvégi ház megnevezéssel nyilvántartott építmény utáni építményadó-fizetési kötelezettségét illetően adókedvezmény iránti kérelemmel élhet az adóhatóság felé az a magánszemély, aki az építmény tulajdonosa vagy az építményt terhelő vagyoni értékű jog jogosítottja, amennyiben az építményben egyedül vagy hozzátartozójával együtt életvitelszerűen lakik.</t>
  </si>
  <si>
    <t>A magánszemélyek kommunális adójáról, az idegenforgalmi adóról és a helyi iparűzési adóról szóló 40/2015. (XII. 1.) önkormányzati rendelet</t>
  </si>
  <si>
    <t>Magánszemélyek kommunális adójánál</t>
  </si>
  <si>
    <t>A lakás után fizetendő magánszemélyek kommunális adója alól mentes az a magánszemély, aki a 70. életévét betöltötte. 50 %-os adókedvezmény illeti meg azt a magánszemélyt, aki a 65. életévét betöltötte.</t>
  </si>
  <si>
    <t>A használatbavételi engedély kiadását követő évtől számítva 2 évig mentes a magánszemélyek kommunális adófizetési kötelezettsége alól az a magánszemély, aki új építésű családi házat épít.</t>
  </si>
  <si>
    <t>20 %-os adókedvezmény illeti meg azt a magánszemélyt, akinek e rendelet 1. melléklete I., II., vagy III. övezetébe sorolt lakóingatlana előtti közút nem rendelkezik aszfaltburkolattal.</t>
  </si>
  <si>
    <t>Idegenforgalmi adónál</t>
  </si>
  <si>
    <t>Mentes a magánszemély az idegenforgalmi adó megfizetése alól a Htv. 31. §-ban foglaltakon túl a szálláshely-szolgáltatási tevékenység folytatásának részletes feltételeiről és szálláshely-üzemeltetési engedély kiadásának rendjéről szóló 239/2009. (X. 20.) Korm. rendelet 2. § h) pontja alá tartozó szálláshelyen eltöltött vendégéjszaka után.</t>
  </si>
  <si>
    <t>Iparűzési adónál</t>
  </si>
  <si>
    <t>Adómentesség illeti meg a vállalkozót, ha a Htv. 39. § (1) bekezdése, illetőleg a 39/A. §-a vagy 39/B §-a alapján számított (vállalkozási szintű) adóalapja nem haladja meg a 2,5 millió Ft-ot.</t>
  </si>
  <si>
    <t>A mentesség pontos összegét és az adóalanyok számát az iparűzési adóbevallások május 31-éig esedékes beküldése után pontosítja az önkormányzat.</t>
  </si>
  <si>
    <t>II. Térítési díjaknál biztosított kedvezmények</t>
  </si>
  <si>
    <t>A gyermekvédelem helyi szabályozásáról szóló 12/2006. (II.20.) rendelet alapján az önkormányzat 10% kedvezményt biztosít a gyermekétkeztetés személyi térítési díjából a Dombóvár város közigazgatási területén lakóhellyel, ennek hiányában tartózkodási hellyel rendelkező gyermek esetében, aki a Gyvt. 21/B §-a alapján normatív kedvezményre nem jogosult.</t>
  </si>
  <si>
    <t>III. Helyiségek, eszközök hasznosításából származó bevételből nyújtott kedvezmény, mentesség összege</t>
  </si>
  <si>
    <t>támogatásról szóló döntés száma</t>
  </si>
  <si>
    <t>ingatlan megnevezése</t>
  </si>
  <si>
    <t>támogatás kedvezményezettje</t>
  </si>
  <si>
    <t>336/2014. (VIII. 28.) Kt. határozat</t>
  </si>
  <si>
    <t>Dombóvár, Földvár utcában található, dombóvári 1882/2 hrsz. alatt felvett „volt MÁV étkezde” ingatlan területén a Szigeterdő mellett elhelyezkedő, 1.350 m2 nagyságú teniszpálya
2022. január 31-ig</t>
  </si>
  <si>
    <t xml:space="preserve">Dombóvári Tenisz Egyesület </t>
  </si>
  <si>
    <t>426/2014. (XII. 18.) Kt. határozat</t>
  </si>
  <si>
    <t>Dombóvár, Bezerédj u. 14. szám alatti, dombóvári 1306. hrsz.-ú ingatlanon épült társas irodaházban alábbi helyiségek:
a) A Nemzetiségi Közösségi Ház – 
a nagyterem a kiszolgálóhelyiségekkel együtt (1306/A/2. külön helyrajzi szám), iroda (bemutatóterem) 18,90 m2 (1306/A/3. külön helyrajzi szám egyik irodahelyisége) iroda 18,40 m2 (1306/A/3. külön helyrajzi szám egyik irodahelyisége),
b) a Német Közösségi Ház – pince (alagsor és mellékhelyiségei) (1306/A/1. külön helyrajzi szám)
2019. december 31-ig</t>
  </si>
  <si>
    <t>Dombóvári Német Nemzetiségi Önkormányzat, Dombóvári Horvát Nemzetiségi Önkormányzat</t>
  </si>
  <si>
    <t>429/2014. (XII. 18.) Kt. határozat</t>
  </si>
  <si>
    <t>dombóvári, 1971/1 helyrajzi számon felvett, Dombóvár, Kinizsi u. 37. szám alatt található Jam-csarnok megjelölésű ingatlan U alakú épületében kialakított ökölvívó terem, az ökölvívó terem melletti edzőterem (2019. december 31-ig)</t>
  </si>
  <si>
    <t>Dombóvári Boxklub</t>
  </si>
  <si>
    <t>431/2014. (XII. 18.)Kt. határozat</t>
  </si>
  <si>
    <t>dombóvári 0328/1 hrsz.-ú, a gyepmesteri telepet is magában foglaló ingatlan (2019. december 31-ig)</t>
  </si>
  <si>
    <t>Dombóvári Kutyás Egyesület</t>
  </si>
  <si>
    <t>472/2014. (XII. 18.)Kt. határozat</t>
  </si>
  <si>
    <t>Művelődési Ház (Dombóvár, Hunyadi tér 25.) ingatlan, hang- és fénytechnikai eszközök, mobilszínpad</t>
  </si>
  <si>
    <t>Dombóvári Művelődési Ház Nkft.</t>
  </si>
  <si>
    <t>483/2014. (XII. 18.)Kt. Határozat</t>
  </si>
  <si>
    <t>Dombóvár, Hunyadi tér 25. számú ingatlanban a Kft. működéséhez szükséges helyiségeket</t>
  </si>
  <si>
    <t>Dombó-Média Kft.</t>
  </si>
  <si>
    <t>572/2015. (XII. 17.)Kt. Határozat</t>
  </si>
  <si>
    <t>Katona József utca 37. szám alatt található Dombóvári Ifjúsági Sporttelep centerpályája és az északi kis pálya esetében 2019.december 31-ig térítésmentes használat</t>
  </si>
  <si>
    <t>Dombóvári Futball Club, Dombóvári Focisuli Egyesület, „Black Angels” Női labdarúgó Egyesület</t>
  </si>
  <si>
    <t>29/2016. (I. 28.) Kt. Határozat</t>
  </si>
  <si>
    <t>Dombóvár, Kinizsi u. 37. szám alatt található, Jam-csarnok elnevezésű ingatlan U-alakú épületének északi szárnyában található, a Dombóvári Boxklub használatában lévő ökölvívó terem közüzemi költségeinek finanszírozását 2016. február 1. napjától határozatlan időtartamig átvállalta az önkormányzat</t>
  </si>
  <si>
    <t>489/2016. (XII. 15.) Kt. határozat</t>
  </si>
  <si>
    <t>Dombóvár 1890 hrsz-ú, természetben Dombóvár, Földvár u. 18. szám alatt lévő sportingatlan (2018. december 31-ig)</t>
  </si>
  <si>
    <t>- Dombóvári Focisuli Egyesület
- Dombóvári Kosárlabda Suli Khe.
- Perfect Dance Tánc-Sport Egyesület
- Dombóvári Karatesuli Khe.
- Dombóvári Vasutas Atlétikai és Szabadidő Egyesület
- Dombóvári Floorball Közhasznú Sportegyesület
- Cyklon Ikigaidó SE Dombóvár
- Dombóvári Asztalitenisz Club Khe.
- Dombóvári Hangulat Szabadidő Sportegyesület
- Dombóvári Futball Club</t>
  </si>
  <si>
    <t>Műkö-  dési  bevétel</t>
  </si>
  <si>
    <t>Felhalmozási bevétel</t>
  </si>
  <si>
    <t>Átvett pénz- eszköz</t>
  </si>
  <si>
    <t>Pénzma-   radv. + Alulfin.</t>
  </si>
  <si>
    <t>Önk. tám.</t>
  </si>
  <si>
    <t>Int.fin.</t>
  </si>
  <si>
    <t>Integrált Önkormányzati Szolg. Szerv.</t>
  </si>
  <si>
    <t>előirányzata</t>
  </si>
  <si>
    <t>Családalapítási támogatás</t>
  </si>
  <si>
    <t>Szociális, jóléti, kulturális  juttatások</t>
  </si>
  <si>
    <t>Továbbképzés támogatása</t>
  </si>
  <si>
    <t>Egészségügyi juttatás (védőszemüveg)</t>
  </si>
  <si>
    <r>
      <t>Cafetéria juttatás</t>
    </r>
    <r>
      <rPr>
        <sz val="12"/>
        <rFont val="Times New Roman"/>
        <family val="1"/>
        <charset val="238"/>
      </rPr>
      <t xml:space="preserve"> (bruttó 200.000 Ft/fő/év)</t>
    </r>
  </si>
  <si>
    <t>Dombóvár</t>
  </si>
  <si>
    <t>Szakcs</t>
  </si>
  <si>
    <t>Vezetői illetménypótlék (jegyző, irodavezetők)</t>
  </si>
  <si>
    <t>Lakásépítés,- vásárlás támogatása</t>
  </si>
  <si>
    <t>- Szakcsi Kirendeltség 7 fő</t>
  </si>
  <si>
    <t>Intézmények finanszírozása 2018. évben</t>
  </si>
  <si>
    <t>Állami támogatás + NEAK</t>
  </si>
  <si>
    <t>Garancia és kezességvállalás (függő)</t>
  </si>
  <si>
    <t>Kezesség típusa</t>
  </si>
  <si>
    <t>Kezességvállalás mértéke/hitelkeret
eFt</t>
  </si>
  <si>
    <t>Kezességvállalás kezdete</t>
  </si>
  <si>
    <t>Kezességvállalás időtartama/ lejárata</t>
  </si>
  <si>
    <t>Csökkenés 2018-ban</t>
  </si>
  <si>
    <t>Csökkenés 2019-ben</t>
  </si>
  <si>
    <t>2018. évi szociális, jóléti és egészségügyi juttatás</t>
  </si>
  <si>
    <t>Engedélyezett létszám 2018. évre 81  fő</t>
  </si>
  <si>
    <t>- Dombóvár 74 fő ( 3 fő rehabos, 5 fő közfogl.)</t>
  </si>
  <si>
    <t>Tulajdonjog, illetve haszonélvezeti jog alapján a kedvezmény 974 adózót, a mentesség 2.303 adózót érint.</t>
  </si>
  <si>
    <t>2018. évi nyitó</t>
  </si>
  <si>
    <t>2018. évi növekedés</t>
  </si>
  <si>
    <t>Csökkenés 2020-ban</t>
  </si>
  <si>
    <t>20. Horvay utcai üzletsor parkoló felújítás</t>
  </si>
  <si>
    <t>21. Gárdonyi u. felújítás</t>
  </si>
  <si>
    <t>22. Gesztenyefa u. felújítása</t>
  </si>
  <si>
    <t>1. Park u. 1. átemelő elektromos felújítása</t>
  </si>
  <si>
    <t>21. Fekete István köz vízelvezetés</t>
  </si>
  <si>
    <t>1.14. Újrakezdési támogatás</t>
  </si>
  <si>
    <t>2.2. Sporttámogatások sportszervezeteknek</t>
  </si>
  <si>
    <t>33. Ingatlanok bontása (Arany János tér 3., Baross u. 10.)</t>
  </si>
  <si>
    <t>23. Zöldfa u. páros oldalának járda és csapadékvízelvezetés felújítása</t>
  </si>
  <si>
    <t>1. melléklet a 10/2018. (III. 2.) önkormányzati rendelethez</t>
  </si>
  <si>
    <t>6. melléklet a 10/2018. (III. 2.) önkormányzati rendelethez</t>
  </si>
  <si>
    <t xml:space="preserve"> 8/a melléklet a 10/2018. (III. 2.) önkormányzati rendelethez</t>
  </si>
  <si>
    <t>2.a. melléklet a 10/2018. (III. 2.) önkormányzati rendelethez</t>
  </si>
  <si>
    <t>3. melléklet a 10/2018. (III. 2.) önkormányzati rendelethez</t>
  </si>
  <si>
    <t>4. melléklet a 10/2018. (III. 2.) önkormányzati rendelethez</t>
  </si>
  <si>
    <t>5.a melléklet a 10/2018. (III. 2.) önkormányzati rendelethez</t>
  </si>
  <si>
    <t>5.b melléklet a 10/2018. (III. 2.) önkormányzati rendelethez</t>
  </si>
  <si>
    <t>5.c melléklet a 10/2018. (III. 2.) önkormányzati rendelethez</t>
  </si>
  <si>
    <t>7. melléklet a 10/2018. (III. 2.) önkormányzati rendelethez</t>
  </si>
  <si>
    <t>8. melléklet a 10/2018. (III. 2.) önkormányzati rendelethez</t>
  </si>
  <si>
    <t>9. melléklet a 10/2018. (III. 2.) önkormányzati rendelethez</t>
  </si>
  <si>
    <t>10. melléklet a 10/2018. (III. 2.) önkormányzati rendelethez</t>
  </si>
  <si>
    <t>2. melléklet a 10/2018. (III. 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</si>
</sst>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F_t_-;\-* #,##0\ _F_t_-;_-* &quot;-&quot;\ _F_t_-;_-@_-"/>
    <numFmt numFmtId="164" formatCode="0.0%"/>
    <numFmt numFmtId="165" formatCode="0.0"/>
    <numFmt numFmtId="166" formatCode="#,##0.0000"/>
    <numFmt numFmtId="167" formatCode="#,##0_ ;\-#,##0\ "/>
  </numFmts>
  <fonts count="6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name val="Times New Roman CE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u/>
      <sz val="12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68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 applyBorder="0"/>
    <xf numFmtId="0" fontId="3" fillId="0" borderId="0" applyBorder="0"/>
    <xf numFmtId="0" fontId="3" fillId="0" borderId="0"/>
    <xf numFmtId="0" fontId="3" fillId="0" borderId="0"/>
    <xf numFmtId="0" fontId="39" fillId="0" borderId="0"/>
    <xf numFmtId="9" fontId="2" fillId="0" borderId="0" applyFont="0" applyFill="0" applyBorder="0" applyAlignment="0" applyProtection="0"/>
    <xf numFmtId="0" fontId="30" fillId="0" borderId="0"/>
    <xf numFmtId="0" fontId="39" fillId="0" borderId="0"/>
    <xf numFmtId="0" fontId="3" fillId="0" borderId="0"/>
  </cellStyleXfs>
  <cellXfs count="645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0" xfId="53" applyFont="1" applyAlignment="1">
      <alignment wrapText="1"/>
    </xf>
    <xf numFmtId="0" fontId="22" fillId="0" borderId="12" xfId="53" applyFont="1" applyFill="1" applyBorder="1"/>
    <xf numFmtId="0" fontId="22" fillId="0" borderId="14" xfId="53" applyFont="1" applyFill="1" applyBorder="1"/>
    <xf numFmtId="0" fontId="26" fillId="0" borderId="10" xfId="53" applyFont="1" applyBorder="1" applyAlignment="1">
      <alignment vertical="center" wrapText="1"/>
    </xf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31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1" xfId="53" applyFont="1" applyFill="1" applyBorder="1"/>
    <xf numFmtId="0" fontId="34" fillId="0" borderId="31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5" fillId="0" borderId="10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5" fillId="0" borderId="31" xfId="53" applyFont="1" applyFill="1" applyBorder="1"/>
    <xf numFmtId="0" fontId="36" fillId="0" borderId="31" xfId="53" applyFont="1" applyFill="1" applyBorder="1" applyAlignment="1"/>
    <xf numFmtId="0" fontId="34" fillId="0" borderId="33" xfId="53" applyFont="1" applyFill="1" applyBorder="1"/>
    <xf numFmtId="3" fontId="32" fillId="0" borderId="31" xfId="53" applyNumberFormat="1" applyFont="1" applyFill="1" applyBorder="1"/>
    <xf numFmtId="3" fontId="32" fillId="0" borderId="31" xfId="53" applyNumberFormat="1" applyFont="1" applyFill="1" applyBorder="1" applyAlignment="1">
      <alignment wrapText="1"/>
    </xf>
    <xf numFmtId="3" fontId="33" fillId="0" borderId="31" xfId="53" applyNumberFormat="1" applyFont="1" applyFill="1" applyBorder="1"/>
    <xf numFmtId="3" fontId="34" fillId="0" borderId="31" xfId="53" applyNumberFormat="1" applyFont="1" applyFill="1" applyBorder="1" applyAlignment="1">
      <alignment horizontal="right"/>
    </xf>
    <xf numFmtId="3" fontId="35" fillId="0" borderId="31" xfId="53" applyNumberFormat="1" applyFont="1" applyFill="1" applyBorder="1"/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2" fillId="0" borderId="19" xfId="53" applyNumberFormat="1" applyFont="1" applyFill="1" applyBorder="1" applyAlignment="1">
      <alignment vertical="top" wrapText="1"/>
    </xf>
    <xf numFmtId="3" fontId="33" fillId="0" borderId="31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5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5" xfId="53" applyNumberFormat="1" applyFont="1" applyFill="1" applyBorder="1"/>
    <xf numFmtId="0" fontId="35" fillId="0" borderId="20" xfId="53" applyFont="1" applyFill="1" applyBorder="1"/>
    <xf numFmtId="3" fontId="32" fillId="0" borderId="35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3" xfId="53" applyNumberFormat="1" applyFont="1" applyFill="1" applyBorder="1"/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5" xfId="53" applyNumberFormat="1" applyFont="1" applyFill="1" applyBorder="1"/>
    <xf numFmtId="3" fontId="34" fillId="0" borderId="40" xfId="53" applyNumberFormat="1" applyFont="1" applyFill="1" applyBorder="1"/>
    <xf numFmtId="3" fontId="33" fillId="0" borderId="35" xfId="53" applyNumberFormat="1" applyFont="1" applyFill="1" applyBorder="1" applyAlignment="1">
      <alignment wrapText="1"/>
    </xf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2" fillId="0" borderId="20" xfId="53" applyNumberFormat="1" applyFont="1" applyFill="1" applyBorder="1" applyAlignment="1">
      <alignment vertical="top" wrapText="1"/>
    </xf>
    <xf numFmtId="3" fontId="34" fillId="0" borderId="41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38" fillId="0" borderId="0" xfId="51" applyFont="1" applyFill="1"/>
    <xf numFmtId="0" fontId="2" fillId="0" borderId="0" xfId="51" applyFill="1"/>
    <xf numFmtId="0" fontId="22" fillId="0" borderId="10" xfId="60" applyFont="1" applyFill="1" applyBorder="1" applyAlignment="1">
      <alignment horizontal="center" vertical="center" wrapText="1"/>
    </xf>
    <xf numFmtId="0" fontId="22" fillId="0" borderId="10" xfId="51" applyFont="1" applyFill="1" applyBorder="1" applyAlignment="1">
      <alignment horizontal="center" vertical="center" wrapText="1"/>
    </xf>
    <xf numFmtId="0" fontId="22" fillId="0" borderId="10" xfId="60" applyFont="1" applyFill="1" applyBorder="1"/>
    <xf numFmtId="0" fontId="22" fillId="0" borderId="10" xfId="60" applyFont="1" applyFill="1" applyBorder="1" applyAlignment="1">
      <alignment horizontal="right"/>
    </xf>
    <xf numFmtId="0" fontId="22" fillId="0" borderId="10" xfId="51" applyFont="1" applyFill="1" applyBorder="1"/>
    <xf numFmtId="0" fontId="21" fillId="0" borderId="10" xfId="60" applyFont="1" applyFill="1" applyBorder="1"/>
    <xf numFmtId="2" fontId="21" fillId="0" borderId="10" xfId="60" applyNumberFormat="1" applyFont="1" applyFill="1" applyBorder="1"/>
    <xf numFmtId="0" fontId="42" fillId="0" borderId="0" xfId="61" applyFont="1" applyFill="1" applyAlignment="1">
      <alignment wrapText="1"/>
    </xf>
    <xf numFmtId="0" fontId="42" fillId="0" borderId="0" xfId="61" applyFont="1" applyFill="1"/>
    <xf numFmtId="0" fontId="44" fillId="0" borderId="0" xfId="61" applyFont="1" applyFill="1" applyAlignment="1">
      <alignment wrapText="1"/>
    </xf>
    <xf numFmtId="3" fontId="44" fillId="0" borderId="0" xfId="61" applyNumberFormat="1" applyFont="1" applyFill="1" applyAlignment="1">
      <alignment horizontal="right"/>
    </xf>
    <xf numFmtId="0" fontId="44" fillId="0" borderId="0" xfId="61" applyFont="1" applyFill="1" applyAlignment="1">
      <alignment vertical="center" wrapText="1"/>
    </xf>
    <xf numFmtId="0" fontId="42" fillId="0" borderId="0" xfId="61" applyFont="1" applyFill="1" applyAlignment="1">
      <alignment horizontal="center" vertical="center" wrapText="1"/>
    </xf>
    <xf numFmtId="0" fontId="42" fillId="0" borderId="0" xfId="61" applyFont="1" applyFill="1" applyAlignment="1">
      <alignment vertical="center"/>
    </xf>
    <xf numFmtId="3" fontId="42" fillId="0" borderId="0" xfId="61" applyNumberFormat="1" applyFont="1" applyFill="1" applyAlignment="1">
      <alignment horizontal="center"/>
    </xf>
    <xf numFmtId="0" fontId="42" fillId="0" borderId="0" xfId="61" applyFont="1" applyFill="1" applyAlignment="1">
      <alignment horizontal="center"/>
    </xf>
    <xf numFmtId="0" fontId="42" fillId="0" borderId="0" xfId="61" applyFont="1" applyFill="1" applyAlignment="1">
      <alignment horizontal="center" wrapText="1"/>
    </xf>
    <xf numFmtId="3" fontId="42" fillId="0" borderId="0" xfId="61" applyNumberFormat="1" applyFont="1" applyFill="1" applyBorder="1"/>
    <xf numFmtId="0" fontId="42" fillId="0" borderId="0" xfId="61" applyFont="1" applyFill="1" applyBorder="1" applyAlignment="1">
      <alignment wrapText="1"/>
    </xf>
    <xf numFmtId="3" fontId="44" fillId="0" borderId="0" xfId="61" applyNumberFormat="1" applyFont="1" applyFill="1" applyBorder="1"/>
    <xf numFmtId="0" fontId="42" fillId="0" borderId="0" xfId="61" applyFont="1" applyFill="1" applyAlignment="1">
      <alignment vertical="center" wrapText="1"/>
    </xf>
    <xf numFmtId="3" fontId="42" fillId="0" borderId="0" xfId="61" applyNumberFormat="1" applyFont="1" applyFill="1" applyBorder="1" applyAlignment="1">
      <alignment vertical="center"/>
    </xf>
    <xf numFmtId="0" fontId="43" fillId="0" borderId="0" xfId="61" applyFont="1" applyFill="1" applyAlignment="1">
      <alignment wrapText="1"/>
    </xf>
    <xf numFmtId="0" fontId="2" fillId="0" borderId="0" xfId="51" applyAlignment="1"/>
    <xf numFmtId="0" fontId="47" fillId="0" borderId="0" xfId="62" applyFont="1"/>
    <xf numFmtId="0" fontId="3" fillId="0" borderId="0" xfId="62"/>
    <xf numFmtId="3" fontId="48" fillId="0" borderId="0" xfId="62" applyNumberFormat="1" applyFont="1" applyAlignment="1">
      <alignment horizontal="right"/>
    </xf>
    <xf numFmtId="3" fontId="32" fillId="0" borderId="0" xfId="62" applyNumberFormat="1" applyFont="1"/>
    <xf numFmtId="3" fontId="47" fillId="0" borderId="0" xfId="62" applyNumberFormat="1" applyFont="1"/>
    <xf numFmtId="0" fontId="48" fillId="0" borderId="10" xfId="62" applyFont="1" applyBorder="1" applyAlignment="1">
      <alignment horizontal="left"/>
    </xf>
    <xf numFmtId="3" fontId="48" fillId="0" borderId="10" xfId="62" applyNumberFormat="1" applyFont="1" applyBorder="1" applyAlignment="1">
      <alignment horizontal="right"/>
    </xf>
    <xf numFmtId="3" fontId="34" fillId="0" borderId="10" xfId="62" applyNumberFormat="1" applyFont="1" applyBorder="1" applyAlignment="1">
      <alignment horizontal="right"/>
    </xf>
    <xf numFmtId="0" fontId="47" fillId="0" borderId="10" xfId="62" applyFont="1" applyBorder="1"/>
    <xf numFmtId="3" fontId="47" fillId="0" borderId="10" xfId="62" applyNumberFormat="1" applyFont="1" applyFill="1" applyBorder="1"/>
    <xf numFmtId="0" fontId="47" fillId="0" borderId="10" xfId="62" applyFont="1" applyBorder="1" applyAlignment="1">
      <alignment wrapText="1"/>
    </xf>
    <xf numFmtId="3" fontId="47" fillId="0" borderId="10" xfId="63" applyNumberFormat="1" applyFont="1" applyFill="1" applyBorder="1"/>
    <xf numFmtId="0" fontId="49" fillId="0" borderId="10" xfId="62" applyFont="1" applyBorder="1"/>
    <xf numFmtId="0" fontId="50" fillId="0" borderId="10" xfId="62" applyFont="1" applyBorder="1"/>
    <xf numFmtId="3" fontId="50" fillId="0" borderId="10" xfId="62" applyNumberFormat="1" applyFont="1" applyFill="1" applyBorder="1"/>
    <xf numFmtId="0" fontId="48" fillId="0" borderId="10" xfId="62" applyFont="1" applyBorder="1"/>
    <xf numFmtId="3" fontId="48" fillId="0" borderId="10" xfId="62" applyNumberFormat="1" applyFont="1" applyFill="1" applyBorder="1"/>
    <xf numFmtId="3" fontId="50" fillId="0" borderId="10" xfId="62" applyNumberFormat="1" applyFont="1" applyBorder="1"/>
    <xf numFmtId="3" fontId="48" fillId="0" borderId="10" xfId="62" applyNumberFormat="1" applyFont="1" applyBorder="1"/>
    <xf numFmtId="0" fontId="47" fillId="0" borderId="0" xfId="62" applyFont="1" applyBorder="1"/>
    <xf numFmtId="3" fontId="47" fillId="0" borderId="0" xfId="62" applyNumberFormat="1" applyFont="1" applyBorder="1"/>
    <xf numFmtId="0" fontId="39" fillId="0" borderId="0" xfId="63"/>
    <xf numFmtId="3" fontId="39" fillId="0" borderId="0" xfId="63" applyNumberFormat="1" applyFont="1"/>
    <xf numFmtId="3" fontId="39" fillId="0" borderId="0" xfId="63" applyNumberFormat="1"/>
    <xf numFmtId="0" fontId="39" fillId="0" borderId="10" xfId="63" applyFill="1" applyBorder="1"/>
    <xf numFmtId="0" fontId="45" fillId="0" borderId="10" xfId="63" applyFont="1" applyFill="1" applyBorder="1"/>
    <xf numFmtId="3" fontId="39" fillId="0" borderId="10" xfId="63" applyNumberFormat="1" applyFill="1" applyBorder="1"/>
    <xf numFmtId="3" fontId="45" fillId="0" borderId="10" xfId="63" applyNumberFormat="1" applyFont="1" applyFill="1" applyBorder="1"/>
    <xf numFmtId="3" fontId="39" fillId="0" borderId="0" xfId="63" applyNumberFormat="1" applyFill="1"/>
    <xf numFmtId="3" fontId="39" fillId="0" borderId="0" xfId="63" applyNumberFormat="1" applyFont="1" applyFill="1"/>
    <xf numFmtId="0" fontId="39" fillId="0" borderId="0" xfId="63" applyFill="1"/>
    <xf numFmtId="0" fontId="45" fillId="0" borderId="10" xfId="63" applyFont="1" applyFill="1" applyBorder="1" applyAlignment="1">
      <alignment wrapText="1"/>
    </xf>
    <xf numFmtId="0" fontId="39" fillId="0" borderId="10" xfId="63" applyFont="1" applyFill="1" applyBorder="1" applyAlignment="1">
      <alignment wrapText="1"/>
    </xf>
    <xf numFmtId="0" fontId="39" fillId="0" borderId="10" xfId="63" applyFont="1" applyFill="1" applyBorder="1"/>
    <xf numFmtId="3" fontId="39" fillId="0" borderId="10" xfId="63" applyNumberFormat="1" applyFont="1" applyFill="1" applyBorder="1"/>
    <xf numFmtId="0" fontId="39" fillId="0" borderId="0" xfId="63" applyFont="1" applyFill="1"/>
    <xf numFmtId="0" fontId="46" fillId="0" borderId="10" xfId="63" applyFont="1" applyFill="1" applyBorder="1"/>
    <xf numFmtId="3" fontId="46" fillId="0" borderId="10" xfId="63" applyNumberFormat="1" applyFont="1" applyFill="1" applyBorder="1"/>
    <xf numFmtId="0" fontId="46" fillId="0" borderId="0" xfId="63" applyFont="1" applyFill="1" applyBorder="1"/>
    <xf numFmtId="3" fontId="46" fillId="0" borderId="0" xfId="63" applyNumberFormat="1" applyFont="1" applyFill="1" applyBorder="1"/>
    <xf numFmtId="1" fontId="39" fillId="0" borderId="10" xfId="64" applyNumberFormat="1" applyFont="1" applyFill="1" applyBorder="1"/>
    <xf numFmtId="164" fontId="39" fillId="0" borderId="10" xfId="64" applyNumberFormat="1" applyFont="1" applyFill="1" applyBorder="1"/>
    <xf numFmtId="165" fontId="39" fillId="0" borderId="0" xfId="63" applyNumberFormat="1" applyFill="1"/>
    <xf numFmtId="0" fontId="2" fillId="0" borderId="0" xfId="51"/>
    <xf numFmtId="3" fontId="43" fillId="0" borderId="0" xfId="51" applyNumberFormat="1" applyFont="1" applyFill="1"/>
    <xf numFmtId="3" fontId="42" fillId="0" borderId="0" xfId="51" applyNumberFormat="1" applyFont="1" applyFill="1"/>
    <xf numFmtId="3" fontId="44" fillId="0" borderId="0" xfId="51" applyNumberFormat="1" applyFont="1" applyFill="1"/>
    <xf numFmtId="0" fontId="42" fillId="0" borderId="0" xfId="51" applyFont="1" applyFill="1" applyAlignment="1">
      <alignment wrapText="1"/>
    </xf>
    <xf numFmtId="0" fontId="42" fillId="0" borderId="0" xfId="51" applyFont="1" applyFill="1"/>
    <xf numFmtId="0" fontId="41" fillId="0" borderId="0" xfId="51" applyFont="1" applyFill="1" applyAlignment="1">
      <alignment wrapText="1"/>
    </xf>
    <xf numFmtId="0" fontId="44" fillId="0" borderId="0" xfId="51" applyFont="1" applyFill="1"/>
    <xf numFmtId="0" fontId="40" fillId="0" borderId="0" xfId="51" applyFont="1"/>
    <xf numFmtId="0" fontId="32" fillId="0" borderId="0" xfId="51" applyFont="1"/>
    <xf numFmtId="0" fontId="40" fillId="0" borderId="0" xfId="51" applyFont="1" applyAlignment="1">
      <alignment wrapText="1"/>
    </xf>
    <xf numFmtId="0" fontId="42" fillId="0" borderId="0" xfId="51" applyFont="1"/>
    <xf numFmtId="0" fontId="41" fillId="0" borderId="0" xfId="51" applyFont="1" applyAlignment="1">
      <alignment wrapText="1"/>
    </xf>
    <xf numFmtId="0" fontId="33" fillId="0" borderId="0" xfId="53" applyFont="1" applyFill="1" applyBorder="1" applyAlignment="1">
      <alignment horizontal="right"/>
    </xf>
    <xf numFmtId="0" fontId="22" fillId="0" borderId="0" xfId="53" applyFont="1" applyFill="1" applyBorder="1"/>
    <xf numFmtId="0" fontId="32" fillId="0" borderId="0" xfId="53" applyFont="1" applyFill="1" applyBorder="1" applyAlignment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22" fillId="0" borderId="15" xfId="53" applyFont="1" applyFill="1" applyBorder="1"/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23" xfId="53" applyFont="1" applyFill="1" applyBorder="1"/>
    <xf numFmtId="3" fontId="32" fillId="0" borderId="28" xfId="53" applyNumberFormat="1" applyFont="1" applyFill="1" applyBorder="1" applyAlignment="1">
      <alignment horizontal="right"/>
    </xf>
    <xf numFmtId="3" fontId="32" fillId="0" borderId="29" xfId="53" applyNumberFormat="1" applyFont="1" applyFill="1" applyBorder="1" applyAlignment="1">
      <alignment horizontal="center" wrapText="1"/>
    </xf>
    <xf numFmtId="0" fontId="32" fillId="0" borderId="29" xfId="53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4" fillId="0" borderId="25" xfId="53" applyFont="1" applyFill="1" applyBorder="1"/>
    <xf numFmtId="0" fontId="34" fillId="0" borderId="16" xfId="53" applyFont="1" applyFill="1" applyBorder="1"/>
    <xf numFmtId="0" fontId="34" fillId="0" borderId="32" xfId="53" applyFont="1" applyFill="1" applyBorder="1"/>
    <xf numFmtId="0" fontId="34" fillId="0" borderId="17" xfId="53" applyFont="1" applyFill="1" applyBorder="1"/>
    <xf numFmtId="3" fontId="34" fillId="0" borderId="31" xfId="53" applyNumberFormat="1" applyFont="1" applyFill="1" applyBorder="1"/>
    <xf numFmtId="3" fontId="34" fillId="0" borderId="35" xfId="53" applyNumberFormat="1" applyFont="1" applyFill="1" applyBorder="1"/>
    <xf numFmtId="0" fontId="34" fillId="0" borderId="19" xfId="53" applyFont="1" applyFill="1" applyBorder="1" applyAlignment="1">
      <alignment horizontal="center"/>
    </xf>
    <xf numFmtId="0" fontId="34" fillId="0" borderId="19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4" fillId="0" borderId="20" xfId="53" applyFont="1" applyFill="1" applyBorder="1" applyAlignment="1">
      <alignment wrapText="1"/>
    </xf>
    <xf numFmtId="0" fontId="32" fillId="0" borderId="21" xfId="53" quotePrefix="1" applyFont="1" applyFill="1" applyBorder="1" applyAlignment="1">
      <alignment wrapText="1"/>
    </xf>
    <xf numFmtId="3" fontId="35" fillId="0" borderId="31" xfId="53" applyNumberFormat="1" applyFont="1" applyFill="1" applyBorder="1" applyAlignment="1">
      <alignment wrapText="1"/>
    </xf>
    <xf numFmtId="0" fontId="33" fillId="0" borderId="0" xfId="53" applyFont="1" applyFill="1" applyBorder="1" applyAlignment="1"/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1" fontId="34" fillId="0" borderId="27" xfId="53" applyNumberFormat="1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33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7" xfId="53" applyFont="1" applyFill="1" applyBorder="1"/>
    <xf numFmtId="0" fontId="34" fillId="0" borderId="12" xfId="53" applyFont="1" applyFill="1" applyBorder="1"/>
    <xf numFmtId="0" fontId="34" fillId="0" borderId="26" xfId="53" applyFont="1" applyFill="1" applyBorder="1"/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0" fontId="33" fillId="0" borderId="31" xfId="53" applyFont="1" applyFill="1" applyBorder="1"/>
    <xf numFmtId="3" fontId="34" fillId="0" borderId="19" xfId="53" applyNumberFormat="1" applyFont="1" applyFill="1" applyBorder="1" applyAlignment="1">
      <alignment horizontal="right"/>
    </xf>
    <xf numFmtId="3" fontId="34" fillId="0" borderId="20" xfId="53" applyNumberFormat="1" applyFont="1" applyFill="1" applyBorder="1" applyAlignment="1">
      <alignment horizontal="right"/>
    </xf>
    <xf numFmtId="3" fontId="35" fillId="0" borderId="19" xfId="53" applyNumberFormat="1" applyFont="1" applyFill="1" applyBorder="1"/>
    <xf numFmtId="3" fontId="35" fillId="0" borderId="20" xfId="53" applyNumberFormat="1" applyFont="1" applyFill="1" applyBorder="1"/>
    <xf numFmtId="3" fontId="22" fillId="0" borderId="31" xfId="53" applyNumberFormat="1" applyFont="1" applyFill="1" applyBorder="1"/>
    <xf numFmtId="0" fontId="32" fillId="0" borderId="19" xfId="53" applyFont="1" applyFill="1" applyBorder="1" applyAlignment="1">
      <alignment horizontal="center" wrapText="1"/>
    </xf>
    <xf numFmtId="0" fontId="32" fillId="0" borderId="31" xfId="53" applyFont="1" applyFill="1" applyBorder="1" applyAlignment="1"/>
    <xf numFmtId="16" fontId="32" fillId="0" borderId="31" xfId="53" applyNumberFormat="1" applyFont="1" applyFill="1" applyBorder="1" applyAlignment="1">
      <alignment wrapText="1"/>
    </xf>
    <xf numFmtId="0" fontId="34" fillId="0" borderId="19" xfId="53" applyFont="1" applyFill="1" applyBorder="1" applyAlignment="1"/>
    <xf numFmtId="0" fontId="26" fillId="0" borderId="0" xfId="65" applyFont="1" applyFill="1" applyAlignment="1">
      <alignment horizontal="center" vertical="center"/>
    </xf>
    <xf numFmtId="0" fontId="28" fillId="0" borderId="0" xfId="65" applyFont="1" applyFill="1"/>
    <xf numFmtId="0" fontId="26" fillId="0" borderId="0" xfId="65" applyFont="1" applyFill="1"/>
    <xf numFmtId="3" fontId="26" fillId="0" borderId="0" xfId="65" applyNumberFormat="1" applyFont="1" applyFill="1"/>
    <xf numFmtId="0" fontId="26" fillId="0" borderId="0" xfId="65" applyFont="1" applyFill="1" applyBorder="1" applyAlignment="1">
      <alignment horizontal="center" vertical="center"/>
    </xf>
    <xf numFmtId="0" fontId="28" fillId="0" borderId="0" xfId="65" applyFont="1" applyFill="1" applyBorder="1" applyAlignment="1">
      <alignment horizontal="center" vertical="center"/>
    </xf>
    <xf numFmtId="0" fontId="29" fillId="0" borderId="0" xfId="65" applyFont="1" applyFill="1"/>
    <xf numFmtId="3" fontId="28" fillId="0" borderId="0" xfId="65" applyNumberFormat="1" applyFont="1" applyFill="1" applyBorder="1"/>
    <xf numFmtId="3" fontId="29" fillId="0" borderId="0" xfId="65" applyNumberFormat="1" applyFont="1" applyFill="1"/>
    <xf numFmtId="0" fontId="29" fillId="0" borderId="0" xfId="65" applyFont="1" applyFill="1" applyBorder="1" applyAlignment="1">
      <alignment horizontal="center"/>
    </xf>
    <xf numFmtId="0" fontId="29" fillId="0" borderId="0" xfId="65" applyFont="1" applyFill="1" applyBorder="1" applyAlignment="1">
      <alignment horizontal="center" vertical="center"/>
    </xf>
    <xf numFmtId="0" fontId="28" fillId="0" borderId="0" xfId="65" applyFont="1" applyFill="1" applyBorder="1" applyAlignment="1">
      <alignment horizontal="right" vertical="center"/>
    </xf>
    <xf numFmtId="0" fontId="28" fillId="0" borderId="0" xfId="65" applyFont="1" applyFill="1" applyBorder="1" applyAlignment="1">
      <alignment horizontal="center" vertical="center" wrapText="1"/>
    </xf>
    <xf numFmtId="3" fontId="28" fillId="0" borderId="0" xfId="65" applyNumberFormat="1" applyFont="1" applyFill="1" applyAlignment="1">
      <alignment horizontal="center" vertical="center"/>
    </xf>
    <xf numFmtId="0" fontId="26" fillId="0" borderId="0" xfId="65" applyFont="1" applyFill="1" applyBorder="1" applyAlignment="1">
      <alignment horizontal="center" vertical="center" wrapText="1"/>
    </xf>
    <xf numFmtId="0" fontId="26" fillId="0" borderId="0" xfId="65" applyFont="1" applyFill="1" applyBorder="1" applyAlignment="1">
      <alignment horizontal="left" vertical="center"/>
    </xf>
    <xf numFmtId="0" fontId="27" fillId="0" borderId="0" xfId="65" applyFont="1" applyFill="1" applyBorder="1" applyAlignment="1">
      <alignment horizontal="center" vertical="center" wrapText="1"/>
    </xf>
    <xf numFmtId="0" fontId="27" fillId="0" borderId="0" xfId="65" applyFont="1" applyFill="1" applyBorder="1" applyAlignment="1">
      <alignment horizontal="left"/>
    </xf>
    <xf numFmtId="0" fontId="26" fillId="0" borderId="0" xfId="65" applyFont="1" applyFill="1" applyBorder="1" applyAlignment="1">
      <alignment horizontal="right"/>
    </xf>
    <xf numFmtId="49" fontId="26" fillId="0" borderId="0" xfId="65" applyNumberFormat="1" applyFont="1" applyFill="1" applyBorder="1" applyAlignment="1">
      <alignment horizontal="right" vertical="center"/>
    </xf>
    <xf numFmtId="3" fontId="26" fillId="0" borderId="0" xfId="65" applyNumberFormat="1" applyFont="1" applyFill="1" applyBorder="1"/>
    <xf numFmtId="0" fontId="26" fillId="0" borderId="42" xfId="65" applyFont="1" applyFill="1" applyBorder="1" applyAlignment="1">
      <alignment horizontal="center" vertical="center"/>
    </xf>
    <xf numFmtId="0" fontId="28" fillId="0" borderId="42" xfId="65" applyFont="1" applyFill="1" applyBorder="1" applyAlignment="1">
      <alignment horizontal="right"/>
    </xf>
    <xf numFmtId="0" fontId="28" fillId="0" borderId="42" xfId="65" applyFont="1" applyFill="1" applyBorder="1" applyAlignment="1">
      <alignment horizontal="center" vertical="center"/>
    </xf>
    <xf numFmtId="3" fontId="28" fillId="0" borderId="42" xfId="65" applyNumberFormat="1" applyFont="1" applyFill="1" applyBorder="1"/>
    <xf numFmtId="0" fontId="40" fillId="0" borderId="0" xfId="65" applyFont="1" applyFill="1" applyBorder="1" applyAlignment="1">
      <alignment horizontal="center" vertical="center"/>
    </xf>
    <xf numFmtId="3" fontId="51" fillId="0" borderId="0" xfId="65" applyNumberFormat="1" applyFont="1" applyFill="1" applyBorder="1"/>
    <xf numFmtId="0" fontId="29" fillId="0" borderId="0" xfId="65" applyFont="1" applyFill="1" applyBorder="1" applyAlignment="1">
      <alignment horizontal="right"/>
    </xf>
    <xf numFmtId="3" fontId="29" fillId="0" borderId="0" xfId="65" applyNumberFormat="1" applyFont="1" applyFill="1" applyBorder="1"/>
    <xf numFmtId="0" fontId="26" fillId="0" borderId="0" xfId="65" applyFont="1" applyFill="1" applyBorder="1"/>
    <xf numFmtId="3" fontId="29" fillId="0" borderId="0" xfId="65" applyNumberFormat="1" applyFont="1" applyFill="1" applyBorder="1" applyAlignment="1">
      <alignment horizontal="center"/>
    </xf>
    <xf numFmtId="0" fontId="2" fillId="0" borderId="0" xfId="52" applyAlignment="1"/>
    <xf numFmtId="0" fontId="34" fillId="0" borderId="31" xfId="53" applyFont="1" applyFill="1" applyBorder="1" applyAlignment="1">
      <alignment wrapText="1"/>
    </xf>
    <xf numFmtId="3" fontId="34" fillId="0" borderId="19" xfId="51" applyNumberFormat="1" applyFont="1" applyFill="1" applyBorder="1" applyAlignment="1"/>
    <xf numFmtId="3" fontId="34" fillId="0" borderId="10" xfId="51" applyNumberFormat="1" applyFont="1" applyFill="1" applyBorder="1" applyAlignment="1"/>
    <xf numFmtId="3" fontId="34" fillId="0" borderId="20" xfId="51" applyNumberFormat="1" applyFont="1" applyFill="1" applyBorder="1" applyAlignment="1"/>
    <xf numFmtId="0" fontId="26" fillId="0" borderId="36" xfId="53" applyFont="1" applyFill="1" applyBorder="1" applyAlignment="1">
      <alignment horizontal="center" vertical="center" wrapText="1"/>
    </xf>
    <xf numFmtId="0" fontId="28" fillId="0" borderId="10" xfId="53" applyFont="1" applyFill="1" applyBorder="1" applyAlignment="1">
      <alignment horizontal="center" vertical="center" wrapText="1"/>
    </xf>
    <xf numFmtId="0" fontId="23" fillId="0" borderId="13" xfId="53" applyFont="1" applyFill="1" applyBorder="1"/>
    <xf numFmtId="3" fontId="42" fillId="0" borderId="0" xfId="61" applyNumberFormat="1" applyFont="1" applyFill="1"/>
    <xf numFmtId="0" fontId="28" fillId="0" borderId="0" xfId="65" applyFont="1" applyFill="1" applyBorder="1" applyAlignment="1">
      <alignment horizontal="center"/>
    </xf>
    <xf numFmtId="0" fontId="28" fillId="0" borderId="0" xfId="65" applyFont="1" applyFill="1" applyBorder="1" applyAlignment="1">
      <alignment horizontal="right"/>
    </xf>
    <xf numFmtId="0" fontId="22" fillId="0" borderId="13" xfId="53" applyFont="1" applyFill="1" applyBorder="1" applyAlignment="1">
      <alignment horizontal="center" vertical="center"/>
    </xf>
    <xf numFmtId="0" fontId="22" fillId="0" borderId="31" xfId="53" applyFont="1" applyFill="1" applyBorder="1" applyAlignment="1">
      <alignment wrapText="1"/>
    </xf>
    <xf numFmtId="0" fontId="22" fillId="0" borderId="31" xfId="53" applyFont="1" applyFill="1" applyBorder="1" applyAlignment="1"/>
    <xf numFmtId="0" fontId="52" fillId="0" borderId="0" xfId="51" applyFont="1" applyFill="1" applyAlignment="1"/>
    <xf numFmtId="0" fontId="2" fillId="0" borderId="0" xfId="51" applyBorder="1"/>
    <xf numFmtId="0" fontId="2" fillId="0" borderId="0" xfId="51" applyFont="1"/>
    <xf numFmtId="0" fontId="28" fillId="0" borderId="11" xfId="65" applyFont="1" applyFill="1" applyBorder="1" applyAlignment="1">
      <alignment horizontal="center" vertical="center"/>
    </xf>
    <xf numFmtId="0" fontId="28" fillId="0" borderId="11" xfId="65" applyFont="1" applyFill="1" applyBorder="1" applyAlignment="1">
      <alignment horizontal="right"/>
    </xf>
    <xf numFmtId="49" fontId="28" fillId="0" borderId="11" xfId="65" applyNumberFormat="1" applyFont="1" applyFill="1" applyBorder="1" applyAlignment="1">
      <alignment horizontal="right" vertical="center"/>
    </xf>
    <xf numFmtId="3" fontId="28" fillId="0" borderId="11" xfId="65" applyNumberFormat="1" applyFont="1" applyFill="1" applyBorder="1"/>
    <xf numFmtId="0" fontId="53" fillId="0" borderId="0" xfId="51" applyFont="1"/>
    <xf numFmtId="0" fontId="26" fillId="0" borderId="11" xfId="65" applyFont="1" applyFill="1" applyBorder="1" applyAlignment="1">
      <alignment horizontal="center" vertical="center"/>
    </xf>
    <xf numFmtId="0" fontId="2" fillId="0" borderId="0" xfId="51" applyFont="1" applyFill="1"/>
    <xf numFmtId="0" fontId="34" fillId="0" borderId="36" xfId="53" applyFont="1" applyFill="1" applyBorder="1" applyAlignment="1">
      <alignment horizontal="right"/>
    </xf>
    <xf numFmtId="3" fontId="32" fillId="0" borderId="13" xfId="53" applyNumberFormat="1" applyFont="1" applyFill="1" applyBorder="1" applyAlignment="1">
      <alignment wrapText="1"/>
    </xf>
    <xf numFmtId="0" fontId="34" fillId="0" borderId="17" xfId="53" applyFont="1" applyFill="1" applyBorder="1" applyAlignment="1">
      <alignment horizontal="right"/>
    </xf>
    <xf numFmtId="0" fontId="34" fillId="0" borderId="18" xfId="53" applyFont="1" applyFill="1" applyBorder="1"/>
    <xf numFmtId="0" fontId="21" fillId="0" borderId="13" xfId="53" applyFont="1" applyFill="1" applyBorder="1"/>
    <xf numFmtId="0" fontId="24" fillId="0" borderId="13" xfId="53" applyFont="1" applyFill="1" applyBorder="1"/>
    <xf numFmtId="3" fontId="35" fillId="0" borderId="35" xfId="53" applyNumberFormat="1" applyFont="1" applyFill="1" applyBorder="1" applyAlignment="1">
      <alignment wrapText="1"/>
    </xf>
    <xf numFmtId="0" fontId="22" fillId="0" borderId="19" xfId="53" applyFont="1" applyFill="1" applyBorder="1"/>
    <xf numFmtId="0" fontId="22" fillId="0" borderId="20" xfId="53" applyFont="1" applyFill="1" applyBorder="1"/>
    <xf numFmtId="0" fontId="26" fillId="0" borderId="0" xfId="66" applyFont="1" applyFill="1" applyBorder="1" applyAlignment="1">
      <alignment wrapText="1"/>
    </xf>
    <xf numFmtId="49" fontId="26" fillId="0" borderId="0" xfId="66" applyNumberFormat="1" applyFont="1" applyFill="1" applyBorder="1" applyAlignment="1">
      <alignment wrapText="1"/>
    </xf>
    <xf numFmtId="0" fontId="26" fillId="0" borderId="0" xfId="66" applyFont="1" applyFill="1" applyBorder="1" applyAlignment="1">
      <alignment horizontal="center"/>
    </xf>
    <xf numFmtId="3" fontId="26" fillId="0" borderId="0" xfId="66" applyNumberFormat="1" applyFont="1" applyFill="1" applyBorder="1" applyAlignment="1">
      <alignment horizontal="right"/>
    </xf>
    <xf numFmtId="0" fontId="26" fillId="0" borderId="0" xfId="66" applyFont="1" applyFill="1" applyBorder="1" applyAlignment="1">
      <alignment horizontal="center" wrapText="1"/>
    </xf>
    <xf numFmtId="3" fontId="26" fillId="0" borderId="0" xfId="66" applyNumberFormat="1" applyFont="1" applyFill="1" applyBorder="1" applyAlignment="1">
      <alignment horizontal="center"/>
    </xf>
    <xf numFmtId="3" fontId="26" fillId="0" borderId="0" xfId="66" applyNumberFormat="1" applyFont="1" applyFill="1" applyBorder="1"/>
    <xf numFmtId="166" fontId="54" fillId="0" borderId="0" xfId="66" applyNumberFormat="1" applyFont="1" applyFill="1" applyBorder="1" applyAlignment="1">
      <alignment horizontal="center" vertical="center"/>
    </xf>
    <xf numFmtId="0" fontId="26" fillId="0" borderId="32" xfId="66" applyFont="1" applyFill="1" applyBorder="1" applyAlignment="1">
      <alignment wrapText="1"/>
    </xf>
    <xf numFmtId="49" fontId="26" fillId="0" borderId="32" xfId="66" applyNumberFormat="1" applyFont="1" applyFill="1" applyBorder="1" applyAlignment="1">
      <alignment wrapText="1"/>
    </xf>
    <xf numFmtId="0" fontId="26" fillId="0" borderId="32" xfId="66" applyFont="1" applyFill="1" applyBorder="1" applyAlignment="1">
      <alignment horizontal="center"/>
    </xf>
    <xf numFmtId="41" fontId="26" fillId="0" borderId="10" xfId="66" applyNumberFormat="1" applyFont="1" applyFill="1" applyBorder="1" applyAlignment="1">
      <alignment horizontal="right" wrapText="1"/>
    </xf>
    <xf numFmtId="3" fontId="26" fillId="0" borderId="17" xfId="66" applyNumberFormat="1" applyFont="1" applyFill="1" applyBorder="1"/>
    <xf numFmtId="0" fontId="26" fillId="0" borderId="10" xfId="66" applyFont="1" applyFill="1" applyBorder="1" applyAlignment="1">
      <alignment wrapText="1"/>
    </xf>
    <xf numFmtId="49" fontId="26" fillId="0" borderId="10" xfId="66" applyNumberFormat="1" applyFont="1" applyFill="1" applyBorder="1" applyAlignment="1">
      <alignment wrapText="1"/>
    </xf>
    <xf numFmtId="14" fontId="26" fillId="0" borderId="10" xfId="66" applyNumberFormat="1" applyFont="1" applyFill="1" applyBorder="1" applyAlignment="1">
      <alignment horizontal="center"/>
    </xf>
    <xf numFmtId="3" fontId="26" fillId="0" borderId="20" xfId="66" applyNumberFormat="1" applyFont="1" applyFill="1" applyBorder="1"/>
    <xf numFmtId="3" fontId="26" fillId="0" borderId="10" xfId="66" applyNumberFormat="1" applyFont="1" applyFill="1" applyBorder="1"/>
    <xf numFmtId="3" fontId="26" fillId="0" borderId="35" xfId="66" applyNumberFormat="1" applyFont="1" applyFill="1" applyBorder="1"/>
    <xf numFmtId="0" fontId="26" fillId="0" borderId="10" xfId="51" applyFont="1" applyFill="1" applyBorder="1" applyAlignment="1">
      <alignment wrapText="1"/>
    </xf>
    <xf numFmtId="49" fontId="26" fillId="0" borderId="10" xfId="51" applyNumberFormat="1" applyFont="1" applyFill="1" applyBorder="1" applyAlignment="1">
      <alignment wrapText="1"/>
    </xf>
    <xf numFmtId="14" fontId="26" fillId="0" borderId="10" xfId="51" applyNumberFormat="1" applyFont="1" applyFill="1" applyBorder="1" applyAlignment="1">
      <alignment horizontal="center" wrapText="1"/>
    </xf>
    <xf numFmtId="0" fontId="26" fillId="0" borderId="10" xfId="66" applyFont="1" applyFill="1" applyBorder="1" applyAlignment="1">
      <alignment horizontal="center"/>
    </xf>
    <xf numFmtId="0" fontId="26" fillId="0" borderId="10" xfId="66" applyFont="1" applyFill="1" applyBorder="1" applyAlignment="1">
      <alignment horizontal="left"/>
    </xf>
    <xf numFmtId="0" fontId="26" fillId="0" borderId="10" xfId="66" applyFont="1" applyFill="1" applyBorder="1" applyAlignment="1">
      <alignment horizontal="left" wrapText="1"/>
    </xf>
    <xf numFmtId="14" fontId="26" fillId="0" borderId="10" xfId="51" applyNumberFormat="1" applyFont="1" applyFill="1" applyBorder="1" applyAlignment="1">
      <alignment horizontal="center"/>
    </xf>
    <xf numFmtId="14" fontId="26" fillId="0" borderId="10" xfId="66" applyNumberFormat="1" applyFont="1" applyFill="1" applyBorder="1" applyAlignment="1">
      <alignment horizontal="center" wrapText="1"/>
    </xf>
    <xf numFmtId="49" fontId="26" fillId="0" borderId="10" xfId="66" applyNumberFormat="1" applyFont="1" applyFill="1" applyBorder="1" applyAlignment="1">
      <alignment horizontal="left" wrapText="1"/>
    </xf>
    <xf numFmtId="0" fontId="56" fillId="0" borderId="10" xfId="66" applyFont="1" applyFill="1" applyBorder="1" applyAlignment="1">
      <alignment horizontal="center"/>
    </xf>
    <xf numFmtId="3" fontId="55" fillId="0" borderId="0" xfId="51" applyNumberFormat="1" applyFont="1" applyFill="1"/>
    <xf numFmtId="167" fontId="26" fillId="0" borderId="10" xfId="66" applyNumberFormat="1" applyFont="1" applyFill="1" applyBorder="1" applyAlignment="1">
      <alignment horizontal="right" wrapText="1"/>
    </xf>
    <xf numFmtId="0" fontId="2" fillId="24" borderId="0" xfId="51" applyFill="1"/>
    <xf numFmtId="41" fontId="26" fillId="0" borderId="48" xfId="66" applyNumberFormat="1" applyFont="1" applyFill="1" applyBorder="1" applyAlignment="1">
      <alignment horizontal="right" wrapText="1"/>
    </xf>
    <xf numFmtId="3" fontId="26" fillId="0" borderId="49" xfId="66" applyNumberFormat="1" applyFont="1" applyFill="1" applyBorder="1"/>
    <xf numFmtId="14" fontId="26" fillId="0" borderId="50" xfId="66" applyNumberFormat="1" applyFont="1" applyFill="1" applyBorder="1" applyAlignment="1">
      <alignment horizontal="center"/>
    </xf>
    <xf numFmtId="0" fontId="26" fillId="0" borderId="10" xfId="66" applyFont="1" applyFill="1" applyBorder="1" applyAlignment="1">
      <alignment horizontal="center" wrapText="1"/>
    </xf>
    <xf numFmtId="0" fontId="29" fillId="0" borderId="51" xfId="66" applyFont="1" applyFill="1" applyBorder="1" applyAlignment="1">
      <alignment horizontal="right"/>
    </xf>
    <xf numFmtId="0" fontId="29" fillId="0" borderId="43" xfId="66" applyFont="1" applyFill="1" applyBorder="1" applyAlignment="1">
      <alignment horizontal="right"/>
    </xf>
    <xf numFmtId="0" fontId="29" fillId="0" borderId="52" xfId="66" applyFont="1" applyFill="1" applyBorder="1" applyAlignment="1">
      <alignment horizontal="right"/>
    </xf>
    <xf numFmtId="41" fontId="29" fillId="0" borderId="41" xfId="66" applyNumberFormat="1" applyFont="1" applyFill="1" applyBorder="1" applyAlignment="1">
      <alignment horizontal="right" wrapText="1"/>
    </xf>
    <xf numFmtId="41" fontId="29" fillId="0" borderId="24" xfId="66" applyNumberFormat="1" applyFont="1" applyFill="1" applyBorder="1" applyAlignment="1">
      <alignment horizontal="right" wrapText="1"/>
    </xf>
    <xf numFmtId="14" fontId="26" fillId="0" borderId="0" xfId="66" applyNumberFormat="1" applyFont="1" applyFill="1" applyBorder="1" applyAlignment="1">
      <alignment horizontal="center"/>
    </xf>
    <xf numFmtId="3" fontId="26" fillId="0" borderId="0" xfId="66" applyNumberFormat="1" applyFont="1" applyFill="1" applyBorder="1" applyAlignment="1"/>
    <xf numFmtId="3" fontId="28" fillId="0" borderId="0" xfId="66" applyNumberFormat="1" applyFont="1" applyFill="1" applyBorder="1" applyAlignment="1"/>
    <xf numFmtId="3" fontId="28" fillId="0" borderId="0" xfId="66" applyNumberFormat="1" applyFont="1" applyFill="1" applyBorder="1" applyAlignment="1">
      <alignment horizontal="right"/>
    </xf>
    <xf numFmtId="0" fontId="26" fillId="0" borderId="16" xfId="66" applyFont="1" applyFill="1" applyBorder="1" applyAlignment="1">
      <alignment horizontal="left" vertical="center" wrapText="1"/>
    </xf>
    <xf numFmtId="49" fontId="26" fillId="0" borderId="32" xfId="66" applyNumberFormat="1" applyFont="1" applyFill="1" applyBorder="1" applyAlignment="1">
      <alignment horizontal="left" vertical="center" wrapText="1"/>
    </xf>
    <xf numFmtId="0" fontId="57" fillId="0" borderId="32" xfId="66" applyFont="1" applyFill="1" applyBorder="1" applyAlignment="1">
      <alignment horizontal="center" vertical="center" wrapText="1"/>
    </xf>
    <xf numFmtId="3" fontId="26" fillId="0" borderId="32" xfId="66" applyNumberFormat="1" applyFont="1" applyFill="1" applyBorder="1" applyAlignment="1">
      <alignment horizontal="right" vertical="center" wrapText="1"/>
    </xf>
    <xf numFmtId="3" fontId="26" fillId="0" borderId="17" xfId="66" applyNumberFormat="1" applyFont="1" applyFill="1" applyBorder="1" applyAlignment="1">
      <alignment horizontal="right" vertical="center" wrapText="1"/>
    </xf>
    <xf numFmtId="3" fontId="2" fillId="0" borderId="0" xfId="51" applyNumberFormat="1" applyFill="1"/>
    <xf numFmtId="0" fontId="26" fillId="0" borderId="25" xfId="66" applyFont="1" applyFill="1" applyBorder="1" applyAlignment="1">
      <alignment horizontal="left" vertical="center" wrapText="1"/>
    </xf>
    <xf numFmtId="49" fontId="26" fillId="0" borderId="12" xfId="66" applyNumberFormat="1" applyFont="1" applyFill="1" applyBorder="1" applyAlignment="1">
      <alignment horizontal="left" vertical="center" wrapText="1"/>
    </xf>
    <xf numFmtId="0" fontId="57" fillId="0" borderId="12" xfId="66" applyFont="1" applyFill="1" applyBorder="1" applyAlignment="1">
      <alignment horizontal="center" vertical="center" wrapText="1"/>
    </xf>
    <xf numFmtId="3" fontId="26" fillId="0" borderId="12" xfId="66" applyNumberFormat="1" applyFont="1" applyFill="1" applyBorder="1" applyAlignment="1">
      <alignment horizontal="right" vertical="center" wrapText="1"/>
    </xf>
    <xf numFmtId="3" fontId="26" fillId="0" borderId="26" xfId="66" applyNumberFormat="1" applyFont="1" applyFill="1" applyBorder="1" applyAlignment="1">
      <alignment horizontal="right" vertical="center" wrapText="1"/>
    </xf>
    <xf numFmtId="0" fontId="26" fillId="0" borderId="19" xfId="66" applyFont="1" applyFill="1" applyBorder="1" applyAlignment="1">
      <alignment horizontal="left" vertical="center" wrapText="1"/>
    </xf>
    <xf numFmtId="49" fontId="26" fillId="0" borderId="10" xfId="66" applyNumberFormat="1" applyFont="1" applyFill="1" applyBorder="1" applyAlignment="1">
      <alignment horizontal="left" vertical="center" wrapText="1"/>
    </xf>
    <xf numFmtId="0" fontId="26" fillId="0" borderId="10" xfId="66" applyFont="1" applyFill="1" applyBorder="1" applyAlignment="1">
      <alignment horizontal="center" vertical="center" wrapText="1"/>
    </xf>
    <xf numFmtId="3" fontId="26" fillId="0" borderId="10" xfId="66" applyNumberFormat="1" applyFont="1" applyFill="1" applyBorder="1" applyAlignment="1">
      <alignment horizontal="right" vertical="center" wrapText="1"/>
    </xf>
    <xf numFmtId="3" fontId="26" fillId="0" borderId="20" xfId="66" applyNumberFormat="1" applyFont="1" applyFill="1" applyBorder="1" applyAlignment="1">
      <alignment horizontal="right" vertical="center" wrapText="1"/>
    </xf>
    <xf numFmtId="0" fontId="26" fillId="0" borderId="19" xfId="66" applyFont="1" applyFill="1" applyBorder="1" applyAlignment="1">
      <alignment wrapText="1"/>
    </xf>
    <xf numFmtId="0" fontId="26" fillId="0" borderId="19" xfId="66" applyFont="1" applyFill="1" applyBorder="1" applyAlignment="1"/>
    <xf numFmtId="49" fontId="26" fillId="0" borderId="10" xfId="66" applyNumberFormat="1" applyFont="1" applyFill="1" applyBorder="1" applyAlignment="1"/>
    <xf numFmtId="3" fontId="26" fillId="0" borderId="10" xfId="66" applyNumberFormat="1" applyFont="1" applyFill="1" applyBorder="1" applyAlignment="1">
      <alignment horizontal="right"/>
    </xf>
    <xf numFmtId="3" fontId="26" fillId="0" borderId="20" xfId="66" applyNumberFormat="1" applyFont="1" applyFill="1" applyBorder="1" applyAlignment="1"/>
    <xf numFmtId="14" fontId="56" fillId="0" borderId="10" xfId="66" applyNumberFormat="1" applyFont="1" applyFill="1" applyBorder="1" applyAlignment="1">
      <alignment horizontal="center"/>
    </xf>
    <xf numFmtId="0" fontId="26" fillId="0" borderId="10" xfId="66" applyFont="1" applyFill="1" applyBorder="1" applyAlignment="1"/>
    <xf numFmtId="3" fontId="26" fillId="0" borderId="10" xfId="66" applyNumberFormat="1" applyFont="1" applyFill="1" applyBorder="1" applyAlignment="1"/>
    <xf numFmtId="0" fontId="26" fillId="0" borderId="19" xfId="66" applyFont="1" applyFill="1" applyBorder="1" applyAlignment="1">
      <alignment horizontal="left"/>
    </xf>
    <xf numFmtId="0" fontId="26" fillId="0" borderId="48" xfId="66" applyFont="1" applyFill="1" applyBorder="1" applyAlignment="1">
      <alignment horizontal="left"/>
    </xf>
    <xf numFmtId="0" fontId="26" fillId="0" borderId="48" xfId="66" applyFont="1" applyFill="1" applyBorder="1" applyAlignment="1">
      <alignment horizontal="center"/>
    </xf>
    <xf numFmtId="3" fontId="26" fillId="0" borderId="48" xfId="66" applyNumberFormat="1" applyFont="1" applyFill="1" applyBorder="1" applyAlignment="1">
      <alignment horizontal="right"/>
    </xf>
    <xf numFmtId="3" fontId="26" fillId="0" borderId="49" xfId="66" applyNumberFormat="1" applyFont="1" applyFill="1" applyBorder="1" applyAlignment="1"/>
    <xf numFmtId="0" fontId="26" fillId="0" borderId="53" xfId="66" applyFont="1" applyFill="1" applyBorder="1" applyAlignment="1">
      <alignment horizontal="left"/>
    </xf>
    <xf numFmtId="14" fontId="26" fillId="0" borderId="48" xfId="66" applyNumberFormat="1" applyFont="1" applyFill="1" applyBorder="1" applyAlignment="1">
      <alignment horizontal="center" wrapText="1"/>
    </xf>
    <xf numFmtId="14" fontId="56" fillId="0" borderId="48" xfId="66" applyNumberFormat="1" applyFont="1" applyFill="1" applyBorder="1" applyAlignment="1">
      <alignment horizontal="center" wrapText="1"/>
    </xf>
    <xf numFmtId="14" fontId="26" fillId="0" borderId="48" xfId="66" applyNumberFormat="1" applyFont="1" applyFill="1" applyBorder="1" applyAlignment="1">
      <alignment horizontal="center"/>
    </xf>
    <xf numFmtId="3" fontId="26" fillId="0" borderId="10" xfId="66" applyNumberFormat="1" applyFont="1" applyFill="1" applyBorder="1" applyAlignment="1">
      <alignment horizontal="right" vertical="center"/>
    </xf>
    <xf numFmtId="3" fontId="26" fillId="0" borderId="20" xfId="66" applyNumberFormat="1" applyFont="1" applyFill="1" applyBorder="1" applyAlignment="1">
      <alignment horizontal="right" vertical="center"/>
    </xf>
    <xf numFmtId="3" fontId="53" fillId="0" borderId="0" xfId="51" applyNumberFormat="1" applyFont="1" applyFill="1"/>
    <xf numFmtId="3" fontId="2" fillId="0" borderId="0" xfId="51" applyNumberFormat="1" applyFont="1" applyFill="1"/>
    <xf numFmtId="3" fontId="26" fillId="0" borderId="20" xfId="66" applyNumberFormat="1" applyFont="1" applyFill="1" applyBorder="1" applyAlignment="1">
      <alignment horizontal="right"/>
    </xf>
    <xf numFmtId="0" fontId="26" fillId="0" borderId="19" xfId="51" applyFont="1" applyFill="1" applyBorder="1" applyAlignment="1"/>
    <xf numFmtId="49" fontId="26" fillId="0" borderId="10" xfId="51" applyNumberFormat="1" applyFont="1" applyFill="1" applyBorder="1" applyAlignment="1"/>
    <xf numFmtId="0" fontId="26" fillId="25" borderId="19" xfId="66" applyFont="1" applyFill="1" applyBorder="1" applyAlignment="1"/>
    <xf numFmtId="49" fontId="26" fillId="25" borderId="10" xfId="66" applyNumberFormat="1" applyFont="1" applyFill="1" applyBorder="1" applyAlignment="1"/>
    <xf numFmtId="14" fontId="26" fillId="25" borderId="10" xfId="66" applyNumberFormat="1" applyFont="1" applyFill="1" applyBorder="1" applyAlignment="1">
      <alignment horizontal="center"/>
    </xf>
    <xf numFmtId="3" fontId="26" fillId="25" borderId="10" xfId="66" applyNumberFormat="1" applyFont="1" applyFill="1" applyBorder="1" applyAlignment="1">
      <alignment horizontal="right"/>
    </xf>
    <xf numFmtId="3" fontId="26" fillId="25" borderId="20" xfId="66" applyNumberFormat="1" applyFont="1" applyFill="1" applyBorder="1" applyAlignment="1"/>
    <xf numFmtId="0" fontId="2" fillId="25" borderId="0" xfId="51" applyFill="1"/>
    <xf numFmtId="49" fontId="2" fillId="25" borderId="0" xfId="51" applyNumberFormat="1" applyFont="1" applyFill="1"/>
    <xf numFmtId="3" fontId="2" fillId="25" borderId="0" xfId="51" applyNumberFormat="1" applyFill="1"/>
    <xf numFmtId="49" fontId="26" fillId="25" borderId="10" xfId="51" applyNumberFormat="1" applyFont="1" applyFill="1" applyBorder="1" applyAlignment="1"/>
    <xf numFmtId="14" fontId="26" fillId="25" borderId="10" xfId="51" applyNumberFormat="1" applyFont="1" applyFill="1" applyBorder="1" applyAlignment="1">
      <alignment horizontal="center"/>
    </xf>
    <xf numFmtId="3" fontId="2" fillId="25" borderId="0" xfId="51" applyNumberFormat="1" applyFont="1" applyFill="1"/>
    <xf numFmtId="14" fontId="56" fillId="0" borderId="10" xfId="51" applyNumberFormat="1" applyFont="1" applyFill="1" applyBorder="1" applyAlignment="1">
      <alignment horizontal="center"/>
    </xf>
    <xf numFmtId="0" fontId="26" fillId="0" borderId="10" xfId="51" applyFont="1" applyFill="1" applyBorder="1" applyAlignment="1"/>
    <xf numFmtId="0" fontId="26" fillId="0" borderId="19" xfId="51" applyFont="1" applyFill="1" applyBorder="1" applyAlignment="1">
      <alignment horizontal="left"/>
    </xf>
    <xf numFmtId="0" fontId="26" fillId="0" borderId="10" xfId="51" applyFont="1" applyFill="1" applyBorder="1" applyAlignment="1">
      <alignment horizontal="left"/>
    </xf>
    <xf numFmtId="3" fontId="26" fillId="0" borderId="10" xfId="51" applyNumberFormat="1" applyFont="1" applyFill="1" applyBorder="1" applyAlignment="1">
      <alignment horizontal="right"/>
    </xf>
    <xf numFmtId="3" fontId="26" fillId="0" borderId="20" xfId="51" applyNumberFormat="1" applyFont="1" applyFill="1" applyBorder="1" applyAlignment="1"/>
    <xf numFmtId="3" fontId="2" fillId="0" borderId="0" xfId="51" applyNumberFormat="1"/>
    <xf numFmtId="0" fontId="26" fillId="25" borderId="19" xfId="51" applyFont="1" applyFill="1" applyBorder="1" applyAlignment="1"/>
    <xf numFmtId="0" fontId="26" fillId="0" borderId="53" xfId="66" applyFont="1" applyFill="1" applyBorder="1" applyAlignment="1"/>
    <xf numFmtId="3" fontId="53" fillId="0" borderId="0" xfId="51" applyNumberFormat="1" applyFont="1"/>
    <xf numFmtId="3" fontId="2" fillId="0" borderId="0" xfId="51" applyNumberFormat="1" applyFont="1"/>
    <xf numFmtId="3" fontId="2" fillId="0" borderId="0" xfId="51" applyNumberFormat="1" applyFont="1" applyAlignment="1"/>
    <xf numFmtId="49" fontId="26" fillId="0" borderId="48" xfId="66" applyNumberFormat="1" applyFont="1" applyFill="1" applyBorder="1" applyAlignment="1"/>
    <xf numFmtId="14" fontId="56" fillId="0" borderId="48" xfId="66" applyNumberFormat="1" applyFont="1" applyFill="1" applyBorder="1" applyAlignment="1">
      <alignment horizontal="center"/>
    </xf>
    <xf numFmtId="3" fontId="56" fillId="0" borderId="48" xfId="66" applyNumberFormat="1" applyFont="1" applyFill="1" applyBorder="1" applyAlignment="1"/>
    <xf numFmtId="3" fontId="26" fillId="0" borderId="48" xfId="66" applyNumberFormat="1" applyFont="1" applyFill="1" applyBorder="1" applyAlignment="1"/>
    <xf numFmtId="3" fontId="29" fillId="0" borderId="46" xfId="66" applyNumberFormat="1" applyFont="1" applyFill="1" applyBorder="1" applyAlignment="1">
      <alignment horizontal="right"/>
    </xf>
    <xf numFmtId="3" fontId="29" fillId="0" borderId="47" xfId="66" applyNumberFormat="1" applyFont="1" applyFill="1" applyBorder="1" applyAlignment="1">
      <alignment horizontal="right"/>
    </xf>
    <xf numFmtId="3" fontId="2" fillId="0" borderId="11" xfId="51" applyNumberFormat="1" applyBorder="1"/>
    <xf numFmtId="14" fontId="26" fillId="0" borderId="0" xfId="66" applyNumberFormat="1" applyFont="1" applyFill="1" applyBorder="1" applyAlignment="1">
      <alignment horizontal="center" wrapText="1"/>
    </xf>
    <xf numFmtId="14" fontId="26" fillId="0" borderId="50" xfId="66" applyNumberFormat="1" applyFont="1" applyFill="1" applyBorder="1" applyAlignment="1">
      <alignment horizontal="center" wrapText="1"/>
    </xf>
    <xf numFmtId="0" fontId="45" fillId="0" borderId="0" xfId="51" applyFont="1"/>
    <xf numFmtId="0" fontId="45" fillId="0" borderId="0" xfId="51" applyFont="1" applyAlignment="1">
      <alignment wrapText="1"/>
    </xf>
    <xf numFmtId="3" fontId="45" fillId="0" borderId="0" xfId="51" applyNumberFormat="1" applyFont="1"/>
    <xf numFmtId="0" fontId="46" fillId="0" borderId="0" xfId="51" applyFont="1" applyAlignment="1"/>
    <xf numFmtId="0" fontId="46" fillId="0" borderId="0" xfId="51" applyFont="1" applyAlignment="1">
      <alignment horizontal="center"/>
    </xf>
    <xf numFmtId="0" fontId="46" fillId="0" borderId="0" xfId="51" applyFont="1" applyAlignment="1">
      <alignment horizontal="center" wrapText="1"/>
    </xf>
    <xf numFmtId="3" fontId="45" fillId="0" borderId="0" xfId="51" applyNumberFormat="1" applyFont="1" applyAlignment="1">
      <alignment horizontal="right"/>
    </xf>
    <xf numFmtId="0" fontId="45" fillId="0" borderId="0" xfId="51" applyFont="1" applyFill="1" applyAlignment="1">
      <alignment horizontal="center"/>
    </xf>
    <xf numFmtId="0" fontId="45" fillId="0" borderId="0" xfId="51" applyFont="1" applyFill="1" applyAlignment="1">
      <alignment wrapText="1"/>
    </xf>
    <xf numFmtId="0" fontId="45" fillId="0" borderId="0" xfId="51" applyFont="1" applyFill="1"/>
    <xf numFmtId="0" fontId="46" fillId="0" borderId="0" xfId="51" applyFont="1" applyFill="1"/>
    <xf numFmtId="0" fontId="45" fillId="0" borderId="0" xfId="51" applyFont="1" applyFill="1" applyAlignment="1">
      <alignment horizontal="right"/>
    </xf>
    <xf numFmtId="0" fontId="46" fillId="0" borderId="10" xfId="51" applyFont="1" applyFill="1" applyBorder="1" applyAlignment="1">
      <alignment horizontal="center" vertical="center"/>
    </xf>
    <xf numFmtId="0" fontId="46" fillId="0" borderId="10" xfId="51" applyFont="1" applyFill="1" applyBorder="1" applyAlignment="1">
      <alignment horizontal="center" vertical="center" wrapText="1"/>
    </xf>
    <xf numFmtId="3" fontId="46" fillId="0" borderId="10" xfId="51" applyNumberFormat="1" applyFont="1" applyFill="1" applyBorder="1" applyAlignment="1">
      <alignment horizontal="center" vertical="center"/>
    </xf>
    <xf numFmtId="3" fontId="46" fillId="0" borderId="10" xfId="51" applyNumberFormat="1" applyFont="1" applyFill="1" applyBorder="1" applyAlignment="1">
      <alignment horizontal="right" vertical="center"/>
    </xf>
    <xf numFmtId="0" fontId="45" fillId="0" borderId="10" xfId="51" applyFont="1" applyFill="1" applyBorder="1" applyAlignment="1">
      <alignment horizontal="center"/>
    </xf>
    <xf numFmtId="0" fontId="45" fillId="0" borderId="10" xfId="51" applyFont="1" applyFill="1" applyBorder="1" applyAlignment="1">
      <alignment wrapText="1"/>
    </xf>
    <xf numFmtId="3" fontId="45" fillId="0" borderId="10" xfId="51" applyNumberFormat="1" applyFont="1" applyFill="1" applyBorder="1"/>
    <xf numFmtId="0" fontId="45" fillId="0" borderId="10" xfId="51" applyFont="1" applyFill="1" applyBorder="1"/>
    <xf numFmtId="3" fontId="58" fillId="0" borderId="10" xfId="51" applyNumberFormat="1" applyFont="1" applyFill="1" applyBorder="1"/>
    <xf numFmtId="0" fontId="46" fillId="0" borderId="10" xfId="51" applyFont="1" applyFill="1" applyBorder="1" applyAlignment="1">
      <alignment horizontal="right" wrapText="1"/>
    </xf>
    <xf numFmtId="0" fontId="46" fillId="0" borderId="0" xfId="51" applyFont="1" applyFill="1" applyAlignment="1">
      <alignment horizontal="right" wrapText="1"/>
    </xf>
    <xf numFmtId="3" fontId="58" fillId="0" borderId="0" xfId="51" applyNumberFormat="1" applyFont="1" applyFill="1"/>
    <xf numFmtId="0" fontId="46" fillId="0" borderId="0" xfId="51" applyFont="1"/>
    <xf numFmtId="0" fontId="45" fillId="0" borderId="0" xfId="51" applyFont="1" applyAlignment="1">
      <alignment horizontal="right"/>
    </xf>
    <xf numFmtId="3" fontId="46" fillId="0" borderId="10" xfId="51" applyNumberFormat="1" applyFont="1" applyFill="1" applyBorder="1"/>
    <xf numFmtId="0" fontId="46" fillId="0" borderId="0" xfId="63" applyFont="1" applyFill="1" applyAlignment="1">
      <alignment horizontal="center"/>
    </xf>
    <xf numFmtId="0" fontId="46" fillId="0" borderId="0" xfId="63" applyFont="1" applyFill="1" applyAlignment="1">
      <alignment horizontal="right"/>
    </xf>
    <xf numFmtId="3" fontId="39" fillId="0" borderId="10" xfId="63" applyNumberFormat="1" applyFill="1" applyBorder="1" applyAlignment="1">
      <alignment horizontal="center"/>
    </xf>
    <xf numFmtId="0" fontId="39" fillId="0" borderId="10" xfId="63" applyFill="1" applyBorder="1" applyAlignment="1">
      <alignment horizontal="right"/>
    </xf>
    <xf numFmtId="0" fontId="47" fillId="0" borderId="10" xfId="62" applyFont="1" applyFill="1" applyBorder="1"/>
    <xf numFmtId="0" fontId="50" fillId="0" borderId="10" xfId="62" applyFont="1" applyFill="1" applyBorder="1"/>
    <xf numFmtId="0" fontId="48" fillId="0" borderId="10" xfId="62" applyFont="1" applyFill="1" applyBorder="1"/>
    <xf numFmtId="0" fontId="48" fillId="0" borderId="10" xfId="62" applyFont="1" applyFill="1" applyBorder="1" applyAlignment="1">
      <alignment horizontal="left"/>
    </xf>
    <xf numFmtId="3" fontId="48" fillId="0" borderId="10" xfId="62" applyNumberFormat="1" applyFont="1" applyFill="1" applyBorder="1" applyAlignment="1">
      <alignment horizontal="right"/>
    </xf>
    <xf numFmtId="3" fontId="34" fillId="0" borderId="10" xfId="62" applyNumberFormat="1" applyFont="1" applyFill="1" applyBorder="1" applyAlignment="1">
      <alignment horizontal="right"/>
    </xf>
    <xf numFmtId="0" fontId="2" fillId="0" borderId="0" xfId="51" applyFill="1" applyAlignment="1">
      <alignment horizontal="right"/>
    </xf>
    <xf numFmtId="0" fontId="51" fillId="0" borderId="0" xfId="51" applyFont="1" applyFill="1" applyAlignment="1">
      <alignment horizontal="centerContinuous"/>
    </xf>
    <xf numFmtId="0" fontId="51" fillId="0" borderId="0" xfId="51" applyFont="1" applyFill="1" applyAlignment="1">
      <alignment horizontal="center"/>
    </xf>
    <xf numFmtId="0" fontId="51" fillId="0" borderId="36" xfId="51" applyFont="1" applyFill="1" applyBorder="1" applyAlignment="1"/>
    <xf numFmtId="0" fontId="51" fillId="0" borderId="10" xfId="51" applyFont="1" applyFill="1" applyBorder="1" applyAlignment="1">
      <alignment horizontal="center"/>
    </xf>
    <xf numFmtId="0" fontId="51" fillId="0" borderId="10" xfId="51" applyFont="1" applyFill="1" applyBorder="1" applyAlignment="1">
      <alignment horizontal="center" wrapText="1"/>
    </xf>
    <xf numFmtId="0" fontId="40" fillId="0" borderId="36" xfId="51" applyFont="1" applyFill="1" applyBorder="1" applyAlignment="1"/>
    <xf numFmtId="0" fontId="40" fillId="0" borderId="10" xfId="51" applyFont="1" applyFill="1" applyBorder="1" applyAlignment="1">
      <alignment horizontal="left"/>
    </xf>
    <xf numFmtId="3" fontId="40" fillId="0" borderId="10" xfId="51" applyNumberFormat="1" applyFont="1" applyFill="1" applyBorder="1" applyAlignment="1"/>
    <xf numFmtId="0" fontId="40" fillId="0" borderId="36" xfId="51" applyFont="1" applyFill="1" applyBorder="1" applyAlignment="1">
      <alignment wrapText="1"/>
    </xf>
    <xf numFmtId="0" fontId="40" fillId="0" borderId="10" xfId="51" applyFont="1" applyFill="1" applyBorder="1" applyAlignment="1">
      <alignment horizontal="left" wrapText="1"/>
    </xf>
    <xf numFmtId="3" fontId="40" fillId="0" borderId="10" xfId="51" applyNumberFormat="1" applyFont="1" applyFill="1" applyBorder="1" applyAlignment="1">
      <alignment wrapText="1"/>
    </xf>
    <xf numFmtId="0" fontId="55" fillId="0" borderId="0" xfId="51" applyFont="1" applyFill="1"/>
    <xf numFmtId="0" fontId="2" fillId="0" borderId="0" xfId="51" applyFill="1" applyAlignment="1">
      <alignment horizontal="left" wrapText="1"/>
    </xf>
    <xf numFmtId="0" fontId="53" fillId="0" borderId="0" xfId="51" applyFont="1" applyFill="1" applyAlignment="1">
      <alignment horizontal="left" wrapText="1"/>
    </xf>
    <xf numFmtId="0" fontId="53" fillId="0" borderId="0" xfId="51" applyFont="1" applyFill="1" applyAlignment="1">
      <alignment wrapText="1"/>
    </xf>
    <xf numFmtId="0" fontId="2" fillId="0" borderId="0" xfId="51" applyFont="1" applyFill="1" applyAlignment="1"/>
    <xf numFmtId="0" fontId="55" fillId="0" borderId="10" xfId="51" applyFont="1" applyFill="1" applyBorder="1"/>
    <xf numFmtId="0" fontId="2" fillId="0" borderId="10" xfId="51" applyFill="1" applyBorder="1"/>
    <xf numFmtId="0" fontId="2" fillId="0" borderId="10" xfId="51" applyFill="1" applyBorder="1" applyAlignment="1">
      <alignment wrapText="1"/>
    </xf>
    <xf numFmtId="0" fontId="2" fillId="0" borderId="10" xfId="51" quotePrefix="1" applyFill="1" applyBorder="1" applyAlignment="1">
      <alignment wrapText="1"/>
    </xf>
    <xf numFmtId="0" fontId="60" fillId="0" borderId="0" xfId="63" applyFont="1"/>
    <xf numFmtId="0" fontId="59" fillId="0" borderId="0" xfId="63" applyFont="1"/>
    <xf numFmtId="0" fontId="39" fillId="0" borderId="54" xfId="63" applyBorder="1"/>
    <xf numFmtId="0" fontId="39" fillId="0" borderId="55" xfId="63" applyBorder="1"/>
    <xf numFmtId="0" fontId="39" fillId="0" borderId="56" xfId="63" applyBorder="1"/>
    <xf numFmtId="0" fontId="39" fillId="0" borderId="57" xfId="63" applyBorder="1" applyAlignment="1">
      <alignment wrapText="1"/>
    </xf>
    <xf numFmtId="0" fontId="39" fillId="0" borderId="57" xfId="63" applyFont="1" applyBorder="1" applyAlignment="1">
      <alignment horizontal="center" wrapText="1"/>
    </xf>
    <xf numFmtId="0" fontId="39" fillId="0" borderId="57" xfId="63" applyFont="1" applyBorder="1" applyAlignment="1">
      <alignment wrapText="1"/>
    </xf>
    <xf numFmtId="0" fontId="46" fillId="0" borderId="58" xfId="63" applyFont="1" applyBorder="1"/>
    <xf numFmtId="0" fontId="61" fillId="0" borderId="61" xfId="63" applyFont="1" applyFill="1" applyBorder="1"/>
    <xf numFmtId="0" fontId="61" fillId="0" borderId="34" xfId="63" applyFont="1" applyFill="1" applyBorder="1"/>
    <xf numFmtId="0" fontId="61" fillId="0" borderId="13" xfId="63" applyFont="1" applyFill="1" applyBorder="1"/>
    <xf numFmtId="3" fontId="39" fillId="0" borderId="36" xfId="63" applyNumberFormat="1" applyFont="1" applyFill="1" applyBorder="1"/>
    <xf numFmtId="3" fontId="39" fillId="0" borderId="62" xfId="63" applyNumberFormat="1" applyFont="1" applyFill="1" applyBorder="1"/>
    <xf numFmtId="3" fontId="42" fillId="0" borderId="63" xfId="53" applyNumberFormat="1" applyFont="1" applyFill="1" applyBorder="1"/>
    <xf numFmtId="0" fontId="62" fillId="0" borderId="34" xfId="63" applyFont="1" applyFill="1" applyBorder="1"/>
    <xf numFmtId="0" fontId="62" fillId="0" borderId="13" xfId="63" applyFont="1" applyFill="1" applyBorder="1"/>
    <xf numFmtId="3" fontId="39" fillId="0" borderId="19" xfId="63" applyNumberFormat="1" applyFont="1" applyFill="1" applyBorder="1"/>
    <xf numFmtId="3" fontId="39" fillId="0" borderId="13" xfId="63" applyNumberFormat="1" applyFont="1" applyFill="1" applyBorder="1"/>
    <xf numFmtId="0" fontId="61" fillId="0" borderId="64" xfId="63" applyFont="1" applyFill="1" applyBorder="1"/>
    <xf numFmtId="0" fontId="61" fillId="0" borderId="65" xfId="63" applyFont="1" applyFill="1" applyBorder="1"/>
    <xf numFmtId="0" fontId="61" fillId="0" borderId="66" xfId="63" applyFont="1" applyFill="1" applyBorder="1"/>
    <xf numFmtId="3" fontId="39" fillId="0" borderId="67" xfId="63" applyNumberFormat="1" applyFont="1" applyFill="1" applyBorder="1"/>
    <xf numFmtId="3" fontId="39" fillId="0" borderId="68" xfId="63" applyNumberFormat="1" applyFont="1" applyFill="1" applyBorder="1"/>
    <xf numFmtId="3" fontId="39" fillId="0" borderId="69" xfId="63" applyNumberFormat="1" applyFont="1" applyFill="1" applyBorder="1"/>
    <xf numFmtId="3" fontId="39" fillId="0" borderId="66" xfId="63" applyNumberFormat="1" applyFont="1" applyFill="1" applyBorder="1"/>
    <xf numFmtId="3" fontId="39" fillId="0" borderId="70" xfId="63" applyNumberFormat="1" applyFont="1" applyFill="1" applyBorder="1"/>
    <xf numFmtId="3" fontId="39" fillId="0" borderId="74" xfId="63" applyNumberFormat="1" applyFont="1" applyFill="1" applyBorder="1"/>
    <xf numFmtId="3" fontId="39" fillId="0" borderId="75" xfId="63" applyNumberFormat="1" applyFont="1" applyFill="1" applyBorder="1"/>
    <xf numFmtId="3" fontId="39" fillId="0" borderId="73" xfId="63" applyNumberFormat="1" applyFont="1" applyFill="1" applyBorder="1"/>
    <xf numFmtId="0" fontId="40" fillId="0" borderId="0" xfId="51" applyFont="1" applyAlignment="1">
      <alignment horizontal="right"/>
    </xf>
    <xf numFmtId="3" fontId="40" fillId="0" borderId="0" xfId="51" applyNumberFormat="1" applyFont="1" applyAlignment="1">
      <alignment horizontal="right"/>
    </xf>
    <xf numFmtId="0" fontId="51" fillId="0" borderId="0" xfId="51" applyFont="1"/>
    <xf numFmtId="0" fontId="40" fillId="0" borderId="0" xfId="51" applyFont="1" applyAlignment="1">
      <alignment horizontal="center"/>
    </xf>
    <xf numFmtId="3" fontId="40" fillId="0" borderId="0" xfId="51" applyNumberFormat="1" applyFont="1" applyAlignment="1">
      <alignment horizontal="center"/>
    </xf>
    <xf numFmtId="3" fontId="40" fillId="0" borderId="0" xfId="51" applyNumberFormat="1" applyFont="1"/>
    <xf numFmtId="0" fontId="63" fillId="0" borderId="0" xfId="51" applyFont="1"/>
    <xf numFmtId="3" fontId="51" fillId="0" borderId="0" xfId="51" applyNumberFormat="1" applyFont="1"/>
    <xf numFmtId="3" fontId="40" fillId="0" borderId="0" xfId="51" applyNumberFormat="1" applyFont="1" applyFill="1"/>
    <xf numFmtId="0" fontId="40" fillId="0" borderId="0" xfId="51" quotePrefix="1" applyFont="1"/>
    <xf numFmtId="0" fontId="39" fillId="0" borderId="59" xfId="63" applyFill="1" applyBorder="1" applyAlignment="1">
      <alignment wrapText="1"/>
    </xf>
    <xf numFmtId="0" fontId="39" fillId="0" borderId="56" xfId="63" applyFill="1" applyBorder="1" applyAlignment="1">
      <alignment wrapText="1"/>
    </xf>
    <xf numFmtId="0" fontId="39" fillId="0" borderId="57" xfId="63" applyFill="1" applyBorder="1" applyAlignment="1">
      <alignment wrapText="1"/>
    </xf>
    <xf numFmtId="0" fontId="39" fillId="0" borderId="57" xfId="63" applyFill="1" applyBorder="1"/>
    <xf numFmtId="0" fontId="39" fillId="0" borderId="60" xfId="63" applyFont="1" applyFill="1" applyBorder="1"/>
    <xf numFmtId="0" fontId="39" fillId="0" borderId="0" xfId="66" applyFont="1"/>
    <xf numFmtId="0" fontId="39" fillId="0" borderId="0" xfId="66" applyFont="1" applyAlignment="1">
      <alignment wrapText="1"/>
    </xf>
    <xf numFmtId="0" fontId="39" fillId="0" borderId="0" xfId="66" applyFont="1" applyFill="1"/>
    <xf numFmtId="0" fontId="39" fillId="0" borderId="0" xfId="66" applyFont="1" applyAlignment="1"/>
    <xf numFmtId="0" fontId="58" fillId="0" borderId="0" xfId="66" applyFont="1" applyAlignment="1">
      <alignment horizontal="center"/>
    </xf>
    <xf numFmtId="0" fontId="58" fillId="0" borderId="0" xfId="66" applyFont="1" applyAlignment="1">
      <alignment wrapText="1"/>
    </xf>
    <xf numFmtId="0" fontId="58" fillId="0" borderId="0" xfId="66" applyFont="1"/>
    <xf numFmtId="0" fontId="58" fillId="0" borderId="0" xfId="66" applyFont="1" applyFill="1"/>
    <xf numFmtId="0" fontId="39" fillId="0" borderId="0" xfId="66" applyFont="1" applyAlignment="1">
      <alignment horizontal="right"/>
    </xf>
    <xf numFmtId="0" fontId="39" fillId="0" borderId="10" xfId="66" applyFont="1" applyBorder="1" applyAlignment="1">
      <alignment wrapText="1"/>
    </xf>
    <xf numFmtId="0" fontId="58" fillId="0" borderId="10" xfId="66" applyFont="1" applyBorder="1" applyAlignment="1">
      <alignment horizontal="center" wrapText="1"/>
    </xf>
    <xf numFmtId="0" fontId="58" fillId="0" borderId="10" xfId="66" applyFont="1" applyFill="1" applyBorder="1" applyAlignment="1">
      <alignment horizontal="center" wrapText="1"/>
    </xf>
    <xf numFmtId="0" fontId="29" fillId="0" borderId="36" xfId="67" applyFont="1" applyBorder="1" applyAlignment="1">
      <alignment horizontal="center" wrapText="1"/>
    </xf>
    <xf numFmtId="0" fontId="39" fillId="0" borderId="10" xfId="66" applyFont="1" applyFill="1" applyBorder="1" applyAlignment="1">
      <alignment vertical="center"/>
    </xf>
    <xf numFmtId="0" fontId="39" fillId="0" borderId="10" xfId="66" applyFont="1" applyFill="1" applyBorder="1" applyAlignment="1">
      <alignment vertical="center" wrapText="1"/>
    </xf>
    <xf numFmtId="0" fontId="39" fillId="0" borderId="10" xfId="66" applyFont="1" applyFill="1" applyBorder="1" applyAlignment="1">
      <alignment horizontal="center" vertical="center"/>
    </xf>
    <xf numFmtId="3" fontId="39" fillId="0" borderId="10" xfId="66" applyNumberFormat="1" applyFont="1" applyFill="1" applyBorder="1" applyAlignment="1">
      <alignment horizontal="right" vertical="center"/>
    </xf>
    <xf numFmtId="49" fontId="39" fillId="0" borderId="10" xfId="66" applyNumberFormat="1" applyFont="1" applyFill="1" applyBorder="1" applyAlignment="1">
      <alignment horizontal="center" vertical="center"/>
    </xf>
    <xf numFmtId="3" fontId="26" fillId="0" borderId="36" xfId="67" applyNumberFormat="1" applyFont="1" applyFill="1" applyBorder="1" applyAlignment="1">
      <alignment vertical="center"/>
    </xf>
    <xf numFmtId="3" fontId="26" fillId="0" borderId="10" xfId="67" applyNumberFormat="1" applyFont="1" applyFill="1" applyBorder="1" applyAlignment="1">
      <alignment vertical="center"/>
    </xf>
    <xf numFmtId="3" fontId="39" fillId="0" borderId="0" xfId="66" applyNumberFormat="1" applyFont="1"/>
    <xf numFmtId="3" fontId="39" fillId="0" borderId="36" xfId="66" applyNumberFormat="1" applyFont="1" applyFill="1" applyBorder="1" applyAlignment="1">
      <alignment horizontal="right" vertical="center"/>
    </xf>
    <xf numFmtId="3" fontId="39" fillId="0" borderId="10" xfId="66" applyNumberFormat="1" applyFont="1" applyFill="1" applyBorder="1" applyAlignment="1">
      <alignment vertical="center"/>
    </xf>
    <xf numFmtId="0" fontId="39" fillId="0" borderId="0" xfId="66" applyFont="1" applyBorder="1"/>
    <xf numFmtId="3" fontId="39" fillId="0" borderId="0" xfId="66" applyNumberFormat="1" applyFont="1" applyFill="1" applyBorder="1"/>
    <xf numFmtId="0" fontId="26" fillId="0" borderId="0" xfId="67" applyFont="1"/>
    <xf numFmtId="1" fontId="34" fillId="0" borderId="37" xfId="53" applyNumberFormat="1" applyFont="1" applyFill="1" applyBorder="1" applyAlignment="1">
      <alignment horizontal="center"/>
    </xf>
    <xf numFmtId="0" fontId="2" fillId="0" borderId="38" xfId="5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0" fontId="34" fillId="0" borderId="31" xfId="53" applyFont="1" applyFill="1" applyBorder="1" applyAlignment="1"/>
    <xf numFmtId="0" fontId="2" fillId="0" borderId="34" xfId="51" applyFill="1" applyBorder="1" applyAlignment="1"/>
    <xf numFmtId="0" fontId="2" fillId="0" borderId="35" xfId="51" applyFill="1" applyBorder="1" applyAlignment="1"/>
    <xf numFmtId="0" fontId="32" fillId="0" borderId="0" xfId="53" applyFont="1" applyFill="1" applyBorder="1" applyAlignment="1">
      <alignment horizontal="right"/>
    </xf>
    <xf numFmtId="0" fontId="32" fillId="0" borderId="76" xfId="53" applyFont="1" applyFill="1" applyBorder="1" applyAlignment="1">
      <alignment horizontal="right"/>
    </xf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22" fillId="0" borderId="0" xfId="59" applyFont="1" applyFill="1" applyAlignment="1">
      <alignment horizontal="center"/>
    </xf>
    <xf numFmtId="0" fontId="22" fillId="0" borderId="10" xfId="60" applyFont="1" applyFill="1" applyBorder="1" applyAlignment="1">
      <alignment horizontal="center"/>
    </xf>
    <xf numFmtId="0" fontId="21" fillId="0" borderId="10" xfId="60" applyFont="1" applyFill="1" applyBorder="1" applyAlignment="1">
      <alignment horizontal="center"/>
    </xf>
    <xf numFmtId="0" fontId="43" fillId="0" borderId="0" xfId="61" applyFont="1" applyAlignment="1">
      <alignment horizontal="center" wrapText="1"/>
    </xf>
    <xf numFmtId="0" fontId="41" fillId="0" borderId="0" xfId="51" applyFont="1" applyAlignment="1">
      <alignment horizontal="center" wrapText="1"/>
    </xf>
    <xf numFmtId="0" fontId="43" fillId="0" borderId="0" xfId="61" applyFont="1" applyFill="1" applyAlignment="1">
      <alignment horizontal="center" vertical="center" wrapText="1"/>
    </xf>
    <xf numFmtId="0" fontId="41" fillId="0" borderId="0" xfId="51" applyFont="1" applyFill="1" applyAlignment="1"/>
    <xf numFmtId="0" fontId="46" fillId="0" borderId="0" xfId="51" applyFont="1" applyAlignment="1">
      <alignment horizontal="center"/>
    </xf>
    <xf numFmtId="0" fontId="46" fillId="0" borderId="0" xfId="51" applyFont="1" applyFill="1" applyAlignment="1">
      <alignment horizontal="center"/>
    </xf>
    <xf numFmtId="0" fontId="46" fillId="0" borderId="48" xfId="51" applyFont="1" applyFill="1" applyBorder="1" applyAlignment="1">
      <alignment horizontal="center" vertical="center"/>
    </xf>
    <xf numFmtId="0" fontId="46" fillId="0" borderId="12" xfId="51" applyFont="1" applyFill="1" applyBorder="1" applyAlignment="1">
      <alignment horizontal="center" vertical="center"/>
    </xf>
    <xf numFmtId="0" fontId="46" fillId="0" borderId="48" xfId="51" applyFont="1" applyFill="1" applyBorder="1" applyAlignment="1">
      <alignment horizontal="center" vertical="center" wrapText="1"/>
    </xf>
    <xf numFmtId="0" fontId="46" fillId="0" borderId="12" xfId="51" applyFont="1" applyFill="1" applyBorder="1" applyAlignment="1">
      <alignment horizontal="center" vertical="center" wrapText="1"/>
    </xf>
    <xf numFmtId="0" fontId="58" fillId="0" borderId="10" xfId="51" applyFont="1" applyBorder="1" applyAlignment="1">
      <alignment horizontal="center"/>
    </xf>
    <xf numFmtId="3" fontId="46" fillId="0" borderId="48" xfId="51" applyNumberFormat="1" applyFont="1" applyFill="1" applyBorder="1" applyAlignment="1">
      <alignment horizontal="center" vertical="center"/>
    </xf>
    <xf numFmtId="3" fontId="46" fillId="0" borderId="12" xfId="51" applyNumberFormat="1" applyFont="1" applyFill="1" applyBorder="1" applyAlignment="1">
      <alignment horizontal="center" vertical="center"/>
    </xf>
    <xf numFmtId="0" fontId="58" fillId="0" borderId="0" xfId="66" applyFont="1" applyAlignment="1">
      <alignment horizontal="center"/>
    </xf>
    <xf numFmtId="3" fontId="26" fillId="0" borderId="0" xfId="66" applyNumberFormat="1" applyFont="1" applyFill="1" applyBorder="1" applyAlignment="1">
      <alignment horizontal="right"/>
    </xf>
    <xf numFmtId="0" fontId="55" fillId="0" borderId="0" xfId="51" applyFont="1" applyFill="1" applyAlignment="1">
      <alignment wrapText="1"/>
    </xf>
    <xf numFmtId="0" fontId="26" fillId="0" borderId="0" xfId="66" applyFont="1" applyFill="1" applyBorder="1" applyAlignment="1">
      <alignment horizontal="center"/>
    </xf>
    <xf numFmtId="0" fontId="29" fillId="0" borderId="44" xfId="66" applyFont="1" applyFill="1" applyBorder="1" applyAlignment="1">
      <alignment horizontal="center" vertical="center" wrapText="1"/>
    </xf>
    <xf numFmtId="0" fontId="29" fillId="0" borderId="46" xfId="66" applyFont="1" applyFill="1" applyBorder="1" applyAlignment="1">
      <alignment horizontal="center" vertical="center" wrapText="1"/>
    </xf>
    <xf numFmtId="49" fontId="29" fillId="0" borderId="44" xfId="66" applyNumberFormat="1" applyFont="1" applyFill="1" applyBorder="1" applyAlignment="1">
      <alignment horizontal="center" vertical="center" wrapText="1"/>
    </xf>
    <xf numFmtId="49" fontId="29" fillId="0" borderId="46" xfId="66" applyNumberFormat="1" applyFont="1" applyFill="1" applyBorder="1" applyAlignment="1">
      <alignment horizontal="center" vertical="center" wrapText="1"/>
    </xf>
    <xf numFmtId="0" fontId="29" fillId="0" borderId="44" xfId="66" applyFont="1" applyFill="1" applyBorder="1" applyAlignment="1">
      <alignment horizontal="center" wrapText="1"/>
    </xf>
    <xf numFmtId="0" fontId="29" fillId="0" borderId="46" xfId="66" applyFont="1" applyFill="1" applyBorder="1" applyAlignment="1">
      <alignment horizontal="center" wrapText="1"/>
    </xf>
    <xf numFmtId="0" fontId="29" fillId="0" borderId="44" xfId="66" applyNumberFormat="1" applyFont="1" applyFill="1" applyBorder="1" applyAlignment="1">
      <alignment horizontal="center" vertical="center" wrapText="1"/>
    </xf>
    <xf numFmtId="0" fontId="29" fillId="0" borderId="46" xfId="66" applyNumberFormat="1" applyFont="1" applyFill="1" applyBorder="1" applyAlignment="1">
      <alignment horizontal="center" vertical="center" wrapText="1"/>
    </xf>
    <xf numFmtId="0" fontId="29" fillId="0" borderId="45" xfId="66" applyNumberFormat="1" applyFont="1" applyFill="1" applyBorder="1" applyAlignment="1">
      <alignment horizontal="center" vertical="center" wrapText="1"/>
    </xf>
    <xf numFmtId="0" fontId="29" fillId="0" borderId="47" xfId="66" applyNumberFormat="1" applyFont="1" applyFill="1" applyBorder="1" applyAlignment="1">
      <alignment horizontal="center" vertical="center" wrapText="1"/>
    </xf>
    <xf numFmtId="3" fontId="2" fillId="0" borderId="0" xfId="51" applyNumberFormat="1" applyFont="1" applyAlignment="1"/>
    <xf numFmtId="0" fontId="2" fillId="0" borderId="0" xfId="51" applyAlignment="1"/>
    <xf numFmtId="0" fontId="29" fillId="0" borderId="33" xfId="66" applyFont="1" applyFill="1" applyBorder="1" applyAlignment="1">
      <alignment horizontal="right"/>
    </xf>
    <xf numFmtId="0" fontId="29" fillId="0" borderId="43" xfId="66" applyFont="1" applyFill="1" applyBorder="1" applyAlignment="1">
      <alignment horizontal="right"/>
    </xf>
    <xf numFmtId="0" fontId="29" fillId="0" borderId="52" xfId="66" applyFont="1" applyFill="1" applyBorder="1" applyAlignment="1">
      <alignment horizontal="right"/>
    </xf>
    <xf numFmtId="0" fontId="29" fillId="0" borderId="16" xfId="66" applyFont="1" applyFill="1" applyBorder="1" applyAlignment="1">
      <alignment horizontal="center" vertical="center" wrapText="1"/>
    </xf>
    <xf numFmtId="0" fontId="29" fillId="0" borderId="22" xfId="66" applyFont="1" applyFill="1" applyBorder="1" applyAlignment="1">
      <alignment horizontal="center" vertical="center" wrapText="1"/>
    </xf>
    <xf numFmtId="49" fontId="29" fillId="0" borderId="32" xfId="66" applyNumberFormat="1" applyFont="1" applyFill="1" applyBorder="1" applyAlignment="1">
      <alignment horizontal="center" vertical="center" wrapText="1"/>
    </xf>
    <xf numFmtId="49" fontId="29" fillId="0" borderId="41" xfId="66" applyNumberFormat="1" applyFont="1" applyFill="1" applyBorder="1" applyAlignment="1">
      <alignment horizontal="center" vertical="center" wrapText="1"/>
    </xf>
    <xf numFmtId="0" fontId="29" fillId="0" borderId="32" xfId="66" applyNumberFormat="1" applyFont="1" applyFill="1" applyBorder="1" applyAlignment="1">
      <alignment horizontal="center" vertical="center" wrapText="1"/>
    </xf>
    <xf numFmtId="0" fontId="29" fillId="0" borderId="41" xfId="66" applyNumberFormat="1" applyFont="1" applyFill="1" applyBorder="1" applyAlignment="1">
      <alignment horizontal="center" vertical="center" wrapText="1"/>
    </xf>
    <xf numFmtId="0" fontId="29" fillId="0" borderId="17" xfId="66" applyNumberFormat="1" applyFont="1" applyFill="1" applyBorder="1" applyAlignment="1">
      <alignment horizontal="center" vertical="center" wrapText="1"/>
    </xf>
    <xf numFmtId="0" fontId="29" fillId="0" borderId="24" xfId="66" applyNumberFormat="1" applyFont="1" applyFill="1" applyBorder="1" applyAlignment="1">
      <alignment horizontal="center" vertical="center" wrapText="1"/>
    </xf>
    <xf numFmtId="0" fontId="48" fillId="0" borderId="0" xfId="62" applyFont="1" applyAlignment="1">
      <alignment horizontal="center"/>
    </xf>
    <xf numFmtId="3" fontId="47" fillId="0" borderId="0" xfId="62" applyNumberFormat="1" applyFont="1" applyAlignment="1">
      <alignment horizontal="right"/>
    </xf>
    <xf numFmtId="0" fontId="2" fillId="0" borderId="0" xfId="51" applyFont="1" applyFill="1" applyAlignment="1">
      <alignment horizontal="right"/>
    </xf>
    <xf numFmtId="0" fontId="2" fillId="0" borderId="0" xfId="51" applyFill="1" applyAlignment="1">
      <alignment horizontal="left" wrapText="1"/>
    </xf>
    <xf numFmtId="0" fontId="2" fillId="0" borderId="0" xfId="51" applyFont="1" applyFill="1" applyAlignment="1">
      <alignment horizontal="left" wrapText="1"/>
    </xf>
    <xf numFmtId="0" fontId="53" fillId="0" borderId="0" xfId="51" applyFont="1" applyFill="1" applyAlignment="1">
      <alignment horizontal="left" wrapText="1"/>
    </xf>
    <xf numFmtId="0" fontId="46" fillId="0" borderId="0" xfId="63" applyFont="1" applyFill="1" applyAlignment="1">
      <alignment horizontal="center"/>
    </xf>
    <xf numFmtId="0" fontId="39" fillId="0" borderId="0" xfId="63" applyFont="1" applyFill="1" applyAlignment="1">
      <alignment horizontal="right"/>
    </xf>
    <xf numFmtId="0" fontId="59" fillId="0" borderId="0" xfId="63" applyFont="1" applyAlignment="1">
      <alignment horizontal="center"/>
    </xf>
    <xf numFmtId="0" fontId="58" fillId="0" borderId="71" xfId="63" applyFont="1" applyFill="1" applyBorder="1"/>
    <xf numFmtId="0" fontId="58" fillId="0" borderId="72" xfId="63" applyFont="1" applyFill="1" applyBorder="1"/>
    <xf numFmtId="0" fontId="58" fillId="0" borderId="73" xfId="63" applyFont="1" applyFill="1" applyBorder="1"/>
    <xf numFmtId="0" fontId="39" fillId="0" borderId="0" xfId="63" applyFont="1" applyAlignment="1">
      <alignment horizontal="right"/>
    </xf>
    <xf numFmtId="0" fontId="40" fillId="0" borderId="0" xfId="51" applyFont="1" applyAlignment="1">
      <alignment horizontal="right"/>
    </xf>
    <xf numFmtId="0" fontId="51" fillId="0" borderId="0" xfId="51" applyFont="1" applyAlignment="1">
      <alignment horizontal="center"/>
    </xf>
    <xf numFmtId="0" fontId="51" fillId="0" borderId="0" xfId="65" applyFont="1" applyFill="1" applyBorder="1" applyAlignment="1">
      <alignment horizontal="right"/>
    </xf>
    <xf numFmtId="0" fontId="28" fillId="0" borderId="0" xfId="65" applyFont="1" applyFill="1" applyBorder="1" applyAlignment="1">
      <alignment horizontal="center"/>
    </xf>
    <xf numFmtId="0" fontId="51" fillId="0" borderId="0" xfId="65" applyFont="1" applyFill="1" applyBorder="1" applyAlignment="1">
      <alignment horizontal="center"/>
    </xf>
    <xf numFmtId="0" fontId="28" fillId="0" borderId="0" xfId="65" applyFont="1" applyFill="1" applyBorder="1" applyAlignment="1">
      <alignment horizontal="right"/>
    </xf>
  </cellXfs>
  <cellStyles count="68">
    <cellStyle name="20% - 1. jelölőszín" xfId="1" builtinId="30" customBuiltin="1"/>
    <cellStyle name="20% - 1. jelölőszín 2" xfId="2"/>
    <cellStyle name="20% - 2. jelölőszín" xfId="3" builtinId="34" customBuiltin="1"/>
    <cellStyle name="20% - 2. jelölőszín 2" xfId="4"/>
    <cellStyle name="20% - 3. jelölőszín" xfId="5" builtinId="38" customBuiltin="1"/>
    <cellStyle name="20% - 3. jelölőszín 2" xfId="6"/>
    <cellStyle name="20% - 4. jelölőszín" xfId="7" builtinId="42" customBuiltin="1"/>
    <cellStyle name="20% - 4. jelölőszín 2" xfId="8"/>
    <cellStyle name="20% - 5. jelölőszín" xfId="9" builtinId="46" customBuiltin="1"/>
    <cellStyle name="20% - 5. jelölőszín 2" xfId="10"/>
    <cellStyle name="20% - 6. jelölőszín" xfId="11" builtinId="50" customBuiltin="1"/>
    <cellStyle name="20% - 6. jelölőszín 2" xfId="12"/>
    <cellStyle name="40% - 1. jelölőszín" xfId="13" builtinId="31" customBuiltin="1"/>
    <cellStyle name="40% - 1. jelölőszín 2" xfId="14"/>
    <cellStyle name="40% - 2. jelölőszín" xfId="15" builtinId="35" customBuiltin="1"/>
    <cellStyle name="40% - 2. jelölőszín 2" xfId="16"/>
    <cellStyle name="40% - 3. jelölőszín" xfId="17" builtinId="39" customBuiltin="1"/>
    <cellStyle name="40% - 3. jelölőszín 2" xfId="18"/>
    <cellStyle name="40% - 4. jelölőszín" xfId="19" builtinId="43" customBuiltin="1"/>
    <cellStyle name="40% - 4. jelölőszín 2" xfId="20"/>
    <cellStyle name="40% - 5. jelölőszín" xfId="21" builtinId="47" customBuiltin="1"/>
    <cellStyle name="40% - 5. jelölőszín 2" xfId="22"/>
    <cellStyle name="40% - 6. jelölőszín" xfId="23" builtinId="51" customBuiltin="1"/>
    <cellStyle name="40% - 6. jelölőszín 2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/>
    <cellStyle name="Normál 2 2" xfId="51"/>
    <cellStyle name="Normál 3" xfId="52"/>
    <cellStyle name="Normál_2005. 4. számú melléklet" xfId="61"/>
    <cellStyle name="Normál_2005. 6.számú melléklet" xfId="62"/>
    <cellStyle name="Normál_2005.11.sz.melléklet_10.sz.mell-2012 évi ktgvetés-12.01.24 Bea" xfId="65"/>
    <cellStyle name="Normál_2006 Zárszámadási rendelet 1,2,3,4,5,6,8,9,10,11,12,13,14,15 sz. mellékletei" xfId="67"/>
    <cellStyle name="Normál_2009. ktv.rendelet" xfId="53"/>
    <cellStyle name="Normál_3. sz. melléklet létszám" xfId="59"/>
    <cellStyle name="Normál_koltsegvetes_melleklet" xfId="60"/>
    <cellStyle name="Normál_költségvetési rendelet 3 4 5 5b 5c 6 9 9a 11 16a 16b mellékletei" xfId="63"/>
    <cellStyle name="Normál_költségvetési rendelet 3,4,5,5b,5c,6,9,9a,11,16a,16b mellékletei-2008-3" xfId="66"/>
    <cellStyle name="Normal_KTRSZJ" xfId="54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1"/>
  <sheetViews>
    <sheetView tabSelected="1" view="pageBreakPreview" zoomScale="75" zoomScaleNormal="75" zoomScaleSheetLayoutView="75" workbookViewId="0">
      <pane ySplit="7" topLeftCell="A8" activePane="bottomLeft" state="frozen"/>
      <selection activeCell="K243" sqref="K243"/>
      <selection pane="bottomLeft" sqref="A1:G1"/>
    </sheetView>
  </sheetViews>
  <sheetFormatPr defaultRowHeight="16.5" x14ac:dyDescent="0.25"/>
  <cols>
    <col min="1" max="1" width="5.42578125" style="7" customWidth="1"/>
    <col min="2" max="2" width="7.28515625" style="8" customWidth="1"/>
    <col min="3" max="3" width="61.28515625" style="31" customWidth="1"/>
    <col min="4" max="4" width="10.5703125" style="10" customWidth="1"/>
    <col min="5" max="5" width="10.42578125" style="10" customWidth="1"/>
    <col min="6" max="7" width="9.140625" style="10"/>
    <col min="8" max="16384" width="9.140625" style="9"/>
  </cols>
  <sheetData>
    <row r="1" spans="1:8" s="12" customFormat="1" x14ac:dyDescent="0.25">
      <c r="A1" s="577" t="s">
        <v>1006</v>
      </c>
      <c r="B1" s="577"/>
      <c r="C1" s="577"/>
      <c r="D1" s="577"/>
      <c r="E1" s="577"/>
      <c r="F1" s="577"/>
      <c r="G1" s="578"/>
    </row>
    <row r="2" spans="1:8" s="12" customFormat="1" x14ac:dyDescent="0.25">
      <c r="A2" s="209"/>
      <c r="B2" s="210"/>
      <c r="C2" s="210"/>
      <c r="D2" s="210"/>
      <c r="E2" s="210"/>
      <c r="F2" s="210"/>
      <c r="G2" s="210"/>
    </row>
    <row r="3" spans="1:8" s="10" customFormat="1" x14ac:dyDescent="0.25">
      <c r="A3" s="211"/>
      <c r="B3" s="211"/>
      <c r="C3" s="211" t="s">
        <v>8</v>
      </c>
      <c r="D3" s="209"/>
      <c r="E3" s="209"/>
      <c r="F3" s="209"/>
      <c r="G3" s="209"/>
    </row>
    <row r="4" spans="1:8" s="10" customFormat="1" ht="17.25" thickBot="1" x14ac:dyDescent="0.3">
      <c r="A4" s="212"/>
      <c r="B4" s="212"/>
      <c r="C4" s="212" t="s">
        <v>498</v>
      </c>
      <c r="D4" s="213"/>
      <c r="E4" s="213"/>
      <c r="F4" s="213"/>
      <c r="G4" s="213"/>
    </row>
    <row r="5" spans="1:8" s="10" customFormat="1" ht="17.25" thickBot="1" x14ac:dyDescent="0.3">
      <c r="A5" s="214"/>
      <c r="B5" s="215"/>
      <c r="C5" s="216"/>
      <c r="D5" s="571" t="s">
        <v>156</v>
      </c>
      <c r="E5" s="572"/>
      <c r="F5" s="572"/>
      <c r="G5" s="573"/>
    </row>
    <row r="6" spans="1:8" s="10" customFormat="1" ht="45.75" thickBot="1" x14ac:dyDescent="0.3">
      <c r="A6" s="47"/>
      <c r="B6" s="59"/>
      <c r="C6" s="217"/>
      <c r="D6" s="218" t="s">
        <v>31</v>
      </c>
      <c r="E6" s="219" t="s">
        <v>51</v>
      </c>
      <c r="F6" s="220" t="s">
        <v>52</v>
      </c>
      <c r="G6" s="221" t="s">
        <v>53</v>
      </c>
    </row>
    <row r="7" spans="1:8" s="10" customFormat="1" x14ac:dyDescent="0.25">
      <c r="A7" s="223" t="s">
        <v>9</v>
      </c>
      <c r="B7" s="318" t="s">
        <v>10</v>
      </c>
      <c r="C7" s="319" t="s">
        <v>11</v>
      </c>
      <c r="D7" s="223"/>
      <c r="E7" s="224"/>
      <c r="F7" s="224"/>
      <c r="G7" s="225"/>
      <c r="H7" s="7"/>
    </row>
    <row r="8" spans="1:8" s="10" customFormat="1" x14ac:dyDescent="0.25">
      <c r="A8" s="24"/>
      <c r="B8" s="25"/>
      <c r="C8" s="26"/>
      <c r="D8" s="24"/>
      <c r="E8" s="31"/>
      <c r="F8" s="31"/>
      <c r="G8" s="32"/>
      <c r="H8" s="7"/>
    </row>
    <row r="9" spans="1:8" s="10" customFormat="1" x14ac:dyDescent="0.25">
      <c r="A9" s="27">
        <v>101</v>
      </c>
      <c r="B9" s="25"/>
      <c r="C9" s="62" t="s">
        <v>513</v>
      </c>
      <c r="D9" s="27"/>
      <c r="E9" s="34"/>
      <c r="F9" s="34"/>
      <c r="G9" s="103"/>
      <c r="H9" s="7"/>
    </row>
    <row r="10" spans="1:8" s="10" customFormat="1" x14ac:dyDescent="0.25">
      <c r="A10" s="27"/>
      <c r="B10" s="25" t="s">
        <v>12</v>
      </c>
      <c r="C10" s="26" t="s">
        <v>125</v>
      </c>
      <c r="D10" s="24"/>
      <c r="E10" s="31"/>
      <c r="F10" s="31"/>
      <c r="G10" s="32"/>
      <c r="H10" s="7"/>
    </row>
    <row r="11" spans="1:8" s="10" customFormat="1" x14ac:dyDescent="0.25">
      <c r="A11" s="27"/>
      <c r="B11" s="25"/>
      <c r="C11" s="26" t="s">
        <v>6</v>
      </c>
      <c r="D11" s="35">
        <v>3500</v>
      </c>
      <c r="E11" s="30">
        <v>3500</v>
      </c>
      <c r="F11" s="30"/>
      <c r="G11" s="100"/>
      <c r="H11" s="7"/>
    </row>
    <row r="12" spans="1:8" s="10" customFormat="1" x14ac:dyDescent="0.25">
      <c r="A12" s="27"/>
      <c r="B12" s="25"/>
      <c r="C12" s="26" t="s">
        <v>76</v>
      </c>
      <c r="D12" s="35">
        <v>5200</v>
      </c>
      <c r="E12" s="30">
        <v>5200</v>
      </c>
      <c r="F12" s="30"/>
      <c r="G12" s="100"/>
      <c r="H12" s="7"/>
    </row>
    <row r="13" spans="1:8" s="10" customFormat="1" x14ac:dyDescent="0.25">
      <c r="A13" s="27"/>
      <c r="B13" s="25"/>
      <c r="C13" s="38" t="s">
        <v>32</v>
      </c>
      <c r="D13" s="39">
        <f t="shared" ref="D13:G13" si="0">SUM(D11:D12)</f>
        <v>8700</v>
      </c>
      <c r="E13" s="40">
        <f t="shared" si="0"/>
        <v>8700</v>
      </c>
      <c r="F13" s="40">
        <f t="shared" si="0"/>
        <v>0</v>
      </c>
      <c r="G13" s="101">
        <f t="shared" si="0"/>
        <v>0</v>
      </c>
      <c r="H13" s="7"/>
    </row>
    <row r="14" spans="1:8" s="10" customFormat="1" x14ac:dyDescent="0.25">
      <c r="A14" s="27"/>
      <c r="B14" s="25" t="s">
        <v>83</v>
      </c>
      <c r="C14" s="26" t="s">
        <v>42</v>
      </c>
      <c r="D14" s="35">
        <v>0</v>
      </c>
      <c r="E14" s="30">
        <v>0</v>
      </c>
      <c r="F14" s="30">
        <v>0</v>
      </c>
      <c r="G14" s="100">
        <v>0</v>
      </c>
      <c r="H14" s="7"/>
    </row>
    <row r="15" spans="1:8" s="10" customFormat="1" x14ac:dyDescent="0.25">
      <c r="A15" s="24"/>
      <c r="B15" s="25"/>
      <c r="C15" s="29" t="s">
        <v>14</v>
      </c>
      <c r="D15" s="226">
        <f>D13+D14</f>
        <v>8700</v>
      </c>
      <c r="E15" s="33">
        <f t="shared" ref="E15:G15" si="1">E13+E14</f>
        <v>8700</v>
      </c>
      <c r="F15" s="33">
        <f t="shared" si="1"/>
        <v>0</v>
      </c>
      <c r="G15" s="227">
        <f t="shared" si="1"/>
        <v>0</v>
      </c>
      <c r="H15" s="7"/>
    </row>
    <row r="16" spans="1:8" s="21" customFormat="1" x14ac:dyDescent="0.25">
      <c r="A16" s="24"/>
      <c r="B16" s="28"/>
      <c r="C16" s="26"/>
      <c r="D16" s="24"/>
      <c r="E16" s="31"/>
      <c r="F16" s="31"/>
      <c r="G16" s="32"/>
      <c r="H16" s="320"/>
    </row>
    <row r="17" spans="1:8" s="10" customFormat="1" x14ac:dyDescent="0.25">
      <c r="A17" s="27">
        <v>102</v>
      </c>
      <c r="B17" s="25"/>
      <c r="C17" s="29" t="s">
        <v>55</v>
      </c>
      <c r="D17" s="27"/>
      <c r="E17" s="34"/>
      <c r="F17" s="34"/>
      <c r="G17" s="103"/>
      <c r="H17" s="7"/>
    </row>
    <row r="18" spans="1:8" s="10" customFormat="1" x14ac:dyDescent="0.25">
      <c r="A18" s="27"/>
      <c r="B18" s="25" t="s">
        <v>12</v>
      </c>
      <c r="C18" s="26" t="s">
        <v>125</v>
      </c>
      <c r="D18" s="35">
        <v>85000</v>
      </c>
      <c r="E18" s="30">
        <v>85000</v>
      </c>
      <c r="F18" s="30"/>
      <c r="G18" s="100"/>
      <c r="H18" s="7"/>
    </row>
    <row r="19" spans="1:8" s="10" customFormat="1" x14ac:dyDescent="0.25">
      <c r="A19" s="27"/>
      <c r="B19" s="25" t="s">
        <v>83</v>
      </c>
      <c r="C19" s="26" t="s">
        <v>42</v>
      </c>
      <c r="D19" s="35">
        <v>0</v>
      </c>
      <c r="E19" s="30">
        <v>0</v>
      </c>
      <c r="F19" s="30">
        <v>0</v>
      </c>
      <c r="G19" s="100">
        <v>0</v>
      </c>
      <c r="H19" s="7"/>
    </row>
    <row r="20" spans="1:8" s="10" customFormat="1" x14ac:dyDescent="0.25">
      <c r="A20" s="24"/>
      <c r="B20" s="25"/>
      <c r="C20" s="29" t="s">
        <v>36</v>
      </c>
      <c r="D20" s="226">
        <f>D18+D19</f>
        <v>85000</v>
      </c>
      <c r="E20" s="33">
        <f t="shared" ref="E20:G20" si="2">E18+E19</f>
        <v>85000</v>
      </c>
      <c r="F20" s="33">
        <f t="shared" si="2"/>
        <v>0</v>
      </c>
      <c r="G20" s="227">
        <f t="shared" si="2"/>
        <v>0</v>
      </c>
      <c r="H20" s="7"/>
    </row>
    <row r="21" spans="1:8" s="21" customFormat="1" x14ac:dyDescent="0.25">
      <c r="A21" s="24"/>
      <c r="B21" s="28"/>
      <c r="C21" s="26" t="s">
        <v>7</v>
      </c>
      <c r="D21" s="24"/>
      <c r="E21" s="31"/>
      <c r="F21" s="31"/>
      <c r="G21" s="32"/>
      <c r="H21" s="320"/>
    </row>
    <row r="22" spans="1:8" s="10" customFormat="1" x14ac:dyDescent="0.25">
      <c r="A22" s="27">
        <v>103</v>
      </c>
      <c r="B22" s="25"/>
      <c r="C22" s="29" t="s">
        <v>269</v>
      </c>
      <c r="D22" s="27"/>
      <c r="E22" s="34"/>
      <c r="F22" s="34"/>
      <c r="G22" s="103"/>
      <c r="H22" s="7"/>
    </row>
    <row r="23" spans="1:8" s="10" customFormat="1" x14ac:dyDescent="0.25">
      <c r="A23" s="24"/>
      <c r="B23" s="25" t="s">
        <v>12</v>
      </c>
      <c r="C23" s="26" t="s">
        <v>125</v>
      </c>
      <c r="D23" s="35">
        <v>2500</v>
      </c>
      <c r="E23" s="30">
        <v>2500</v>
      </c>
      <c r="F23" s="30"/>
      <c r="G23" s="100"/>
      <c r="H23" s="7"/>
    </row>
    <row r="24" spans="1:8" s="10" customFormat="1" x14ac:dyDescent="0.25">
      <c r="A24" s="27"/>
      <c r="B24" s="25" t="s">
        <v>83</v>
      </c>
      <c r="C24" s="26" t="s">
        <v>42</v>
      </c>
      <c r="D24" s="35">
        <v>0</v>
      </c>
      <c r="E24" s="30">
        <v>0</v>
      </c>
      <c r="F24" s="30">
        <v>0</v>
      </c>
      <c r="G24" s="100">
        <v>0</v>
      </c>
      <c r="H24" s="7"/>
    </row>
    <row r="25" spans="1:8" s="10" customFormat="1" x14ac:dyDescent="0.25">
      <c r="A25" s="24"/>
      <c r="B25" s="25"/>
      <c r="C25" s="29" t="s">
        <v>24</v>
      </c>
      <c r="D25" s="226">
        <f>D23+D24</f>
        <v>2500</v>
      </c>
      <c r="E25" s="33">
        <f>E23+E24</f>
        <v>2500</v>
      </c>
      <c r="F25" s="33">
        <f>F23+F24</f>
        <v>0</v>
      </c>
      <c r="G25" s="227">
        <f>G23+G24</f>
        <v>0</v>
      </c>
      <c r="H25" s="7"/>
    </row>
    <row r="26" spans="1:8" s="10" customFormat="1" ht="17.25" customHeight="1" x14ac:dyDescent="0.25">
      <c r="A26" s="24"/>
      <c r="B26" s="25"/>
      <c r="C26" s="26"/>
      <c r="D26" s="24"/>
      <c r="E26" s="31"/>
      <c r="F26" s="31"/>
      <c r="G26" s="32"/>
      <c r="H26" s="7"/>
    </row>
    <row r="27" spans="1:8" s="10" customFormat="1" ht="29.25" customHeight="1" x14ac:dyDescent="0.25">
      <c r="A27" s="27"/>
      <c r="B27" s="28"/>
      <c r="C27" s="29" t="s">
        <v>515</v>
      </c>
      <c r="D27" s="226">
        <f>D15+D20+D25</f>
        <v>96200</v>
      </c>
      <c r="E27" s="33">
        <f>E15+E20+E25</f>
        <v>96200</v>
      </c>
      <c r="F27" s="33">
        <f>F15+F20+F25</f>
        <v>0</v>
      </c>
      <c r="G27" s="227">
        <f>G15+G20+G25</f>
        <v>0</v>
      </c>
      <c r="H27" s="7"/>
    </row>
    <row r="28" spans="1:8" s="10" customFormat="1" x14ac:dyDescent="0.25">
      <c r="A28" s="24"/>
      <c r="B28" s="25"/>
      <c r="C28" s="26"/>
      <c r="D28" s="24"/>
      <c r="E28" s="31"/>
      <c r="F28" s="31"/>
      <c r="G28" s="32"/>
      <c r="H28" s="7"/>
    </row>
    <row r="29" spans="1:8" s="10" customFormat="1" x14ac:dyDescent="0.25">
      <c r="A29" s="228">
        <v>104</v>
      </c>
      <c r="B29" s="42"/>
      <c r="C29" s="29" t="s">
        <v>56</v>
      </c>
      <c r="D29" s="79"/>
      <c r="E29" s="33"/>
      <c r="F29" s="33"/>
      <c r="G29" s="99"/>
      <c r="H29" s="7"/>
    </row>
    <row r="30" spans="1:8" s="10" customFormat="1" x14ac:dyDescent="0.25">
      <c r="A30" s="27"/>
      <c r="B30" s="25" t="s">
        <v>12</v>
      </c>
      <c r="C30" s="26" t="s">
        <v>125</v>
      </c>
      <c r="D30" s="35"/>
      <c r="E30" s="30"/>
      <c r="F30" s="30"/>
      <c r="G30" s="100"/>
      <c r="H30" s="7"/>
    </row>
    <row r="31" spans="1:8" s="10" customFormat="1" x14ac:dyDescent="0.25">
      <c r="A31" s="27"/>
      <c r="B31" s="25"/>
      <c r="C31" s="26" t="s">
        <v>126</v>
      </c>
      <c r="D31" s="35">
        <v>8000</v>
      </c>
      <c r="E31" s="30">
        <v>8000</v>
      </c>
      <c r="F31" s="30"/>
      <c r="G31" s="100"/>
      <c r="H31" s="7"/>
    </row>
    <row r="32" spans="1:8" s="10" customFormat="1" x14ac:dyDescent="0.25">
      <c r="A32" s="27"/>
      <c r="B32" s="25"/>
      <c r="C32" s="26" t="s">
        <v>127</v>
      </c>
      <c r="D32" s="35">
        <v>0</v>
      </c>
      <c r="E32" s="30">
        <v>0</v>
      </c>
      <c r="F32" s="30"/>
      <c r="G32" s="100"/>
      <c r="H32" s="7"/>
    </row>
    <row r="33" spans="1:8" s="22" customFormat="1" x14ac:dyDescent="0.25">
      <c r="A33" s="36"/>
      <c r="B33" s="37"/>
      <c r="C33" s="38" t="s">
        <v>32</v>
      </c>
      <c r="D33" s="39">
        <f t="shared" ref="D33:G33" si="3">SUM(D31:D32)</f>
        <v>8000</v>
      </c>
      <c r="E33" s="40">
        <f t="shared" si="3"/>
        <v>8000</v>
      </c>
      <c r="F33" s="40">
        <f t="shared" si="3"/>
        <v>0</v>
      </c>
      <c r="G33" s="101">
        <f t="shared" si="3"/>
        <v>0</v>
      </c>
      <c r="H33" s="299"/>
    </row>
    <row r="34" spans="1:8" s="10" customFormat="1" x14ac:dyDescent="0.25">
      <c r="A34" s="27"/>
      <c r="B34" s="25" t="s">
        <v>83</v>
      </c>
      <c r="C34" s="26" t="s">
        <v>42</v>
      </c>
      <c r="D34" s="35"/>
      <c r="E34" s="30"/>
      <c r="F34" s="30"/>
      <c r="G34" s="100"/>
      <c r="H34" s="7"/>
    </row>
    <row r="35" spans="1:8" s="10" customFormat="1" x14ac:dyDescent="0.25">
      <c r="A35" s="27"/>
      <c r="B35" s="25"/>
      <c r="C35" s="26" t="s">
        <v>67</v>
      </c>
      <c r="D35" s="35"/>
      <c r="E35" s="30"/>
      <c r="F35" s="30"/>
      <c r="G35" s="100"/>
      <c r="H35" s="7"/>
    </row>
    <row r="36" spans="1:8" s="10" customFormat="1" x14ac:dyDescent="0.25">
      <c r="A36" s="27"/>
      <c r="B36" s="25"/>
      <c r="C36" s="26" t="s">
        <v>200</v>
      </c>
      <c r="D36" s="35">
        <v>5369</v>
      </c>
      <c r="E36" s="30">
        <v>5369</v>
      </c>
      <c r="F36" s="30"/>
      <c r="G36" s="100"/>
      <c r="H36" s="7"/>
    </row>
    <row r="37" spans="1:8" s="22" customFormat="1" x14ac:dyDescent="0.25">
      <c r="A37" s="36"/>
      <c r="B37" s="37"/>
      <c r="C37" s="38" t="s">
        <v>32</v>
      </c>
      <c r="D37" s="87">
        <f t="shared" ref="D37:G37" si="4">SUM(D36:D36)</f>
        <v>5369</v>
      </c>
      <c r="E37" s="40">
        <f t="shared" si="4"/>
        <v>5369</v>
      </c>
      <c r="F37" s="40">
        <f t="shared" si="4"/>
        <v>0</v>
      </c>
      <c r="G37" s="104">
        <f t="shared" si="4"/>
        <v>0</v>
      </c>
      <c r="H37" s="299"/>
    </row>
    <row r="38" spans="1:8" s="10" customFormat="1" x14ac:dyDescent="0.25">
      <c r="A38" s="27"/>
      <c r="B38" s="25"/>
      <c r="C38" s="29" t="s">
        <v>57</v>
      </c>
      <c r="D38" s="226">
        <f t="shared" ref="D38:G38" si="5">D33+D37</f>
        <v>13369</v>
      </c>
      <c r="E38" s="33">
        <f t="shared" si="5"/>
        <v>13369</v>
      </c>
      <c r="F38" s="33">
        <f t="shared" si="5"/>
        <v>0</v>
      </c>
      <c r="G38" s="227">
        <f t="shared" si="5"/>
        <v>0</v>
      </c>
      <c r="H38" s="7"/>
    </row>
    <row r="39" spans="1:8" s="10" customFormat="1" x14ac:dyDescent="0.25">
      <c r="A39" s="24"/>
      <c r="B39" s="25"/>
      <c r="C39" s="26"/>
      <c r="D39" s="24"/>
      <c r="E39" s="31"/>
      <c r="F39" s="31"/>
      <c r="G39" s="32"/>
      <c r="H39" s="7"/>
    </row>
    <row r="40" spans="1:8" s="21" customFormat="1" x14ac:dyDescent="0.25">
      <c r="A40" s="27">
        <v>105</v>
      </c>
      <c r="B40" s="28"/>
      <c r="C40" s="62" t="s">
        <v>38</v>
      </c>
      <c r="D40" s="229"/>
      <c r="E40" s="230"/>
      <c r="F40" s="230"/>
      <c r="G40" s="231"/>
      <c r="H40" s="320"/>
    </row>
    <row r="41" spans="1:8" s="10" customFormat="1" x14ac:dyDescent="0.25">
      <c r="A41" s="24"/>
      <c r="B41" s="25" t="s">
        <v>12</v>
      </c>
      <c r="C41" s="26" t="s">
        <v>125</v>
      </c>
      <c r="D41" s="80"/>
      <c r="E41" s="53"/>
      <c r="F41" s="53"/>
      <c r="G41" s="107"/>
      <c r="H41" s="7"/>
    </row>
    <row r="42" spans="1:8" s="10" customFormat="1" ht="30" x14ac:dyDescent="0.25">
      <c r="A42" s="24"/>
      <c r="B42" s="25"/>
      <c r="C42" s="45" t="s">
        <v>128</v>
      </c>
      <c r="D42" s="80">
        <v>5000</v>
      </c>
      <c r="E42" s="53">
        <v>5000</v>
      </c>
      <c r="F42" s="53"/>
      <c r="G42" s="107"/>
      <c r="H42" s="7"/>
    </row>
    <row r="43" spans="1:8" s="10" customFormat="1" ht="30" x14ac:dyDescent="0.25">
      <c r="A43" s="24"/>
      <c r="B43" s="25"/>
      <c r="C43" s="45" t="s">
        <v>129</v>
      </c>
      <c r="D43" s="80">
        <v>9000</v>
      </c>
      <c r="E43" s="53">
        <v>9000</v>
      </c>
      <c r="F43" s="53"/>
      <c r="G43" s="107"/>
      <c r="H43" s="7"/>
    </row>
    <row r="44" spans="1:8" s="10" customFormat="1" x14ac:dyDescent="0.25">
      <c r="A44" s="24"/>
      <c r="B44" s="25"/>
      <c r="C44" s="45" t="s">
        <v>130</v>
      </c>
      <c r="D44" s="80">
        <v>2000</v>
      </c>
      <c r="E44" s="53">
        <v>2000</v>
      </c>
      <c r="F44" s="53"/>
      <c r="G44" s="107"/>
      <c r="H44" s="7"/>
    </row>
    <row r="45" spans="1:8" s="22" customFormat="1" x14ac:dyDescent="0.25">
      <c r="A45" s="24"/>
      <c r="B45" s="37"/>
      <c r="C45" s="45" t="s">
        <v>131</v>
      </c>
      <c r="D45" s="80"/>
      <c r="E45" s="53"/>
      <c r="F45" s="53"/>
      <c r="G45" s="107"/>
      <c r="H45" s="299"/>
    </row>
    <row r="46" spans="1:8" s="22" customFormat="1" x14ac:dyDescent="0.25">
      <c r="A46" s="24"/>
      <c r="B46" s="37"/>
      <c r="C46" s="232" t="s">
        <v>132</v>
      </c>
      <c r="D46" s="80">
        <v>30850</v>
      </c>
      <c r="E46" s="53">
        <v>30850</v>
      </c>
      <c r="F46" s="53"/>
      <c r="G46" s="107"/>
      <c r="H46" s="299"/>
    </row>
    <row r="47" spans="1:8" s="22" customFormat="1" ht="30" x14ac:dyDescent="0.25">
      <c r="A47" s="24"/>
      <c r="B47" s="37"/>
      <c r="C47" s="232" t="s">
        <v>133</v>
      </c>
      <c r="D47" s="80">
        <v>13350</v>
      </c>
      <c r="E47" s="53">
        <v>13350</v>
      </c>
      <c r="F47" s="53"/>
      <c r="G47" s="107"/>
      <c r="H47" s="299"/>
    </row>
    <row r="48" spans="1:8" s="22" customFormat="1" x14ac:dyDescent="0.25">
      <c r="A48" s="24"/>
      <c r="B48" s="37"/>
      <c r="C48" s="232" t="s">
        <v>134</v>
      </c>
      <c r="D48" s="80">
        <v>5000</v>
      </c>
      <c r="E48" s="53">
        <v>5000</v>
      </c>
      <c r="F48" s="53"/>
      <c r="G48" s="107"/>
      <c r="H48" s="299"/>
    </row>
    <row r="49" spans="1:8" s="22" customFormat="1" x14ac:dyDescent="0.25">
      <c r="A49" s="24"/>
      <c r="B49" s="37"/>
      <c r="C49" s="232" t="s">
        <v>135</v>
      </c>
      <c r="D49" s="80">
        <v>3800</v>
      </c>
      <c r="E49" s="53">
        <v>3800</v>
      </c>
      <c r="F49" s="53"/>
      <c r="G49" s="107"/>
      <c r="H49" s="299"/>
    </row>
    <row r="50" spans="1:8" s="22" customFormat="1" x14ac:dyDescent="0.25">
      <c r="A50" s="24"/>
      <c r="B50" s="37"/>
      <c r="C50" s="232" t="s">
        <v>136</v>
      </c>
      <c r="D50" s="80"/>
      <c r="E50" s="53"/>
      <c r="F50" s="53"/>
      <c r="G50" s="107"/>
      <c r="H50" s="299"/>
    </row>
    <row r="51" spans="1:8" s="22" customFormat="1" x14ac:dyDescent="0.25">
      <c r="A51" s="24"/>
      <c r="B51" s="37"/>
      <c r="C51" s="232" t="s">
        <v>137</v>
      </c>
      <c r="D51" s="80">
        <v>10000</v>
      </c>
      <c r="E51" s="53"/>
      <c r="F51" s="53">
        <v>10000</v>
      </c>
      <c r="G51" s="107"/>
      <c r="H51" s="299"/>
    </row>
    <row r="52" spans="1:8" s="22" customFormat="1" x14ac:dyDescent="0.25">
      <c r="A52" s="24"/>
      <c r="B52" s="37"/>
      <c r="C52" s="232" t="s">
        <v>138</v>
      </c>
      <c r="D52" s="80">
        <v>150</v>
      </c>
      <c r="E52" s="53"/>
      <c r="F52" s="53">
        <v>150</v>
      </c>
      <c r="G52" s="107"/>
      <c r="H52" s="299"/>
    </row>
    <row r="53" spans="1:8" s="22" customFormat="1" x14ac:dyDescent="0.25">
      <c r="A53" s="24"/>
      <c r="B53" s="37"/>
      <c r="C53" s="232" t="s">
        <v>479</v>
      </c>
      <c r="D53" s="86">
        <v>17075</v>
      </c>
      <c r="E53" s="53">
        <v>17075</v>
      </c>
      <c r="F53" s="53"/>
      <c r="G53" s="108"/>
      <c r="H53" s="299"/>
    </row>
    <row r="54" spans="1:8" s="22" customFormat="1" x14ac:dyDescent="0.25">
      <c r="A54" s="24"/>
      <c r="B54" s="37"/>
      <c r="C54" s="232" t="s">
        <v>480</v>
      </c>
      <c r="D54" s="86">
        <v>210</v>
      </c>
      <c r="E54" s="53">
        <v>210</v>
      </c>
      <c r="F54" s="53"/>
      <c r="G54" s="108"/>
      <c r="H54" s="299"/>
    </row>
    <row r="55" spans="1:8" s="22" customFormat="1" x14ac:dyDescent="0.25">
      <c r="A55" s="24"/>
      <c r="B55" s="37"/>
      <c r="C55" s="232" t="s">
        <v>481</v>
      </c>
      <c r="D55" s="86">
        <v>3000</v>
      </c>
      <c r="E55" s="53">
        <v>3000</v>
      </c>
      <c r="F55" s="53"/>
      <c r="G55" s="108"/>
      <c r="H55" s="299"/>
    </row>
    <row r="56" spans="1:8" s="22" customFormat="1" x14ac:dyDescent="0.25">
      <c r="A56" s="24"/>
      <c r="B56" s="37"/>
      <c r="C56" s="232" t="s">
        <v>482</v>
      </c>
      <c r="D56" s="86">
        <v>962</v>
      </c>
      <c r="E56" s="53">
        <v>962</v>
      </c>
      <c r="F56" s="53"/>
      <c r="G56" s="108"/>
      <c r="H56" s="299"/>
    </row>
    <row r="57" spans="1:8" s="22" customFormat="1" x14ac:dyDescent="0.25">
      <c r="A57" s="24"/>
      <c r="B57" s="37"/>
      <c r="C57" s="232" t="s">
        <v>483</v>
      </c>
      <c r="D57" s="86">
        <v>3048</v>
      </c>
      <c r="E57" s="53">
        <v>3048</v>
      </c>
      <c r="F57" s="53"/>
      <c r="G57" s="108"/>
      <c r="H57" s="299"/>
    </row>
    <row r="58" spans="1:8" s="22" customFormat="1" x14ac:dyDescent="0.25">
      <c r="A58" s="24"/>
      <c r="B58" s="37"/>
      <c r="C58" s="232" t="s">
        <v>484</v>
      </c>
      <c r="D58" s="86">
        <v>40000</v>
      </c>
      <c r="E58" s="53">
        <v>40000</v>
      </c>
      <c r="F58" s="53"/>
      <c r="G58" s="108"/>
      <c r="H58" s="299"/>
    </row>
    <row r="59" spans="1:8" s="22" customFormat="1" x14ac:dyDescent="0.25">
      <c r="A59" s="24"/>
      <c r="B59" s="37"/>
      <c r="C59" s="232"/>
      <c r="D59" s="86"/>
      <c r="E59" s="53"/>
      <c r="F59" s="53"/>
      <c r="G59" s="108"/>
      <c r="H59" s="299"/>
    </row>
    <row r="60" spans="1:8" s="10" customFormat="1" x14ac:dyDescent="0.25">
      <c r="A60" s="24"/>
      <c r="B60" s="25"/>
      <c r="C60" s="64" t="s">
        <v>43</v>
      </c>
      <c r="D60" s="97">
        <f>SUM(D42:D58)</f>
        <v>143445</v>
      </c>
      <c r="E60" s="72">
        <f>SUM(E42:E58)</f>
        <v>133295</v>
      </c>
      <c r="F60" s="72">
        <f>SUM(F42:F58)</f>
        <v>10150</v>
      </c>
      <c r="G60" s="118">
        <f>SUM(G42:G58)</f>
        <v>0</v>
      </c>
      <c r="H60" s="7"/>
    </row>
    <row r="61" spans="1:8" s="10" customFormat="1" x14ac:dyDescent="0.25">
      <c r="A61" s="24"/>
      <c r="B61" s="25"/>
      <c r="C61" s="45"/>
      <c r="D61" s="91"/>
      <c r="E61" s="69"/>
      <c r="F61" s="69"/>
      <c r="G61" s="117"/>
      <c r="H61" s="7"/>
    </row>
    <row r="62" spans="1:8" s="10" customFormat="1" x14ac:dyDescent="0.25">
      <c r="A62" s="24"/>
      <c r="B62" s="25" t="s">
        <v>17</v>
      </c>
      <c r="C62" s="45" t="s">
        <v>71</v>
      </c>
      <c r="D62" s="91"/>
      <c r="E62" s="69"/>
      <c r="F62" s="69"/>
      <c r="G62" s="117"/>
      <c r="H62" s="7"/>
    </row>
    <row r="63" spans="1:8" s="10" customFormat="1" x14ac:dyDescent="0.25">
      <c r="A63" s="24"/>
      <c r="B63" s="25"/>
      <c r="C63" s="45" t="s">
        <v>78</v>
      </c>
      <c r="D63" s="80"/>
      <c r="E63" s="53"/>
      <c r="F63" s="53"/>
      <c r="G63" s="107"/>
      <c r="H63" s="7"/>
    </row>
    <row r="64" spans="1:8" s="10" customFormat="1" x14ac:dyDescent="0.25">
      <c r="A64" s="24"/>
      <c r="B64" s="25"/>
      <c r="C64" s="45" t="s">
        <v>89</v>
      </c>
      <c r="D64" s="80">
        <v>68000</v>
      </c>
      <c r="E64" s="53">
        <v>68000</v>
      </c>
      <c r="F64" s="53"/>
      <c r="G64" s="107"/>
      <c r="H64" s="7"/>
    </row>
    <row r="65" spans="1:8" s="10" customFormat="1" x14ac:dyDescent="0.25">
      <c r="A65" s="24"/>
      <c r="B65" s="25"/>
      <c r="C65" s="45" t="s">
        <v>87</v>
      </c>
      <c r="D65" s="80">
        <v>130000</v>
      </c>
      <c r="E65" s="53">
        <v>130000</v>
      </c>
      <c r="F65" s="53"/>
      <c r="G65" s="107"/>
      <c r="H65" s="7"/>
    </row>
    <row r="66" spans="1:8" s="10" customFormat="1" x14ac:dyDescent="0.25">
      <c r="A66" s="36"/>
      <c r="B66" s="25"/>
      <c r="C66" s="45" t="s">
        <v>88</v>
      </c>
      <c r="D66" s="80">
        <v>15000</v>
      </c>
      <c r="E66" s="53">
        <v>15000</v>
      </c>
      <c r="F66" s="53"/>
      <c r="G66" s="107"/>
      <c r="H66" s="7"/>
    </row>
    <row r="67" spans="1:8" s="22" customFormat="1" x14ac:dyDescent="0.25">
      <c r="A67" s="24"/>
      <c r="B67" s="37"/>
      <c r="C67" s="45" t="s">
        <v>90</v>
      </c>
      <c r="D67" s="80">
        <v>515000</v>
      </c>
      <c r="E67" s="53">
        <v>515000</v>
      </c>
      <c r="F67" s="53"/>
      <c r="G67" s="107"/>
      <c r="H67" s="299"/>
    </row>
    <row r="68" spans="1:8" s="22" customFormat="1" x14ac:dyDescent="0.25">
      <c r="A68" s="24"/>
      <c r="B68" s="37"/>
      <c r="C68" s="45" t="s">
        <v>112</v>
      </c>
      <c r="D68" s="80">
        <v>15000</v>
      </c>
      <c r="E68" s="53">
        <v>15000</v>
      </c>
      <c r="F68" s="53"/>
      <c r="G68" s="107"/>
      <c r="H68" s="299"/>
    </row>
    <row r="69" spans="1:8" s="10" customFormat="1" x14ac:dyDescent="0.25">
      <c r="A69" s="24"/>
      <c r="B69" s="25"/>
      <c r="C69" s="63" t="s">
        <v>32</v>
      </c>
      <c r="D69" s="97">
        <f t="shared" ref="D69:G69" si="6">SUM(D64:D68)</f>
        <v>743000</v>
      </c>
      <c r="E69" s="72">
        <f t="shared" si="6"/>
        <v>743000</v>
      </c>
      <c r="F69" s="72">
        <f t="shared" si="6"/>
        <v>0</v>
      </c>
      <c r="G69" s="116">
        <f t="shared" si="6"/>
        <v>0</v>
      </c>
      <c r="H69" s="7"/>
    </row>
    <row r="70" spans="1:8" s="10" customFormat="1" x14ac:dyDescent="0.25">
      <c r="A70" s="24"/>
      <c r="B70" s="25"/>
      <c r="C70" s="63"/>
      <c r="D70" s="97"/>
      <c r="E70" s="72"/>
      <c r="F70" s="72"/>
      <c r="G70" s="116"/>
      <c r="H70" s="7"/>
    </row>
    <row r="71" spans="1:8" s="10" customFormat="1" x14ac:dyDescent="0.25">
      <c r="A71" s="24"/>
      <c r="B71" s="25"/>
      <c r="C71" s="45" t="s">
        <v>79</v>
      </c>
      <c r="D71" s="80"/>
      <c r="E71" s="53"/>
      <c r="F71" s="53"/>
      <c r="G71" s="107"/>
      <c r="H71" s="7"/>
    </row>
    <row r="72" spans="1:8" s="10" customFormat="1" x14ac:dyDescent="0.25">
      <c r="A72" s="36"/>
      <c r="B72" s="25"/>
      <c r="C72" s="45" t="s">
        <v>91</v>
      </c>
      <c r="D72" s="80">
        <v>50000</v>
      </c>
      <c r="E72" s="53">
        <v>50000</v>
      </c>
      <c r="F72" s="53"/>
      <c r="G72" s="107"/>
      <c r="H72" s="7"/>
    </row>
    <row r="73" spans="1:8" s="10" customFormat="1" x14ac:dyDescent="0.25">
      <c r="A73" s="24"/>
      <c r="B73" s="25"/>
      <c r="C73" s="63" t="s">
        <v>32</v>
      </c>
      <c r="D73" s="90">
        <f t="shared" ref="D73:G73" si="7">SUM(D72:D72)</f>
        <v>50000</v>
      </c>
      <c r="E73" s="72">
        <f t="shared" si="7"/>
        <v>50000</v>
      </c>
      <c r="F73" s="72">
        <f t="shared" si="7"/>
        <v>0</v>
      </c>
      <c r="G73" s="118">
        <f t="shared" si="7"/>
        <v>0</v>
      </c>
      <c r="H73" s="7"/>
    </row>
    <row r="74" spans="1:8" s="10" customFormat="1" x14ac:dyDescent="0.25">
      <c r="A74" s="24"/>
      <c r="B74" s="25"/>
      <c r="C74" s="63"/>
      <c r="D74" s="90"/>
      <c r="E74" s="72"/>
      <c r="F74" s="72"/>
      <c r="G74" s="118"/>
      <c r="H74" s="7"/>
    </row>
    <row r="75" spans="1:8" s="22" customFormat="1" x14ac:dyDescent="0.25">
      <c r="A75" s="36"/>
      <c r="B75" s="37"/>
      <c r="C75" s="45" t="s">
        <v>80</v>
      </c>
      <c r="D75" s="80"/>
      <c r="E75" s="53"/>
      <c r="F75" s="53"/>
      <c r="G75" s="107"/>
      <c r="H75" s="299"/>
    </row>
    <row r="76" spans="1:8" s="22" customFormat="1" x14ac:dyDescent="0.25">
      <c r="A76" s="36"/>
      <c r="B76" s="37"/>
      <c r="C76" s="232" t="s">
        <v>92</v>
      </c>
      <c r="D76" s="80">
        <v>6000</v>
      </c>
      <c r="E76" s="53">
        <v>6000</v>
      </c>
      <c r="F76" s="53"/>
      <c r="G76" s="107"/>
      <c r="H76" s="299"/>
    </row>
    <row r="77" spans="1:8" s="22" customFormat="1" x14ac:dyDescent="0.25">
      <c r="A77" s="36"/>
      <c r="B77" s="37"/>
      <c r="C77" s="232" t="s">
        <v>485</v>
      </c>
      <c r="D77" s="80">
        <v>6000</v>
      </c>
      <c r="E77" s="53">
        <v>6000</v>
      </c>
      <c r="F77" s="53"/>
      <c r="G77" s="107"/>
      <c r="H77" s="299"/>
    </row>
    <row r="78" spans="1:8" s="22" customFormat="1" x14ac:dyDescent="0.25">
      <c r="A78" s="41"/>
      <c r="B78" s="37"/>
      <c r="C78" s="63" t="s">
        <v>32</v>
      </c>
      <c r="D78" s="90">
        <f>SUM(D76:D77)</f>
        <v>12000</v>
      </c>
      <c r="E78" s="72">
        <f>SUM(E76:E77)</f>
        <v>12000</v>
      </c>
      <c r="F78" s="72">
        <f>SUM(F76:F77)</f>
        <v>0</v>
      </c>
      <c r="G78" s="118">
        <f>SUM(G76:G77)</f>
        <v>0</v>
      </c>
      <c r="H78" s="299"/>
    </row>
    <row r="79" spans="1:8" s="22" customFormat="1" x14ac:dyDescent="0.25">
      <c r="A79" s="41"/>
      <c r="B79" s="37"/>
      <c r="C79" s="63"/>
      <c r="D79" s="90"/>
      <c r="E79" s="72"/>
      <c r="F79" s="72"/>
      <c r="G79" s="118"/>
      <c r="H79" s="299"/>
    </row>
    <row r="80" spans="1:8" s="10" customFormat="1" x14ac:dyDescent="0.25">
      <c r="A80" s="24"/>
      <c r="B80" s="25"/>
      <c r="C80" s="64" t="s">
        <v>44</v>
      </c>
      <c r="D80" s="92">
        <f>D69+D73+D78</f>
        <v>805000</v>
      </c>
      <c r="E80" s="73">
        <f>E69+E73+E78</f>
        <v>805000</v>
      </c>
      <c r="F80" s="73">
        <f>F69+F73+F78</f>
        <v>0</v>
      </c>
      <c r="G80" s="119">
        <f>G69+G73+G78</f>
        <v>0</v>
      </c>
      <c r="H80" s="7"/>
    </row>
    <row r="81" spans="1:8" s="10" customFormat="1" x14ac:dyDescent="0.25">
      <c r="A81" s="24"/>
      <c r="B81" s="8"/>
      <c r="C81" s="45"/>
      <c r="D81" s="91"/>
      <c r="E81" s="69"/>
      <c r="F81" s="69"/>
      <c r="G81" s="117"/>
      <c r="H81" s="7"/>
    </row>
    <row r="82" spans="1:8" s="10" customFormat="1" x14ac:dyDescent="0.25">
      <c r="A82" s="24"/>
      <c r="B82" s="25" t="s">
        <v>18</v>
      </c>
      <c r="C82" s="45" t="s">
        <v>34</v>
      </c>
      <c r="D82" s="91"/>
      <c r="E82" s="69"/>
      <c r="F82" s="69"/>
      <c r="G82" s="117"/>
      <c r="H82" s="7"/>
    </row>
    <row r="83" spans="1:8" s="10" customFormat="1" ht="30" x14ac:dyDescent="0.25">
      <c r="A83" s="24"/>
      <c r="B83" s="25"/>
      <c r="C83" s="45" t="s">
        <v>41</v>
      </c>
      <c r="D83" s="35"/>
      <c r="E83" s="30"/>
      <c r="F83" s="30"/>
      <c r="G83" s="100"/>
      <c r="H83" s="7"/>
    </row>
    <row r="84" spans="1:8" s="10" customFormat="1" x14ac:dyDescent="0.25">
      <c r="A84" s="24"/>
      <c r="B84" s="25"/>
      <c r="C84" s="45" t="s">
        <v>72</v>
      </c>
      <c r="D84" s="35">
        <v>330326</v>
      </c>
      <c r="E84" s="30">
        <v>330326</v>
      </c>
      <c r="F84" s="30"/>
      <c r="G84" s="100"/>
      <c r="H84" s="7"/>
    </row>
    <row r="85" spans="1:8" s="10" customFormat="1" x14ac:dyDescent="0.25">
      <c r="A85" s="24"/>
      <c r="B85" s="25"/>
      <c r="C85" s="45" t="s">
        <v>73</v>
      </c>
      <c r="D85" s="35">
        <v>230236</v>
      </c>
      <c r="E85" s="30">
        <v>230236</v>
      </c>
      <c r="F85" s="30"/>
      <c r="G85" s="100"/>
      <c r="H85" s="7"/>
    </row>
    <row r="86" spans="1:8" s="10" customFormat="1" ht="30" x14ac:dyDescent="0.25">
      <c r="A86" s="24"/>
      <c r="B86" s="25"/>
      <c r="C86" s="45" t="s">
        <v>75</v>
      </c>
      <c r="D86" s="35">
        <v>467625</v>
      </c>
      <c r="E86" s="30">
        <v>303848</v>
      </c>
      <c r="F86" s="30">
        <v>163777</v>
      </c>
      <c r="G86" s="100"/>
      <c r="H86" s="7"/>
    </row>
    <row r="87" spans="1:8" s="10" customFormat="1" x14ac:dyDescent="0.25">
      <c r="A87" s="24"/>
      <c r="B87" s="25"/>
      <c r="C87" s="45" t="s">
        <v>74</v>
      </c>
      <c r="D87" s="35">
        <v>22810</v>
      </c>
      <c r="E87" s="30">
        <v>22810</v>
      </c>
      <c r="F87" s="30"/>
      <c r="G87" s="100"/>
      <c r="H87" s="7"/>
    </row>
    <row r="88" spans="1:8" s="10" customFormat="1" x14ac:dyDescent="0.25">
      <c r="A88" s="24"/>
      <c r="B88" s="25"/>
      <c r="C88" s="63" t="s">
        <v>32</v>
      </c>
      <c r="D88" s="87">
        <f>SUM(D83:D87)</f>
        <v>1050997</v>
      </c>
      <c r="E88" s="40">
        <f>SUM(E83:E87)</f>
        <v>887220</v>
      </c>
      <c r="F88" s="40">
        <f>SUM(F83:F87)</f>
        <v>163777</v>
      </c>
      <c r="G88" s="104">
        <f>SUM(G83:G87)</f>
        <v>0</v>
      </c>
      <c r="H88" s="7"/>
    </row>
    <row r="89" spans="1:8" s="10" customFormat="1" x14ac:dyDescent="0.25">
      <c r="A89" s="24"/>
      <c r="B89" s="25"/>
      <c r="C89" s="45"/>
      <c r="D89" s="35"/>
      <c r="E89" s="30"/>
      <c r="F89" s="30"/>
      <c r="G89" s="100"/>
      <c r="H89" s="7"/>
    </row>
    <row r="90" spans="1:8" s="10" customFormat="1" ht="30" x14ac:dyDescent="0.25">
      <c r="A90" s="24"/>
      <c r="B90" s="25"/>
      <c r="C90" s="45" t="s">
        <v>201</v>
      </c>
      <c r="D90" s="35"/>
      <c r="E90" s="30"/>
      <c r="F90" s="30"/>
      <c r="G90" s="100"/>
      <c r="H90" s="7"/>
    </row>
    <row r="91" spans="1:8" s="10" customFormat="1" x14ac:dyDescent="0.25">
      <c r="A91" s="24"/>
      <c r="B91" s="25"/>
      <c r="C91" s="63" t="s">
        <v>32</v>
      </c>
      <c r="D91" s="87">
        <v>0</v>
      </c>
      <c r="E91" s="40">
        <v>0</v>
      </c>
      <c r="F91" s="40">
        <v>0</v>
      </c>
      <c r="G91" s="104">
        <v>0</v>
      </c>
      <c r="H91" s="7"/>
    </row>
    <row r="92" spans="1:8" s="10" customFormat="1" x14ac:dyDescent="0.25">
      <c r="A92" s="24"/>
      <c r="B92" s="25"/>
      <c r="C92" s="63"/>
      <c r="D92" s="39"/>
      <c r="E92" s="40"/>
      <c r="F92" s="40"/>
      <c r="G92" s="101"/>
      <c r="H92" s="7"/>
    </row>
    <row r="93" spans="1:8" s="10" customFormat="1" x14ac:dyDescent="0.25">
      <c r="A93" s="24"/>
      <c r="B93" s="25"/>
      <c r="C93" s="45" t="s">
        <v>202</v>
      </c>
      <c r="D93" s="35"/>
      <c r="E93" s="30"/>
      <c r="F93" s="30"/>
      <c r="G93" s="100"/>
      <c r="H93" s="7"/>
    </row>
    <row r="94" spans="1:8" s="10" customFormat="1" x14ac:dyDescent="0.25">
      <c r="A94" s="24"/>
      <c r="B94" s="25"/>
      <c r="C94" s="63" t="s">
        <v>32</v>
      </c>
      <c r="D94" s="87">
        <v>0</v>
      </c>
      <c r="E94" s="40">
        <v>0</v>
      </c>
      <c r="F94" s="40">
        <v>0</v>
      </c>
      <c r="G94" s="104">
        <v>0</v>
      </c>
      <c r="H94" s="7"/>
    </row>
    <row r="95" spans="1:8" s="10" customFormat="1" x14ac:dyDescent="0.25">
      <c r="A95" s="24"/>
      <c r="B95" s="25"/>
      <c r="C95" s="63"/>
      <c r="D95" s="87"/>
      <c r="E95" s="40"/>
      <c r="F95" s="40"/>
      <c r="G95" s="104"/>
      <c r="H95" s="7"/>
    </row>
    <row r="96" spans="1:8" s="10" customFormat="1" x14ac:dyDescent="0.25">
      <c r="A96" s="24"/>
      <c r="B96" s="25"/>
      <c r="C96" s="45" t="s">
        <v>274</v>
      </c>
      <c r="D96" s="87">
        <v>0</v>
      </c>
      <c r="E96" s="40">
        <v>0</v>
      </c>
      <c r="F96" s="40">
        <v>0</v>
      </c>
      <c r="G96" s="104">
        <v>0</v>
      </c>
      <c r="H96" s="7"/>
    </row>
    <row r="97" spans="1:8" s="22" customFormat="1" x14ac:dyDescent="0.25">
      <c r="A97" s="36"/>
      <c r="B97" s="37"/>
      <c r="C97" s="63" t="s">
        <v>32</v>
      </c>
      <c r="D97" s="87"/>
      <c r="E97" s="40"/>
      <c r="F97" s="40"/>
      <c r="G97" s="104"/>
      <c r="H97" s="299"/>
    </row>
    <row r="98" spans="1:8" s="10" customFormat="1" x14ac:dyDescent="0.25">
      <c r="A98" s="24"/>
      <c r="B98" s="25"/>
      <c r="C98" s="63"/>
      <c r="D98" s="39"/>
      <c r="E98" s="40"/>
      <c r="F98" s="40"/>
      <c r="G98" s="101"/>
      <c r="H98" s="7"/>
    </row>
    <row r="99" spans="1:8" s="10" customFormat="1" x14ac:dyDescent="0.25">
      <c r="A99" s="24"/>
      <c r="B99" s="25"/>
      <c r="C99" s="64" t="s">
        <v>45</v>
      </c>
      <c r="D99" s="233">
        <f>SUM(D88,D91,D94)</f>
        <v>1050997</v>
      </c>
      <c r="E99" s="73">
        <f>SUM(E88,E91,E94)</f>
        <v>887220</v>
      </c>
      <c r="F99" s="73">
        <f>SUM(F88,F91,F94)</f>
        <v>163777</v>
      </c>
      <c r="G99" s="322">
        <f>SUM(G88,G91,G94)</f>
        <v>0</v>
      </c>
      <c r="H99" s="7"/>
    </row>
    <row r="100" spans="1:8" s="10" customFormat="1" x14ac:dyDescent="0.25">
      <c r="A100" s="24"/>
      <c r="B100" s="25"/>
      <c r="C100" s="45"/>
      <c r="D100" s="91"/>
      <c r="E100" s="69"/>
      <c r="F100" s="69"/>
      <c r="G100" s="117"/>
      <c r="H100" s="7"/>
    </row>
    <row r="101" spans="1:8" s="10" customFormat="1" x14ac:dyDescent="0.25">
      <c r="A101" s="24"/>
      <c r="B101" s="25" t="s">
        <v>13</v>
      </c>
      <c r="C101" s="45" t="s">
        <v>86</v>
      </c>
      <c r="D101" s="91"/>
      <c r="E101" s="69"/>
      <c r="F101" s="69"/>
      <c r="G101" s="117"/>
      <c r="H101" s="7"/>
    </row>
    <row r="102" spans="1:8" s="10" customFormat="1" x14ac:dyDescent="0.25">
      <c r="A102" s="24"/>
      <c r="B102" s="25"/>
      <c r="C102" s="45" t="s">
        <v>19</v>
      </c>
      <c r="D102" s="80"/>
      <c r="E102" s="53"/>
      <c r="F102" s="53"/>
      <c r="G102" s="107"/>
      <c r="H102" s="7"/>
    </row>
    <row r="103" spans="1:8" s="10" customFormat="1" x14ac:dyDescent="0.25">
      <c r="A103" s="24"/>
      <c r="B103" s="25"/>
      <c r="C103" s="232" t="s">
        <v>486</v>
      </c>
      <c r="D103" s="80">
        <v>142669</v>
      </c>
      <c r="E103" s="53">
        <v>142669</v>
      </c>
      <c r="F103" s="53"/>
      <c r="G103" s="107"/>
      <c r="H103" s="7"/>
    </row>
    <row r="104" spans="1:8" s="10" customFormat="1" x14ac:dyDescent="0.25">
      <c r="A104" s="24"/>
      <c r="B104" s="25"/>
      <c r="C104" s="232" t="s">
        <v>487</v>
      </c>
      <c r="D104" s="80">
        <v>88291</v>
      </c>
      <c r="E104" s="53">
        <v>88291</v>
      </c>
      <c r="F104" s="53"/>
      <c r="G104" s="107"/>
      <c r="H104" s="7"/>
    </row>
    <row r="105" spans="1:8" s="10" customFormat="1" x14ac:dyDescent="0.25">
      <c r="A105" s="24"/>
      <c r="B105" s="25"/>
      <c r="C105" s="232" t="s">
        <v>488</v>
      </c>
      <c r="D105" s="80">
        <v>19743</v>
      </c>
      <c r="E105" s="53">
        <v>19743</v>
      </c>
      <c r="F105" s="53"/>
      <c r="G105" s="107"/>
      <c r="H105" s="7"/>
    </row>
    <row r="106" spans="1:8" s="10" customFormat="1" x14ac:dyDescent="0.25">
      <c r="A106" s="24"/>
      <c r="B106" s="25"/>
      <c r="C106" s="232" t="s">
        <v>489</v>
      </c>
      <c r="D106" s="80">
        <v>3105</v>
      </c>
      <c r="E106" s="53">
        <v>3105</v>
      </c>
      <c r="F106" s="53"/>
      <c r="G106" s="107"/>
      <c r="H106" s="7"/>
    </row>
    <row r="107" spans="1:8" s="10" customFormat="1" x14ac:dyDescent="0.25">
      <c r="A107" s="24"/>
      <c r="B107" s="25"/>
      <c r="C107" s="45" t="s">
        <v>139</v>
      </c>
      <c r="D107" s="80"/>
      <c r="E107" s="53"/>
      <c r="F107" s="53"/>
      <c r="G107" s="107"/>
      <c r="H107" s="7"/>
    </row>
    <row r="108" spans="1:8" s="10" customFormat="1" x14ac:dyDescent="0.25">
      <c r="A108" s="24"/>
      <c r="B108" s="25"/>
      <c r="C108" s="45" t="s">
        <v>140</v>
      </c>
      <c r="D108" s="80"/>
      <c r="E108" s="53"/>
      <c r="F108" s="53"/>
      <c r="G108" s="107"/>
      <c r="H108" s="7"/>
    </row>
    <row r="109" spans="1:8" s="10" customFormat="1" x14ac:dyDescent="0.25">
      <c r="A109" s="24"/>
      <c r="B109" s="25"/>
      <c r="C109" s="232" t="s">
        <v>141</v>
      </c>
      <c r="D109" s="80">
        <v>27944</v>
      </c>
      <c r="E109" s="53">
        <v>27944</v>
      </c>
      <c r="F109" s="53"/>
      <c r="G109" s="107"/>
      <c r="H109" s="7"/>
    </row>
    <row r="110" spans="1:8" s="10" customFormat="1" x14ac:dyDescent="0.25">
      <c r="A110" s="24"/>
      <c r="B110" s="25"/>
      <c r="C110" s="232" t="s">
        <v>142</v>
      </c>
      <c r="D110" s="80">
        <v>53630</v>
      </c>
      <c r="E110" s="53">
        <v>53630</v>
      </c>
      <c r="F110" s="53"/>
      <c r="G110" s="107"/>
      <c r="H110" s="7"/>
    </row>
    <row r="111" spans="1:8" s="10" customFormat="1" x14ac:dyDescent="0.25">
      <c r="A111" s="24"/>
      <c r="B111" s="25"/>
      <c r="C111" s="232"/>
      <c r="D111" s="80"/>
      <c r="E111" s="53"/>
      <c r="F111" s="53"/>
      <c r="G111" s="107"/>
      <c r="H111" s="7"/>
    </row>
    <row r="112" spans="1:8" s="10" customFormat="1" x14ac:dyDescent="0.25">
      <c r="A112" s="24"/>
      <c r="B112" s="25"/>
      <c r="C112" s="64" t="s">
        <v>46</v>
      </c>
      <c r="D112" s="92">
        <f>SUM(D102:D110)</f>
        <v>335382</v>
      </c>
      <c r="E112" s="73">
        <f>SUM(E102:E110)</f>
        <v>335382</v>
      </c>
      <c r="F112" s="73">
        <f>SUM(F102:F110)</f>
        <v>0</v>
      </c>
      <c r="G112" s="119">
        <f>SUM(G102:G110)</f>
        <v>0</v>
      </c>
      <c r="H112" s="7"/>
    </row>
    <row r="113" spans="1:8" s="10" customFormat="1" x14ac:dyDescent="0.25">
      <c r="A113" s="24"/>
      <c r="B113" s="25"/>
      <c r="C113" s="45"/>
      <c r="D113" s="91"/>
      <c r="E113" s="69"/>
      <c r="F113" s="69"/>
      <c r="G113" s="117"/>
      <c r="H113" s="7"/>
    </row>
    <row r="114" spans="1:8" s="10" customFormat="1" x14ac:dyDescent="0.25">
      <c r="A114" s="24"/>
      <c r="B114" s="25" t="s">
        <v>20</v>
      </c>
      <c r="C114" s="45" t="s">
        <v>42</v>
      </c>
      <c r="D114" s="80"/>
      <c r="E114" s="53"/>
      <c r="F114" s="53"/>
      <c r="G114" s="107"/>
      <c r="H114" s="7"/>
    </row>
    <row r="115" spans="1:8" s="10" customFormat="1" x14ac:dyDescent="0.25">
      <c r="A115" s="24"/>
      <c r="B115" s="25"/>
      <c r="C115" s="45" t="s">
        <v>67</v>
      </c>
      <c r="D115" s="80"/>
      <c r="E115" s="53"/>
      <c r="F115" s="53"/>
      <c r="G115" s="107"/>
      <c r="H115" s="7"/>
    </row>
    <row r="116" spans="1:8" s="10" customFormat="1" ht="30" x14ac:dyDescent="0.25">
      <c r="A116" s="24"/>
      <c r="B116" s="25"/>
      <c r="C116" s="45" t="s">
        <v>520</v>
      </c>
      <c r="D116" s="80">
        <v>44039</v>
      </c>
      <c r="E116" s="53">
        <v>44039</v>
      </c>
      <c r="F116" s="53"/>
      <c r="G116" s="107"/>
      <c r="H116" s="7"/>
    </row>
    <row r="117" spans="1:8" s="22" customFormat="1" x14ac:dyDescent="0.25">
      <c r="A117" s="41"/>
      <c r="B117" s="25"/>
      <c r="C117" s="45" t="s">
        <v>490</v>
      </c>
      <c r="D117" s="80">
        <v>6245</v>
      </c>
      <c r="E117" s="53"/>
      <c r="F117" s="53">
        <v>6245</v>
      </c>
      <c r="G117" s="107"/>
      <c r="H117" s="299"/>
    </row>
    <row r="118" spans="1:8" s="22" customFormat="1" x14ac:dyDescent="0.25">
      <c r="A118" s="41"/>
      <c r="B118" s="25"/>
      <c r="C118" s="45" t="s">
        <v>491</v>
      </c>
      <c r="D118" s="86">
        <v>650</v>
      </c>
      <c r="E118" s="53">
        <v>650</v>
      </c>
      <c r="F118" s="53"/>
      <c r="G118" s="108"/>
      <c r="H118" s="299"/>
    </row>
    <row r="119" spans="1:8" s="22" customFormat="1" x14ac:dyDescent="0.25">
      <c r="A119" s="41"/>
      <c r="B119" s="25"/>
      <c r="C119" s="45" t="s">
        <v>143</v>
      </c>
      <c r="D119" s="80"/>
      <c r="E119" s="53"/>
      <c r="F119" s="53"/>
      <c r="G119" s="107"/>
      <c r="H119" s="299"/>
    </row>
    <row r="120" spans="1:8" s="22" customFormat="1" ht="30" x14ac:dyDescent="0.25">
      <c r="A120" s="41"/>
      <c r="B120" s="25"/>
      <c r="C120" s="45" t="s">
        <v>144</v>
      </c>
      <c r="D120" s="80">
        <v>8690</v>
      </c>
      <c r="E120" s="53">
        <v>8690</v>
      </c>
      <c r="F120" s="53"/>
      <c r="G120" s="107"/>
      <c r="H120" s="299"/>
    </row>
    <row r="121" spans="1:8" s="22" customFormat="1" ht="30" x14ac:dyDescent="0.25">
      <c r="A121" s="41"/>
      <c r="B121" s="25"/>
      <c r="C121" s="45" t="s">
        <v>145</v>
      </c>
      <c r="D121" s="80">
        <v>1781</v>
      </c>
      <c r="E121" s="53">
        <v>1781</v>
      </c>
      <c r="F121" s="53"/>
      <c r="G121" s="107"/>
      <c r="H121" s="299"/>
    </row>
    <row r="122" spans="1:8" s="22" customFormat="1" ht="30" x14ac:dyDescent="0.25">
      <c r="A122" s="41"/>
      <c r="B122" s="25"/>
      <c r="C122" s="45" t="s">
        <v>146</v>
      </c>
      <c r="D122" s="80">
        <v>1629</v>
      </c>
      <c r="E122" s="53">
        <v>1629</v>
      </c>
      <c r="F122" s="53"/>
      <c r="G122" s="107"/>
      <c r="H122" s="299"/>
    </row>
    <row r="123" spans="1:8" s="22" customFormat="1" x14ac:dyDescent="0.25">
      <c r="A123" s="41"/>
      <c r="B123" s="25"/>
      <c r="C123" s="76" t="s">
        <v>147</v>
      </c>
      <c r="D123" s="80">
        <v>16904</v>
      </c>
      <c r="E123" s="53">
        <v>16904</v>
      </c>
      <c r="F123" s="53"/>
      <c r="G123" s="107"/>
      <c r="H123" s="299"/>
    </row>
    <row r="124" spans="1:8" s="22" customFormat="1" x14ac:dyDescent="0.25">
      <c r="A124" s="41"/>
      <c r="B124" s="25"/>
      <c r="C124" s="45" t="s">
        <v>148</v>
      </c>
      <c r="D124" s="80">
        <v>100</v>
      </c>
      <c r="E124" s="53"/>
      <c r="F124" s="53"/>
      <c r="G124" s="107">
        <v>100</v>
      </c>
      <c r="H124" s="299"/>
    </row>
    <row r="125" spans="1:8" s="22" customFormat="1" x14ac:dyDescent="0.25">
      <c r="A125" s="41"/>
      <c r="B125" s="25"/>
      <c r="C125" s="45" t="s">
        <v>492</v>
      </c>
      <c r="D125" s="86">
        <v>5072</v>
      </c>
      <c r="E125" s="53"/>
      <c r="F125" s="53">
        <v>5072</v>
      </c>
      <c r="G125" s="108"/>
      <c r="H125" s="299"/>
    </row>
    <row r="126" spans="1:8" s="22" customFormat="1" x14ac:dyDescent="0.25">
      <c r="A126" s="41"/>
      <c r="B126" s="25"/>
      <c r="C126" s="63" t="s">
        <v>32</v>
      </c>
      <c r="D126" s="87">
        <f>SUM(D116:D125)</f>
        <v>85110</v>
      </c>
      <c r="E126" s="40">
        <f>SUM(E116:E125)</f>
        <v>73693</v>
      </c>
      <c r="F126" s="40">
        <f>SUM(F116:F125)</f>
        <v>11317</v>
      </c>
      <c r="G126" s="104">
        <f>SUM(G116:G125)</f>
        <v>100</v>
      </c>
      <c r="H126" s="299"/>
    </row>
    <row r="127" spans="1:8" s="22" customFormat="1" x14ac:dyDescent="0.25">
      <c r="A127" s="41"/>
      <c r="B127" s="37"/>
      <c r="C127" s="63"/>
      <c r="D127" s="93"/>
      <c r="E127" s="68"/>
      <c r="F127" s="68"/>
      <c r="G127" s="120"/>
      <c r="H127" s="299"/>
    </row>
    <row r="128" spans="1:8" s="22" customFormat="1" x14ac:dyDescent="0.25">
      <c r="A128" s="41"/>
      <c r="C128" s="45" t="s">
        <v>96</v>
      </c>
      <c r="D128" s="80"/>
      <c r="E128" s="53"/>
      <c r="F128" s="53"/>
      <c r="G128" s="107"/>
      <c r="H128" s="299"/>
    </row>
    <row r="129" spans="1:8" s="23" customFormat="1" ht="30.75" x14ac:dyDescent="0.3">
      <c r="A129" s="24"/>
      <c r="B129" s="37"/>
      <c r="C129" s="45" t="s">
        <v>493</v>
      </c>
      <c r="D129" s="85">
        <v>1434</v>
      </c>
      <c r="E129" s="30">
        <v>1434</v>
      </c>
      <c r="F129" s="30"/>
      <c r="G129" s="106"/>
      <c r="H129" s="321"/>
    </row>
    <row r="130" spans="1:8" s="23" customFormat="1" ht="48.75" customHeight="1" x14ac:dyDescent="0.3">
      <c r="A130" s="24"/>
      <c r="B130" s="37"/>
      <c r="C130" s="45" t="s">
        <v>494</v>
      </c>
      <c r="D130" s="85">
        <v>345</v>
      </c>
      <c r="E130" s="30">
        <v>345</v>
      </c>
      <c r="F130" s="30"/>
      <c r="G130" s="106"/>
      <c r="H130" s="321"/>
    </row>
    <row r="131" spans="1:8" s="22" customFormat="1" x14ac:dyDescent="0.25">
      <c r="A131" s="24"/>
      <c r="B131" s="37"/>
      <c r="C131" s="63" t="s">
        <v>32</v>
      </c>
      <c r="D131" s="90">
        <f>SUM(D128:D130)</f>
        <v>1779</v>
      </c>
      <c r="E131" s="72">
        <f>SUM(E128:E130)</f>
        <v>1779</v>
      </c>
      <c r="F131" s="72">
        <f>SUM(F128:F130)</f>
        <v>0</v>
      </c>
      <c r="G131" s="118">
        <f>SUM(G128:G130)</f>
        <v>0</v>
      </c>
      <c r="H131" s="299"/>
    </row>
    <row r="132" spans="1:8" s="10" customFormat="1" x14ac:dyDescent="0.25">
      <c r="A132" s="41"/>
      <c r="B132" s="37"/>
      <c r="C132" s="63"/>
      <c r="D132" s="90"/>
      <c r="E132" s="72"/>
      <c r="F132" s="72"/>
      <c r="G132" s="118"/>
      <c r="H132" s="7"/>
    </row>
    <row r="133" spans="1:8" s="10" customFormat="1" x14ac:dyDescent="0.25">
      <c r="A133" s="41"/>
      <c r="B133" s="37"/>
      <c r="C133" s="64" t="s">
        <v>66</v>
      </c>
      <c r="D133" s="92">
        <f>D126+D131</f>
        <v>86889</v>
      </c>
      <c r="E133" s="73">
        <f>E126+E131</f>
        <v>75472</v>
      </c>
      <c r="F133" s="73">
        <f>F126+F131</f>
        <v>11317</v>
      </c>
      <c r="G133" s="119">
        <f>G126+G131</f>
        <v>100</v>
      </c>
      <c r="H133" s="7"/>
    </row>
    <row r="134" spans="1:8" s="10" customFormat="1" x14ac:dyDescent="0.25">
      <c r="A134" s="41"/>
      <c r="B134" s="37"/>
      <c r="C134" s="64"/>
      <c r="D134" s="94"/>
      <c r="E134" s="70"/>
      <c r="F134" s="70"/>
      <c r="G134" s="121"/>
      <c r="H134" s="7"/>
    </row>
    <row r="135" spans="1:8" s="10" customFormat="1" x14ac:dyDescent="0.25">
      <c r="A135" s="41"/>
      <c r="B135" s="25" t="s">
        <v>25</v>
      </c>
      <c r="C135" s="45" t="s">
        <v>70</v>
      </c>
      <c r="D135" s="91"/>
      <c r="E135" s="69"/>
      <c r="F135" s="69"/>
      <c r="G135" s="117"/>
      <c r="H135" s="7"/>
    </row>
    <row r="136" spans="1:8" s="10" customFormat="1" x14ac:dyDescent="0.25">
      <c r="A136" s="41"/>
      <c r="B136" s="43"/>
      <c r="C136" s="45" t="s">
        <v>93</v>
      </c>
      <c r="D136" s="91"/>
      <c r="E136" s="69"/>
      <c r="F136" s="69"/>
      <c r="G136" s="117"/>
      <c r="H136" s="7"/>
    </row>
    <row r="137" spans="1:8" s="23" customFormat="1" ht="17.25" x14ac:dyDescent="0.3">
      <c r="A137" s="98"/>
      <c r="B137" s="37"/>
      <c r="C137" s="63" t="s">
        <v>32</v>
      </c>
      <c r="D137" s="97">
        <v>0</v>
      </c>
      <c r="E137" s="72">
        <v>0</v>
      </c>
      <c r="F137" s="72">
        <v>0</v>
      </c>
      <c r="G137" s="116">
        <v>0</v>
      </c>
      <c r="H137" s="321"/>
    </row>
    <row r="138" spans="1:8" s="21" customFormat="1" x14ac:dyDescent="0.25">
      <c r="A138" s="27"/>
      <c r="B138" s="25"/>
      <c r="C138" s="45"/>
      <c r="D138" s="91"/>
      <c r="E138" s="69"/>
      <c r="F138" s="69"/>
      <c r="G138" s="117"/>
      <c r="H138" s="320"/>
    </row>
    <row r="139" spans="1:8" s="21" customFormat="1" x14ac:dyDescent="0.25">
      <c r="A139" s="27"/>
      <c r="B139" s="25"/>
      <c r="C139" s="45" t="s">
        <v>94</v>
      </c>
      <c r="D139" s="91"/>
      <c r="E139" s="69"/>
      <c r="F139" s="69"/>
      <c r="G139" s="117"/>
      <c r="H139" s="320"/>
    </row>
    <row r="140" spans="1:8" s="21" customFormat="1" x14ac:dyDescent="0.25">
      <c r="A140" s="24"/>
      <c r="B140" s="43"/>
      <c r="C140" s="45" t="s">
        <v>495</v>
      </c>
      <c r="D140" s="80">
        <v>2000</v>
      </c>
      <c r="E140" s="53">
        <v>2000</v>
      </c>
      <c r="F140" s="53"/>
      <c r="G140" s="107"/>
      <c r="H140" s="320"/>
    </row>
    <row r="141" spans="1:8" s="21" customFormat="1" x14ac:dyDescent="0.25">
      <c r="A141" s="24"/>
      <c r="B141" s="28"/>
      <c r="C141" s="63" t="s">
        <v>32</v>
      </c>
      <c r="D141" s="90">
        <f>SUM(D140:D140)</f>
        <v>2000</v>
      </c>
      <c r="E141" s="72">
        <f>SUM(E140:E140)</f>
        <v>2000</v>
      </c>
      <c r="F141" s="72">
        <f>SUM(F140:F140)</f>
        <v>0</v>
      </c>
      <c r="G141" s="118">
        <f>SUM(G140:G140)</f>
        <v>0</v>
      </c>
      <c r="H141" s="320"/>
    </row>
    <row r="142" spans="1:8" s="21" customFormat="1" x14ac:dyDescent="0.25">
      <c r="A142" s="24"/>
      <c r="B142" s="28"/>
      <c r="C142" s="63"/>
      <c r="D142" s="90"/>
      <c r="E142" s="72"/>
      <c r="F142" s="72"/>
      <c r="G142" s="118"/>
      <c r="H142" s="320"/>
    </row>
    <row r="143" spans="1:8" s="21" customFormat="1" x14ac:dyDescent="0.25">
      <c r="A143" s="24"/>
      <c r="B143" s="28"/>
      <c r="C143" s="64" t="s">
        <v>81</v>
      </c>
      <c r="D143" s="92">
        <f>D137+D141</f>
        <v>2000</v>
      </c>
      <c r="E143" s="73">
        <f>E137+E141</f>
        <v>2000</v>
      </c>
      <c r="F143" s="73">
        <f>F137+F141</f>
        <v>0</v>
      </c>
      <c r="G143" s="119">
        <f>G137+G141</f>
        <v>0</v>
      </c>
      <c r="H143" s="320"/>
    </row>
    <row r="144" spans="1:8" s="21" customFormat="1" x14ac:dyDescent="0.25">
      <c r="A144" s="24"/>
      <c r="B144" s="28"/>
      <c r="C144" s="63"/>
      <c r="D144" s="93"/>
      <c r="E144" s="68"/>
      <c r="F144" s="68"/>
      <c r="G144" s="120"/>
      <c r="H144" s="320"/>
    </row>
    <row r="145" spans="1:8" s="21" customFormat="1" x14ac:dyDescent="0.25">
      <c r="A145" s="24"/>
      <c r="B145" s="25" t="s">
        <v>27</v>
      </c>
      <c r="C145" s="45" t="s">
        <v>5</v>
      </c>
      <c r="D145" s="80"/>
      <c r="E145" s="53"/>
      <c r="F145" s="53"/>
      <c r="G145" s="107"/>
      <c r="H145" s="320"/>
    </row>
    <row r="146" spans="1:8" s="21" customFormat="1" x14ac:dyDescent="0.25">
      <c r="A146" s="24"/>
      <c r="B146" s="28"/>
      <c r="C146" s="45" t="s">
        <v>77</v>
      </c>
      <c r="D146" s="80"/>
      <c r="E146" s="53"/>
      <c r="F146" s="53"/>
      <c r="G146" s="107"/>
      <c r="H146" s="320"/>
    </row>
    <row r="147" spans="1:8" s="21" customFormat="1" x14ac:dyDescent="0.25">
      <c r="A147" s="24"/>
      <c r="B147" s="28"/>
      <c r="C147" s="45" t="s">
        <v>149</v>
      </c>
      <c r="D147" s="80">
        <v>700</v>
      </c>
      <c r="E147" s="53">
        <v>700</v>
      </c>
      <c r="F147" s="53"/>
      <c r="G147" s="107"/>
      <c r="H147" s="320"/>
    </row>
    <row r="148" spans="1:8" s="21" customFormat="1" x14ac:dyDescent="0.25">
      <c r="A148" s="24"/>
      <c r="B148" s="28"/>
      <c r="C148" s="45" t="s">
        <v>496</v>
      </c>
      <c r="D148" s="80">
        <v>7600</v>
      </c>
      <c r="E148" s="53">
        <v>7600</v>
      </c>
      <c r="F148" s="53"/>
      <c r="G148" s="107"/>
      <c r="H148" s="320"/>
    </row>
    <row r="149" spans="1:8" s="21" customFormat="1" x14ac:dyDescent="0.25">
      <c r="A149" s="58"/>
      <c r="B149" s="316"/>
      <c r="C149" s="63" t="s">
        <v>32</v>
      </c>
      <c r="D149" s="80">
        <f>SUM(D147:D148)</f>
        <v>8300</v>
      </c>
      <c r="E149" s="317">
        <f t="shared" ref="E149:G149" si="8">SUM(E147:E148)</f>
        <v>8300</v>
      </c>
      <c r="F149" s="317">
        <f t="shared" si="8"/>
        <v>0</v>
      </c>
      <c r="G149" s="108">
        <f t="shared" si="8"/>
        <v>0</v>
      </c>
      <c r="H149" s="320"/>
    </row>
    <row r="150" spans="1:8" s="10" customFormat="1" x14ac:dyDescent="0.25">
      <c r="A150" s="7"/>
      <c r="B150" s="8"/>
      <c r="C150" s="32"/>
      <c r="D150" s="323"/>
      <c r="G150" s="324"/>
      <c r="H150" s="7"/>
    </row>
    <row r="151" spans="1:8" s="21" customFormat="1" x14ac:dyDescent="0.25">
      <c r="A151" s="24"/>
      <c r="B151" s="28"/>
      <c r="C151" s="45" t="s">
        <v>97</v>
      </c>
      <c r="D151" s="80"/>
      <c r="E151" s="53"/>
      <c r="F151" s="53"/>
      <c r="G151" s="107"/>
      <c r="H151" s="320"/>
    </row>
    <row r="152" spans="1:8" s="21" customFormat="1" x14ac:dyDescent="0.25">
      <c r="A152" s="24"/>
      <c r="B152" s="28"/>
      <c r="C152" s="45" t="s">
        <v>1</v>
      </c>
      <c r="D152" s="80">
        <v>8000</v>
      </c>
      <c r="E152" s="53">
        <v>8000</v>
      </c>
      <c r="F152" s="53"/>
      <c r="G152" s="107"/>
      <c r="H152" s="320"/>
    </row>
    <row r="153" spans="1:8" s="21" customFormat="1" x14ac:dyDescent="0.25">
      <c r="A153" s="24"/>
      <c r="B153" s="28"/>
      <c r="C153" s="45" t="s">
        <v>304</v>
      </c>
      <c r="D153" s="80">
        <v>5000</v>
      </c>
      <c r="E153" s="53">
        <v>5000</v>
      </c>
      <c r="F153" s="53"/>
      <c r="G153" s="107"/>
      <c r="H153" s="320"/>
    </row>
    <row r="154" spans="1:8" s="21" customFormat="1" x14ac:dyDescent="0.25">
      <c r="A154" s="24"/>
      <c r="B154" s="28"/>
      <c r="C154" s="63" t="s">
        <v>32</v>
      </c>
      <c r="D154" s="97">
        <f>SUM(D152:D153)</f>
        <v>13000</v>
      </c>
      <c r="E154" s="72">
        <f t="shared" ref="E154:G154" si="9">SUM(E152:E153)</f>
        <v>13000</v>
      </c>
      <c r="F154" s="72">
        <f t="shared" si="9"/>
        <v>0</v>
      </c>
      <c r="G154" s="116">
        <f t="shared" si="9"/>
        <v>0</v>
      </c>
      <c r="H154" s="320"/>
    </row>
    <row r="155" spans="1:8" s="21" customFormat="1" x14ac:dyDescent="0.25">
      <c r="A155" s="24"/>
      <c r="B155" s="28"/>
      <c r="C155" s="63"/>
      <c r="D155" s="90"/>
      <c r="E155" s="72"/>
      <c r="F155" s="72"/>
      <c r="G155" s="118"/>
      <c r="H155" s="320"/>
    </row>
    <row r="156" spans="1:8" s="21" customFormat="1" x14ac:dyDescent="0.25">
      <c r="A156" s="24"/>
      <c r="B156" s="28"/>
      <c r="C156" s="64" t="s">
        <v>48</v>
      </c>
      <c r="D156" s="233">
        <f>D154+D149</f>
        <v>21300</v>
      </c>
      <c r="E156" s="73">
        <f t="shared" ref="E156:G156" si="10">E154+E149</f>
        <v>21300</v>
      </c>
      <c r="F156" s="73">
        <f t="shared" si="10"/>
        <v>0</v>
      </c>
      <c r="G156" s="322">
        <f t="shared" si="10"/>
        <v>0</v>
      </c>
      <c r="H156" s="320"/>
    </row>
    <row r="157" spans="1:8" s="21" customFormat="1" x14ac:dyDescent="0.25">
      <c r="A157" s="24"/>
      <c r="B157" s="28"/>
      <c r="C157" s="45"/>
      <c r="D157" s="80"/>
      <c r="E157" s="53"/>
      <c r="F157" s="53"/>
      <c r="G157" s="107"/>
      <c r="H157" s="320"/>
    </row>
    <row r="158" spans="1:8" s="21" customFormat="1" x14ac:dyDescent="0.25">
      <c r="A158" s="24"/>
      <c r="B158" s="28"/>
      <c r="C158" s="62" t="s">
        <v>16</v>
      </c>
      <c r="D158" s="95">
        <f>D60+D80+D99+D112+D133+D143+D156</f>
        <v>2445013</v>
      </c>
      <c r="E158" s="74">
        <f>E60+E80+E99+E112+E133+E143+E156</f>
        <v>2259669</v>
      </c>
      <c r="F158" s="74">
        <f>F60+F80+F99+F112+F133+F143+F156</f>
        <v>185244</v>
      </c>
      <c r="G158" s="122">
        <f>G60+G80+G99+G112+G133+G143+G156</f>
        <v>100</v>
      </c>
      <c r="H158" s="320"/>
    </row>
    <row r="159" spans="1:8" s="21" customFormat="1" x14ac:dyDescent="0.25">
      <c r="A159" s="24"/>
      <c r="B159" s="28"/>
      <c r="C159" s="29"/>
      <c r="D159" s="27"/>
      <c r="E159" s="34"/>
      <c r="F159" s="34"/>
      <c r="G159" s="103"/>
      <c r="H159" s="320"/>
    </row>
    <row r="160" spans="1:8" s="21" customFormat="1" x14ac:dyDescent="0.25">
      <c r="A160" s="24"/>
      <c r="B160" s="28"/>
      <c r="C160" s="29"/>
      <c r="D160" s="27"/>
      <c r="E160" s="34"/>
      <c r="F160" s="34"/>
      <c r="G160" s="103"/>
      <c r="H160" s="320"/>
    </row>
    <row r="161" spans="1:8" s="21" customFormat="1" x14ac:dyDescent="0.25">
      <c r="A161" s="574" t="s">
        <v>21</v>
      </c>
      <c r="B161" s="575"/>
      <c r="C161" s="576"/>
      <c r="D161" s="294">
        <f>D27+D38+D158</f>
        <v>2554582</v>
      </c>
      <c r="E161" s="295">
        <f>E27+E38+E158</f>
        <v>2369238</v>
      </c>
      <c r="F161" s="295">
        <f>F27+F38+F158</f>
        <v>185244</v>
      </c>
      <c r="G161" s="296">
        <f>G27+G38+G158</f>
        <v>100</v>
      </c>
      <c r="H161" s="320"/>
    </row>
    <row r="162" spans="1:8" s="21" customFormat="1" x14ac:dyDescent="0.25">
      <c r="A162" s="24"/>
      <c r="B162" s="28"/>
      <c r="C162" s="29"/>
      <c r="D162" s="27"/>
      <c r="E162" s="34"/>
      <c r="F162" s="34"/>
      <c r="G162" s="103"/>
      <c r="H162" s="320"/>
    </row>
    <row r="163" spans="1:8" s="21" customFormat="1" ht="30" x14ac:dyDescent="0.25">
      <c r="A163" s="24"/>
      <c r="B163" s="60" t="s">
        <v>35</v>
      </c>
      <c r="C163" s="46" t="s">
        <v>37</v>
      </c>
      <c r="D163" s="96"/>
      <c r="E163" s="75"/>
      <c r="F163" s="75"/>
      <c r="G163" s="123"/>
      <c r="H163" s="320"/>
    </row>
    <row r="164" spans="1:8" s="10" customFormat="1" x14ac:dyDescent="0.25">
      <c r="A164" s="24"/>
      <c r="B164" s="25"/>
      <c r="C164" s="26" t="s">
        <v>2</v>
      </c>
      <c r="D164" s="35"/>
      <c r="E164" s="30"/>
      <c r="F164" s="30"/>
      <c r="G164" s="100"/>
      <c r="H164" s="7"/>
    </row>
    <row r="165" spans="1:8" s="23" customFormat="1" ht="17.25" x14ac:dyDescent="0.3">
      <c r="A165" s="36"/>
      <c r="B165" s="37"/>
      <c r="C165" s="26" t="s">
        <v>521</v>
      </c>
      <c r="D165" s="35"/>
      <c r="E165" s="30"/>
      <c r="F165" s="30"/>
      <c r="G165" s="100"/>
      <c r="H165" s="321"/>
    </row>
    <row r="166" spans="1:8" s="21" customFormat="1" x14ac:dyDescent="0.25">
      <c r="A166" s="24"/>
      <c r="B166" s="25"/>
      <c r="C166" s="26" t="s">
        <v>522</v>
      </c>
      <c r="D166" s="35"/>
      <c r="E166" s="30"/>
      <c r="F166" s="30"/>
      <c r="G166" s="100"/>
      <c r="H166" s="320"/>
    </row>
    <row r="167" spans="1:8" s="22" customFormat="1" x14ac:dyDescent="0.25">
      <c r="A167" s="67"/>
      <c r="B167" s="37"/>
      <c r="C167" s="26" t="s">
        <v>523</v>
      </c>
      <c r="D167" s="35"/>
      <c r="E167" s="30"/>
      <c r="F167" s="30"/>
      <c r="G167" s="100"/>
      <c r="H167" s="299"/>
    </row>
    <row r="168" spans="1:8" s="22" customFormat="1" x14ac:dyDescent="0.25">
      <c r="A168" s="36"/>
      <c r="B168" s="37"/>
      <c r="C168" s="26" t="s">
        <v>524</v>
      </c>
      <c r="D168" s="35"/>
      <c r="E168" s="30"/>
      <c r="F168" s="30"/>
      <c r="G168" s="100"/>
      <c r="H168" s="299"/>
    </row>
    <row r="169" spans="1:8" s="10" customFormat="1" x14ac:dyDescent="0.25">
      <c r="A169" s="24"/>
      <c r="B169" s="25"/>
      <c r="C169" s="26" t="s">
        <v>525</v>
      </c>
      <c r="D169" s="35">
        <v>2722</v>
      </c>
      <c r="E169" s="30">
        <v>2722</v>
      </c>
      <c r="F169" s="30"/>
      <c r="G169" s="100"/>
      <c r="H169" s="7"/>
    </row>
    <row r="170" spans="1:8" s="10" customFormat="1" x14ac:dyDescent="0.25">
      <c r="A170" s="24"/>
      <c r="B170" s="25"/>
      <c r="C170" s="26" t="s">
        <v>526</v>
      </c>
      <c r="D170" s="35">
        <v>38852</v>
      </c>
      <c r="E170" s="30">
        <v>38852</v>
      </c>
      <c r="F170" s="30"/>
      <c r="G170" s="100"/>
      <c r="H170" s="7"/>
    </row>
    <row r="171" spans="1:8" s="10" customFormat="1" x14ac:dyDescent="0.25">
      <c r="A171" s="24"/>
      <c r="B171" s="25"/>
      <c r="C171" s="26" t="s">
        <v>527</v>
      </c>
      <c r="D171" s="35">
        <v>41323</v>
      </c>
      <c r="E171" s="30">
        <v>41323</v>
      </c>
      <c r="F171" s="30"/>
      <c r="G171" s="100"/>
      <c r="H171" s="7"/>
    </row>
    <row r="172" spans="1:8" s="22" customFormat="1" x14ac:dyDescent="0.25">
      <c r="A172" s="36"/>
      <c r="B172" s="37"/>
      <c r="C172" s="38" t="s">
        <v>30</v>
      </c>
      <c r="D172" s="87">
        <f>SUM(D165:D171)</f>
        <v>82897</v>
      </c>
      <c r="E172" s="40">
        <f>SUM(E165:E171)</f>
        <v>82897</v>
      </c>
      <c r="F172" s="40">
        <f>SUM(F165:F171)</f>
        <v>0</v>
      </c>
      <c r="G172" s="104">
        <f>SUM(G165:G171)</f>
        <v>0</v>
      </c>
      <c r="H172" s="299"/>
    </row>
    <row r="173" spans="1:8" s="10" customFormat="1" x14ac:dyDescent="0.25">
      <c r="A173" s="24"/>
      <c r="B173" s="25"/>
      <c r="C173" s="29"/>
      <c r="D173" s="79"/>
      <c r="E173" s="33"/>
      <c r="F173" s="33"/>
      <c r="G173" s="99"/>
      <c r="H173" s="7"/>
    </row>
    <row r="174" spans="1:8" s="10" customFormat="1" x14ac:dyDescent="0.25">
      <c r="A174" s="24"/>
      <c r="B174" s="25"/>
      <c r="C174" s="26" t="s">
        <v>3</v>
      </c>
      <c r="D174" s="35"/>
      <c r="E174" s="30"/>
      <c r="F174" s="30"/>
      <c r="G174" s="100"/>
      <c r="H174" s="7"/>
    </row>
    <row r="175" spans="1:8" s="10" customFormat="1" x14ac:dyDescent="0.25">
      <c r="A175" s="24"/>
      <c r="B175" s="28"/>
      <c r="C175" s="26" t="s">
        <v>528</v>
      </c>
      <c r="D175" s="35"/>
      <c r="E175" s="30"/>
      <c r="F175" s="30"/>
      <c r="G175" s="100"/>
      <c r="H175" s="7"/>
    </row>
    <row r="176" spans="1:8" s="10" customFormat="1" x14ac:dyDescent="0.25">
      <c r="A176" s="24"/>
      <c r="B176" s="25"/>
      <c r="C176" s="26" t="s">
        <v>529</v>
      </c>
      <c r="D176" s="35"/>
      <c r="E176" s="30"/>
      <c r="F176" s="30"/>
      <c r="G176" s="100"/>
      <c r="H176" s="7"/>
    </row>
    <row r="177" spans="1:8" s="10" customFormat="1" x14ac:dyDescent="0.25">
      <c r="A177" s="24"/>
      <c r="B177" s="25"/>
      <c r="C177" s="26" t="s">
        <v>530</v>
      </c>
      <c r="D177" s="35"/>
      <c r="E177" s="30"/>
      <c r="F177" s="30"/>
      <c r="G177" s="100"/>
      <c r="H177" s="7"/>
    </row>
    <row r="178" spans="1:8" s="10" customFormat="1" x14ac:dyDescent="0.25">
      <c r="A178" s="24"/>
      <c r="B178" s="25"/>
      <c r="C178" s="26" t="s">
        <v>531</v>
      </c>
      <c r="D178" s="35"/>
      <c r="E178" s="30"/>
      <c r="F178" s="30"/>
      <c r="G178" s="100"/>
      <c r="H178" s="7"/>
    </row>
    <row r="179" spans="1:8" s="10" customFormat="1" x14ac:dyDescent="0.25">
      <c r="A179" s="24"/>
      <c r="B179" s="25"/>
      <c r="C179" s="26" t="s">
        <v>532</v>
      </c>
      <c r="D179" s="35">
        <v>7591</v>
      </c>
      <c r="E179" s="30">
        <v>7591</v>
      </c>
      <c r="F179" s="30"/>
      <c r="G179" s="100"/>
      <c r="H179" s="7"/>
    </row>
    <row r="180" spans="1:8" s="10" customFormat="1" x14ac:dyDescent="0.25">
      <c r="A180" s="24"/>
      <c r="B180" s="25"/>
      <c r="C180" s="26" t="s">
        <v>533</v>
      </c>
      <c r="D180" s="35">
        <v>165539</v>
      </c>
      <c r="E180" s="30">
        <v>165539</v>
      </c>
      <c r="F180" s="30"/>
      <c r="G180" s="100"/>
      <c r="H180" s="7"/>
    </row>
    <row r="181" spans="1:8" s="10" customFormat="1" x14ac:dyDescent="0.25">
      <c r="A181" s="24"/>
      <c r="B181" s="25"/>
      <c r="C181" s="26" t="s">
        <v>534</v>
      </c>
      <c r="D181" s="35">
        <v>208909</v>
      </c>
      <c r="E181" s="30">
        <v>208909</v>
      </c>
      <c r="F181" s="30"/>
      <c r="G181" s="100"/>
      <c r="H181" s="7"/>
    </row>
    <row r="182" spans="1:8" s="10" customFormat="1" x14ac:dyDescent="0.25">
      <c r="A182" s="24"/>
      <c r="B182" s="25"/>
      <c r="C182" s="26" t="s">
        <v>535</v>
      </c>
      <c r="D182" s="85">
        <v>971</v>
      </c>
      <c r="E182" s="30">
        <v>971</v>
      </c>
      <c r="F182" s="30"/>
      <c r="G182" s="106"/>
      <c r="H182" s="7"/>
    </row>
    <row r="183" spans="1:8" s="22" customFormat="1" x14ac:dyDescent="0.25">
      <c r="A183" s="36"/>
      <c r="B183" s="37"/>
      <c r="C183" s="38" t="s">
        <v>30</v>
      </c>
      <c r="D183" s="87">
        <f>SUM(D175:D182)</f>
        <v>383010</v>
      </c>
      <c r="E183" s="40">
        <f>SUM(E175:E182)</f>
        <v>383010</v>
      </c>
      <c r="F183" s="40">
        <f>SUM(F175:F182)</f>
        <v>0</v>
      </c>
      <c r="G183" s="104">
        <f>SUM(G175:G182)</f>
        <v>0</v>
      </c>
      <c r="H183" s="299"/>
    </row>
    <row r="184" spans="1:8" s="10" customFormat="1" x14ac:dyDescent="0.25">
      <c r="A184" s="24"/>
      <c r="B184" s="25"/>
      <c r="C184" s="29"/>
      <c r="D184" s="27"/>
      <c r="E184" s="34"/>
      <c r="F184" s="34"/>
      <c r="G184" s="103"/>
      <c r="H184" s="7"/>
    </row>
    <row r="185" spans="1:8" s="10" customFormat="1" x14ac:dyDescent="0.25">
      <c r="A185" s="24"/>
      <c r="B185" s="25" t="s">
        <v>82</v>
      </c>
      <c r="C185" s="26" t="s">
        <v>22</v>
      </c>
      <c r="D185" s="24"/>
      <c r="E185" s="31"/>
      <c r="F185" s="31"/>
      <c r="G185" s="32"/>
      <c r="H185" s="7"/>
    </row>
    <row r="186" spans="1:8" s="10" customFormat="1" x14ac:dyDescent="0.25">
      <c r="A186" s="24"/>
      <c r="B186" s="28"/>
      <c r="C186" s="26" t="s">
        <v>23</v>
      </c>
      <c r="D186" s="24"/>
      <c r="E186" s="31"/>
      <c r="F186" s="31"/>
      <c r="G186" s="32"/>
      <c r="H186" s="7"/>
    </row>
    <row r="187" spans="1:8" s="10" customFormat="1" x14ac:dyDescent="0.25">
      <c r="A187" s="24"/>
      <c r="B187" s="25"/>
      <c r="C187" s="26" t="s">
        <v>103</v>
      </c>
      <c r="D187" s="24"/>
      <c r="E187" s="31"/>
      <c r="F187" s="31"/>
      <c r="G187" s="32"/>
      <c r="H187" s="7"/>
    </row>
    <row r="188" spans="1:8" s="10" customFormat="1" x14ac:dyDescent="0.25">
      <c r="A188" s="24"/>
      <c r="B188" s="25"/>
      <c r="C188" s="26" t="s">
        <v>104</v>
      </c>
      <c r="D188" s="35">
        <v>237500</v>
      </c>
      <c r="E188" s="30">
        <v>237500</v>
      </c>
      <c r="F188" s="30"/>
      <c r="G188" s="100"/>
      <c r="H188" s="7"/>
    </row>
    <row r="189" spans="1:8" s="10" customFormat="1" x14ac:dyDescent="0.25">
      <c r="A189" s="24"/>
      <c r="B189" s="25"/>
      <c r="C189" s="26" t="s">
        <v>105</v>
      </c>
      <c r="D189" s="35"/>
      <c r="E189" s="30"/>
      <c r="F189" s="30"/>
      <c r="G189" s="100"/>
      <c r="H189" s="7"/>
    </row>
    <row r="190" spans="1:8" s="22" customFormat="1" x14ac:dyDescent="0.25">
      <c r="A190" s="36"/>
      <c r="B190" s="37"/>
      <c r="C190" s="38" t="s">
        <v>30</v>
      </c>
      <c r="D190" s="87">
        <f t="shared" ref="D190:G190" si="11">SUM(D187:D189)</f>
        <v>237500</v>
      </c>
      <c r="E190" s="40">
        <f t="shared" si="11"/>
        <v>237500</v>
      </c>
      <c r="F190" s="40">
        <f t="shared" si="11"/>
        <v>0</v>
      </c>
      <c r="G190" s="104">
        <f t="shared" si="11"/>
        <v>0</v>
      </c>
      <c r="H190" s="299"/>
    </row>
    <row r="191" spans="1:8" s="22" customFormat="1" x14ac:dyDescent="0.25">
      <c r="A191" s="36"/>
      <c r="B191" s="37"/>
      <c r="C191" s="38"/>
      <c r="D191" s="39"/>
      <c r="E191" s="40"/>
      <c r="F191" s="40"/>
      <c r="G191" s="101"/>
      <c r="H191" s="299"/>
    </row>
    <row r="192" spans="1:8" s="10" customFormat="1" x14ac:dyDescent="0.25">
      <c r="A192" s="24"/>
      <c r="B192" s="43"/>
      <c r="C192" s="26" t="s">
        <v>106</v>
      </c>
      <c r="D192" s="85"/>
      <c r="E192" s="30"/>
      <c r="F192" s="31"/>
      <c r="G192" s="32"/>
      <c r="H192" s="7"/>
    </row>
    <row r="193" spans="1:8" s="10" customFormat="1" x14ac:dyDescent="0.25">
      <c r="A193" s="24"/>
      <c r="B193" s="25"/>
      <c r="C193" s="26"/>
      <c r="D193" s="24"/>
      <c r="E193" s="31"/>
      <c r="F193" s="31"/>
      <c r="G193" s="32"/>
      <c r="H193" s="7"/>
    </row>
    <row r="194" spans="1:8" s="10" customFormat="1" ht="17.25" thickBot="1" x14ac:dyDescent="0.3">
      <c r="A194" s="47"/>
      <c r="B194" s="59"/>
      <c r="C194" s="48" t="s">
        <v>21</v>
      </c>
      <c r="D194" s="111">
        <f>D161+D183+D172+D190+D192</f>
        <v>3257989</v>
      </c>
      <c r="E194" s="124">
        <f>E161+E183+E172+E190+E192</f>
        <v>3072645</v>
      </c>
      <c r="F194" s="124">
        <f>F161+F183+F172+F190+F192</f>
        <v>185244</v>
      </c>
      <c r="G194" s="115">
        <f>G161+G183+G172+G190+G192</f>
        <v>100</v>
      </c>
      <c r="H194" s="7"/>
    </row>
    <row r="195" spans="1:8" s="10" customFormat="1" x14ac:dyDescent="0.25">
      <c r="A195" s="13"/>
      <c r="B195" s="20"/>
      <c r="C195" s="57"/>
      <c r="D195" s="12"/>
      <c r="E195" s="12"/>
      <c r="F195" s="12"/>
      <c r="G195" s="12"/>
    </row>
    <row r="196" spans="1:8" s="10" customFormat="1" x14ac:dyDescent="0.25">
      <c r="A196" s="7"/>
      <c r="B196" s="8"/>
      <c r="C196" s="31"/>
      <c r="D196" s="81"/>
    </row>
    <row r="197" spans="1:8" s="10" customFormat="1" x14ac:dyDescent="0.25">
      <c r="A197" s="7"/>
      <c r="B197" s="8"/>
      <c r="C197" s="31"/>
    </row>
    <row r="198" spans="1:8" s="10" customFormat="1" x14ac:dyDescent="0.25">
      <c r="A198" s="7"/>
      <c r="B198" s="8"/>
      <c r="C198" s="31"/>
    </row>
    <row r="199" spans="1:8" s="10" customFormat="1" x14ac:dyDescent="0.25">
      <c r="A199" s="7"/>
      <c r="B199" s="8"/>
      <c r="C199" s="31"/>
    </row>
    <row r="200" spans="1:8" s="10" customFormat="1" x14ac:dyDescent="0.25">
      <c r="A200" s="7"/>
      <c r="B200" s="8"/>
      <c r="C200" s="31"/>
    </row>
    <row r="201" spans="1:8" s="10" customFormat="1" x14ac:dyDescent="0.25">
      <c r="A201" s="7"/>
      <c r="B201" s="8"/>
      <c r="C201" s="31"/>
    </row>
    <row r="202" spans="1:8" s="10" customFormat="1" x14ac:dyDescent="0.25">
      <c r="A202" s="7"/>
      <c r="B202" s="8"/>
      <c r="C202" s="31"/>
    </row>
    <row r="203" spans="1:8" s="10" customFormat="1" x14ac:dyDescent="0.25">
      <c r="A203" s="7"/>
      <c r="B203" s="8"/>
      <c r="C203" s="31"/>
    </row>
    <row r="204" spans="1:8" s="10" customFormat="1" x14ac:dyDescent="0.25">
      <c r="A204" s="7"/>
      <c r="B204" s="8"/>
      <c r="C204" s="31"/>
    </row>
    <row r="205" spans="1:8" s="10" customFormat="1" x14ac:dyDescent="0.25">
      <c r="A205" s="7"/>
      <c r="B205" s="8"/>
      <c r="C205" s="31"/>
    </row>
    <row r="206" spans="1:8" s="10" customFormat="1" x14ac:dyDescent="0.25">
      <c r="A206" s="7"/>
      <c r="B206" s="8"/>
      <c r="C206" s="31"/>
    </row>
    <row r="207" spans="1:8" s="10" customFormat="1" x14ac:dyDescent="0.25"/>
    <row r="208" spans="1:8" s="10" customFormat="1" x14ac:dyDescent="0.25"/>
    <row r="209" s="10" customFormat="1" x14ac:dyDescent="0.25"/>
    <row r="210" s="10" customFormat="1" x14ac:dyDescent="0.25"/>
    <row r="211" s="10" customFormat="1" x14ac:dyDescent="0.25"/>
    <row r="212" s="10" customFormat="1" x14ac:dyDescent="0.25"/>
    <row r="213" s="10" customFormat="1" x14ac:dyDescent="0.25"/>
    <row r="214" s="10" customFormat="1" x14ac:dyDescent="0.25"/>
    <row r="215" s="10" customFormat="1" x14ac:dyDescent="0.25"/>
    <row r="216" s="10" customFormat="1" x14ac:dyDescent="0.25"/>
    <row r="217" s="10" customFormat="1" x14ac:dyDescent="0.25"/>
    <row r="218" s="10" customFormat="1" x14ac:dyDescent="0.25"/>
    <row r="219" s="10" customFormat="1" x14ac:dyDescent="0.25"/>
    <row r="220" s="10" customFormat="1" x14ac:dyDescent="0.25"/>
    <row r="221" s="10" customFormat="1" x14ac:dyDescent="0.25"/>
    <row r="222" s="10" customFormat="1" x14ac:dyDescent="0.25"/>
    <row r="223" s="10" customFormat="1" x14ac:dyDescent="0.25"/>
    <row r="224" s="10" customFormat="1" x14ac:dyDescent="0.25"/>
    <row r="225" s="10" customFormat="1" x14ac:dyDescent="0.25"/>
    <row r="226" s="10" customFormat="1" x14ac:dyDescent="0.25"/>
    <row r="227" s="10" customFormat="1" x14ac:dyDescent="0.25"/>
    <row r="228" s="10" customFormat="1" x14ac:dyDescent="0.25"/>
    <row r="229" s="10" customFormat="1" x14ac:dyDescent="0.25"/>
    <row r="230" s="10" customFormat="1" x14ac:dyDescent="0.25"/>
    <row r="231" s="10" customFormat="1" x14ac:dyDescent="0.25"/>
    <row r="232" s="10" customFormat="1" x14ac:dyDescent="0.25"/>
    <row r="233" s="10" customFormat="1" x14ac:dyDescent="0.25"/>
    <row r="234" s="10" customFormat="1" x14ac:dyDescent="0.25"/>
    <row r="235" s="10" customFormat="1" x14ac:dyDescent="0.25"/>
    <row r="236" s="10" customFormat="1" x14ac:dyDescent="0.25"/>
    <row r="237" s="10" customFormat="1" x14ac:dyDescent="0.25"/>
    <row r="238" s="10" customFormat="1" x14ac:dyDescent="0.25"/>
    <row r="239" s="10" customFormat="1" x14ac:dyDescent="0.25"/>
    <row r="240" s="10" customFormat="1" x14ac:dyDescent="0.25"/>
    <row r="241" spans="1:3" s="10" customFormat="1" x14ac:dyDescent="0.25"/>
    <row r="242" spans="1:3" s="10" customFormat="1" x14ac:dyDescent="0.25"/>
    <row r="243" spans="1:3" s="10" customFormat="1" x14ac:dyDescent="0.25"/>
    <row r="244" spans="1:3" s="10" customFormat="1" x14ac:dyDescent="0.25"/>
    <row r="245" spans="1:3" s="10" customFormat="1" x14ac:dyDescent="0.25"/>
    <row r="246" spans="1:3" s="10" customFormat="1" x14ac:dyDescent="0.25"/>
    <row r="247" spans="1:3" s="10" customFormat="1" x14ac:dyDescent="0.25"/>
    <row r="248" spans="1:3" s="10" customFormat="1" x14ac:dyDescent="0.25"/>
    <row r="249" spans="1:3" s="10" customFormat="1" x14ac:dyDescent="0.25">
      <c r="A249" s="7"/>
      <c r="B249" s="8"/>
      <c r="C249" s="31"/>
    </row>
    <row r="250" spans="1:3" s="10" customFormat="1" x14ac:dyDescent="0.25">
      <c r="A250" s="7"/>
      <c r="B250" s="8"/>
      <c r="C250" s="31"/>
    </row>
    <row r="251" spans="1:3" s="10" customFormat="1" x14ac:dyDescent="0.25">
      <c r="A251" s="7"/>
      <c r="B251" s="8"/>
      <c r="C251" s="31"/>
    </row>
    <row r="252" spans="1:3" s="10" customFormat="1" x14ac:dyDescent="0.25">
      <c r="A252" s="7"/>
      <c r="B252" s="8"/>
      <c r="C252" s="31"/>
    </row>
    <row r="253" spans="1:3" s="10" customFormat="1" x14ac:dyDescent="0.25">
      <c r="A253" s="7"/>
      <c r="B253" s="8"/>
      <c r="C253" s="31"/>
    </row>
    <row r="254" spans="1:3" s="10" customFormat="1" x14ac:dyDescent="0.25">
      <c r="A254" s="7"/>
      <c r="B254" s="8"/>
      <c r="C254" s="31"/>
    </row>
    <row r="255" spans="1:3" s="10" customFormat="1" x14ac:dyDescent="0.25">
      <c r="A255" s="7"/>
      <c r="B255" s="8"/>
      <c r="C255" s="31"/>
    </row>
    <row r="256" spans="1:3" s="10" customFormat="1" x14ac:dyDescent="0.25">
      <c r="A256" s="7"/>
      <c r="B256" s="8"/>
      <c r="C256" s="31"/>
    </row>
    <row r="257" spans="1:3" s="10" customFormat="1" x14ac:dyDescent="0.25">
      <c r="A257" s="7"/>
      <c r="B257" s="8"/>
      <c r="C257" s="31"/>
    </row>
    <row r="258" spans="1:3" s="10" customFormat="1" x14ac:dyDescent="0.25">
      <c r="A258" s="7"/>
      <c r="B258" s="8"/>
      <c r="C258" s="31"/>
    </row>
    <row r="259" spans="1:3" s="10" customFormat="1" x14ac:dyDescent="0.25">
      <c r="A259" s="7"/>
      <c r="B259" s="8"/>
      <c r="C259" s="31"/>
    </row>
    <row r="260" spans="1:3" s="10" customFormat="1" x14ac:dyDescent="0.25">
      <c r="A260" s="7"/>
      <c r="B260" s="8"/>
      <c r="C260" s="31"/>
    </row>
    <row r="261" spans="1:3" s="10" customFormat="1" x14ac:dyDescent="0.25">
      <c r="A261" s="7"/>
      <c r="B261" s="8"/>
      <c r="C261" s="31"/>
    </row>
  </sheetData>
  <mergeCells count="3">
    <mergeCell ref="D5:G5"/>
    <mergeCell ref="A161:C161"/>
    <mergeCell ref="A1:G1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90" fitToHeight="0" orientation="portrait" r:id="rId1"/>
  <headerFooter alignWithMargins="0">
    <oddHeader>&amp;P. oldal</oddHeader>
  </headerFooter>
  <rowBreaks count="1" manualBreakCount="1">
    <brk id="135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view="pageBreakPreview" zoomScaleNormal="100" zoomScaleSheetLayoutView="100" workbookViewId="0">
      <selection sqref="A1:D1"/>
    </sheetView>
  </sheetViews>
  <sheetFormatPr defaultRowHeight="15" x14ac:dyDescent="0.25"/>
  <cols>
    <col min="1" max="1" width="43" style="152" customWidth="1"/>
    <col min="2" max="3" width="10.7109375" style="156" bestFit="1" customWidth="1"/>
    <col min="4" max="4" width="10.7109375" style="155" bestFit="1" customWidth="1"/>
    <col min="5" max="256" width="9.140625" style="153"/>
    <col min="257" max="257" width="43" style="153" customWidth="1"/>
    <col min="258" max="260" width="10.7109375" style="153" bestFit="1" customWidth="1"/>
    <col min="261" max="512" width="9.140625" style="153"/>
    <col min="513" max="513" width="43" style="153" customWidth="1"/>
    <col min="514" max="516" width="10.7109375" style="153" bestFit="1" customWidth="1"/>
    <col min="517" max="768" width="9.140625" style="153"/>
    <col min="769" max="769" width="43" style="153" customWidth="1"/>
    <col min="770" max="772" width="10.7109375" style="153" bestFit="1" customWidth="1"/>
    <col min="773" max="1024" width="9.140625" style="153"/>
    <col min="1025" max="1025" width="43" style="153" customWidth="1"/>
    <col min="1026" max="1028" width="10.7109375" style="153" bestFit="1" customWidth="1"/>
    <col min="1029" max="1280" width="9.140625" style="153"/>
    <col min="1281" max="1281" width="43" style="153" customWidth="1"/>
    <col min="1282" max="1284" width="10.7109375" style="153" bestFit="1" customWidth="1"/>
    <col min="1285" max="1536" width="9.140625" style="153"/>
    <col min="1537" max="1537" width="43" style="153" customWidth="1"/>
    <col min="1538" max="1540" width="10.7109375" style="153" bestFit="1" customWidth="1"/>
    <col min="1541" max="1792" width="9.140625" style="153"/>
    <col min="1793" max="1793" width="43" style="153" customWidth="1"/>
    <col min="1794" max="1796" width="10.7109375" style="153" bestFit="1" customWidth="1"/>
    <col min="1797" max="2048" width="9.140625" style="153"/>
    <col min="2049" max="2049" width="43" style="153" customWidth="1"/>
    <col min="2050" max="2052" width="10.7109375" style="153" bestFit="1" customWidth="1"/>
    <col min="2053" max="2304" width="9.140625" style="153"/>
    <col min="2305" max="2305" width="43" style="153" customWidth="1"/>
    <col min="2306" max="2308" width="10.7109375" style="153" bestFit="1" customWidth="1"/>
    <col min="2309" max="2560" width="9.140625" style="153"/>
    <col min="2561" max="2561" width="43" style="153" customWidth="1"/>
    <col min="2562" max="2564" width="10.7109375" style="153" bestFit="1" customWidth="1"/>
    <col min="2565" max="2816" width="9.140625" style="153"/>
    <col min="2817" max="2817" width="43" style="153" customWidth="1"/>
    <col min="2818" max="2820" width="10.7109375" style="153" bestFit="1" customWidth="1"/>
    <col min="2821" max="3072" width="9.140625" style="153"/>
    <col min="3073" max="3073" width="43" style="153" customWidth="1"/>
    <col min="3074" max="3076" width="10.7109375" style="153" bestFit="1" customWidth="1"/>
    <col min="3077" max="3328" width="9.140625" style="153"/>
    <col min="3329" max="3329" width="43" style="153" customWidth="1"/>
    <col min="3330" max="3332" width="10.7109375" style="153" bestFit="1" customWidth="1"/>
    <col min="3333" max="3584" width="9.140625" style="153"/>
    <col min="3585" max="3585" width="43" style="153" customWidth="1"/>
    <col min="3586" max="3588" width="10.7109375" style="153" bestFit="1" customWidth="1"/>
    <col min="3589" max="3840" width="9.140625" style="153"/>
    <col min="3841" max="3841" width="43" style="153" customWidth="1"/>
    <col min="3842" max="3844" width="10.7109375" style="153" bestFit="1" customWidth="1"/>
    <col min="3845" max="4096" width="9.140625" style="153"/>
    <col min="4097" max="4097" width="43" style="153" customWidth="1"/>
    <col min="4098" max="4100" width="10.7109375" style="153" bestFit="1" customWidth="1"/>
    <col min="4101" max="4352" width="9.140625" style="153"/>
    <col min="4353" max="4353" width="43" style="153" customWidth="1"/>
    <col min="4354" max="4356" width="10.7109375" style="153" bestFit="1" customWidth="1"/>
    <col min="4357" max="4608" width="9.140625" style="153"/>
    <col min="4609" max="4609" width="43" style="153" customWidth="1"/>
    <col min="4610" max="4612" width="10.7109375" style="153" bestFit="1" customWidth="1"/>
    <col min="4613" max="4864" width="9.140625" style="153"/>
    <col min="4865" max="4865" width="43" style="153" customWidth="1"/>
    <col min="4866" max="4868" width="10.7109375" style="153" bestFit="1" customWidth="1"/>
    <col min="4869" max="5120" width="9.140625" style="153"/>
    <col min="5121" max="5121" width="43" style="153" customWidth="1"/>
    <col min="5122" max="5124" width="10.7109375" style="153" bestFit="1" customWidth="1"/>
    <col min="5125" max="5376" width="9.140625" style="153"/>
    <col min="5377" max="5377" width="43" style="153" customWidth="1"/>
    <col min="5378" max="5380" width="10.7109375" style="153" bestFit="1" customWidth="1"/>
    <col min="5381" max="5632" width="9.140625" style="153"/>
    <col min="5633" max="5633" width="43" style="153" customWidth="1"/>
    <col min="5634" max="5636" width="10.7109375" style="153" bestFit="1" customWidth="1"/>
    <col min="5637" max="5888" width="9.140625" style="153"/>
    <col min="5889" max="5889" width="43" style="153" customWidth="1"/>
    <col min="5890" max="5892" width="10.7109375" style="153" bestFit="1" customWidth="1"/>
    <col min="5893" max="6144" width="9.140625" style="153"/>
    <col min="6145" max="6145" width="43" style="153" customWidth="1"/>
    <col min="6146" max="6148" width="10.7109375" style="153" bestFit="1" customWidth="1"/>
    <col min="6149" max="6400" width="9.140625" style="153"/>
    <col min="6401" max="6401" width="43" style="153" customWidth="1"/>
    <col min="6402" max="6404" width="10.7109375" style="153" bestFit="1" customWidth="1"/>
    <col min="6405" max="6656" width="9.140625" style="153"/>
    <col min="6657" max="6657" width="43" style="153" customWidth="1"/>
    <col min="6658" max="6660" width="10.7109375" style="153" bestFit="1" customWidth="1"/>
    <col min="6661" max="6912" width="9.140625" style="153"/>
    <col min="6913" max="6913" width="43" style="153" customWidth="1"/>
    <col min="6914" max="6916" width="10.7109375" style="153" bestFit="1" customWidth="1"/>
    <col min="6917" max="7168" width="9.140625" style="153"/>
    <col min="7169" max="7169" width="43" style="153" customWidth="1"/>
    <col min="7170" max="7172" width="10.7109375" style="153" bestFit="1" customWidth="1"/>
    <col min="7173" max="7424" width="9.140625" style="153"/>
    <col min="7425" max="7425" width="43" style="153" customWidth="1"/>
    <col min="7426" max="7428" width="10.7109375" style="153" bestFit="1" customWidth="1"/>
    <col min="7429" max="7680" width="9.140625" style="153"/>
    <col min="7681" max="7681" width="43" style="153" customWidth="1"/>
    <col min="7682" max="7684" width="10.7109375" style="153" bestFit="1" customWidth="1"/>
    <col min="7685" max="7936" width="9.140625" style="153"/>
    <col min="7937" max="7937" width="43" style="153" customWidth="1"/>
    <col min="7938" max="7940" width="10.7109375" style="153" bestFit="1" customWidth="1"/>
    <col min="7941" max="8192" width="9.140625" style="153"/>
    <col min="8193" max="8193" width="43" style="153" customWidth="1"/>
    <col min="8194" max="8196" width="10.7109375" style="153" bestFit="1" customWidth="1"/>
    <col min="8197" max="8448" width="9.140625" style="153"/>
    <col min="8449" max="8449" width="43" style="153" customWidth="1"/>
    <col min="8450" max="8452" width="10.7109375" style="153" bestFit="1" customWidth="1"/>
    <col min="8453" max="8704" width="9.140625" style="153"/>
    <col min="8705" max="8705" width="43" style="153" customWidth="1"/>
    <col min="8706" max="8708" width="10.7109375" style="153" bestFit="1" customWidth="1"/>
    <col min="8709" max="8960" width="9.140625" style="153"/>
    <col min="8961" max="8961" width="43" style="153" customWidth="1"/>
    <col min="8962" max="8964" width="10.7109375" style="153" bestFit="1" customWidth="1"/>
    <col min="8965" max="9216" width="9.140625" style="153"/>
    <col min="9217" max="9217" width="43" style="153" customWidth="1"/>
    <col min="9218" max="9220" width="10.7109375" style="153" bestFit="1" customWidth="1"/>
    <col min="9221" max="9472" width="9.140625" style="153"/>
    <col min="9473" max="9473" width="43" style="153" customWidth="1"/>
    <col min="9474" max="9476" width="10.7109375" style="153" bestFit="1" customWidth="1"/>
    <col min="9477" max="9728" width="9.140625" style="153"/>
    <col min="9729" max="9729" width="43" style="153" customWidth="1"/>
    <col min="9730" max="9732" width="10.7109375" style="153" bestFit="1" customWidth="1"/>
    <col min="9733" max="9984" width="9.140625" style="153"/>
    <col min="9985" max="9985" width="43" style="153" customWidth="1"/>
    <col min="9986" max="9988" width="10.7109375" style="153" bestFit="1" customWidth="1"/>
    <col min="9989" max="10240" width="9.140625" style="153"/>
    <col min="10241" max="10241" width="43" style="153" customWidth="1"/>
    <col min="10242" max="10244" width="10.7109375" style="153" bestFit="1" customWidth="1"/>
    <col min="10245" max="10496" width="9.140625" style="153"/>
    <col min="10497" max="10497" width="43" style="153" customWidth="1"/>
    <col min="10498" max="10500" width="10.7109375" style="153" bestFit="1" customWidth="1"/>
    <col min="10501" max="10752" width="9.140625" style="153"/>
    <col min="10753" max="10753" width="43" style="153" customWidth="1"/>
    <col min="10754" max="10756" width="10.7109375" style="153" bestFit="1" customWidth="1"/>
    <col min="10757" max="11008" width="9.140625" style="153"/>
    <col min="11009" max="11009" width="43" style="153" customWidth="1"/>
    <col min="11010" max="11012" width="10.7109375" style="153" bestFit="1" customWidth="1"/>
    <col min="11013" max="11264" width="9.140625" style="153"/>
    <col min="11265" max="11265" width="43" style="153" customWidth="1"/>
    <col min="11266" max="11268" width="10.7109375" style="153" bestFit="1" customWidth="1"/>
    <col min="11269" max="11520" width="9.140625" style="153"/>
    <col min="11521" max="11521" width="43" style="153" customWidth="1"/>
    <col min="11522" max="11524" width="10.7109375" style="153" bestFit="1" customWidth="1"/>
    <col min="11525" max="11776" width="9.140625" style="153"/>
    <col min="11777" max="11777" width="43" style="153" customWidth="1"/>
    <col min="11778" max="11780" width="10.7109375" style="153" bestFit="1" customWidth="1"/>
    <col min="11781" max="12032" width="9.140625" style="153"/>
    <col min="12033" max="12033" width="43" style="153" customWidth="1"/>
    <col min="12034" max="12036" width="10.7109375" style="153" bestFit="1" customWidth="1"/>
    <col min="12037" max="12288" width="9.140625" style="153"/>
    <col min="12289" max="12289" width="43" style="153" customWidth="1"/>
    <col min="12290" max="12292" width="10.7109375" style="153" bestFit="1" customWidth="1"/>
    <col min="12293" max="12544" width="9.140625" style="153"/>
    <col min="12545" max="12545" width="43" style="153" customWidth="1"/>
    <col min="12546" max="12548" width="10.7109375" style="153" bestFit="1" customWidth="1"/>
    <col min="12549" max="12800" width="9.140625" style="153"/>
    <col min="12801" max="12801" width="43" style="153" customWidth="1"/>
    <col min="12802" max="12804" width="10.7109375" style="153" bestFit="1" customWidth="1"/>
    <col min="12805" max="13056" width="9.140625" style="153"/>
    <col min="13057" max="13057" width="43" style="153" customWidth="1"/>
    <col min="13058" max="13060" width="10.7109375" style="153" bestFit="1" customWidth="1"/>
    <col min="13061" max="13312" width="9.140625" style="153"/>
    <col min="13313" max="13313" width="43" style="153" customWidth="1"/>
    <col min="13314" max="13316" width="10.7109375" style="153" bestFit="1" customWidth="1"/>
    <col min="13317" max="13568" width="9.140625" style="153"/>
    <col min="13569" max="13569" width="43" style="153" customWidth="1"/>
    <col min="13570" max="13572" width="10.7109375" style="153" bestFit="1" customWidth="1"/>
    <col min="13573" max="13824" width="9.140625" style="153"/>
    <col min="13825" max="13825" width="43" style="153" customWidth="1"/>
    <col min="13826" max="13828" width="10.7109375" style="153" bestFit="1" customWidth="1"/>
    <col min="13829" max="14080" width="9.140625" style="153"/>
    <col min="14081" max="14081" width="43" style="153" customWidth="1"/>
    <col min="14082" max="14084" width="10.7109375" style="153" bestFit="1" customWidth="1"/>
    <col min="14085" max="14336" width="9.140625" style="153"/>
    <col min="14337" max="14337" width="43" style="153" customWidth="1"/>
    <col min="14338" max="14340" width="10.7109375" style="153" bestFit="1" customWidth="1"/>
    <col min="14341" max="14592" width="9.140625" style="153"/>
    <col min="14593" max="14593" width="43" style="153" customWidth="1"/>
    <col min="14594" max="14596" width="10.7109375" style="153" bestFit="1" customWidth="1"/>
    <col min="14597" max="14848" width="9.140625" style="153"/>
    <col min="14849" max="14849" width="43" style="153" customWidth="1"/>
    <col min="14850" max="14852" width="10.7109375" style="153" bestFit="1" customWidth="1"/>
    <col min="14853" max="15104" width="9.140625" style="153"/>
    <col min="15105" max="15105" width="43" style="153" customWidth="1"/>
    <col min="15106" max="15108" width="10.7109375" style="153" bestFit="1" customWidth="1"/>
    <col min="15109" max="15360" width="9.140625" style="153"/>
    <col min="15361" max="15361" width="43" style="153" customWidth="1"/>
    <col min="15362" max="15364" width="10.7109375" style="153" bestFit="1" customWidth="1"/>
    <col min="15365" max="15616" width="9.140625" style="153"/>
    <col min="15617" max="15617" width="43" style="153" customWidth="1"/>
    <col min="15618" max="15620" width="10.7109375" style="153" bestFit="1" customWidth="1"/>
    <col min="15621" max="15872" width="9.140625" style="153"/>
    <col min="15873" max="15873" width="43" style="153" customWidth="1"/>
    <col min="15874" max="15876" width="10.7109375" style="153" bestFit="1" customWidth="1"/>
    <col min="15877" max="16128" width="9.140625" style="153"/>
    <col min="16129" max="16129" width="43" style="153" customWidth="1"/>
    <col min="16130" max="16132" width="10.7109375" style="153" bestFit="1" customWidth="1"/>
    <col min="16133" max="16384" width="9.140625" style="153"/>
  </cols>
  <sheetData>
    <row r="1" spans="1:4" x14ac:dyDescent="0.25">
      <c r="A1" s="627" t="s">
        <v>1007</v>
      </c>
      <c r="B1" s="627"/>
      <c r="C1" s="627"/>
      <c r="D1" s="627"/>
    </row>
    <row r="2" spans="1:4" ht="14.25" x14ac:dyDescent="0.2">
      <c r="A2" s="154"/>
      <c r="B2" s="151"/>
      <c r="C2" s="151"/>
      <c r="D2" s="151"/>
    </row>
    <row r="3" spans="1:4" ht="15" customHeight="1" x14ac:dyDescent="0.25">
      <c r="A3" s="626" t="s">
        <v>205</v>
      </c>
      <c r="B3" s="626"/>
      <c r="C3" s="626"/>
    </row>
    <row r="4" spans="1:4" x14ac:dyDescent="0.25">
      <c r="C4" s="154"/>
      <c r="D4" s="154" t="s">
        <v>31</v>
      </c>
    </row>
    <row r="5" spans="1:4" ht="14.25" x14ac:dyDescent="0.2">
      <c r="A5" s="157" t="s">
        <v>206</v>
      </c>
      <c r="B5" s="158" t="s">
        <v>266</v>
      </c>
      <c r="C5" s="159" t="s">
        <v>267</v>
      </c>
      <c r="D5" s="159" t="s">
        <v>901</v>
      </c>
    </row>
    <row r="6" spans="1:4" x14ac:dyDescent="0.25">
      <c r="A6" s="160" t="s">
        <v>172</v>
      </c>
      <c r="B6" s="161">
        <v>243170</v>
      </c>
      <c r="C6" s="161">
        <v>245000</v>
      </c>
      <c r="D6" s="161">
        <v>250000</v>
      </c>
    </row>
    <row r="7" spans="1:4" x14ac:dyDescent="0.25">
      <c r="A7" s="162" t="s">
        <v>207</v>
      </c>
      <c r="B7" s="161">
        <v>743000</v>
      </c>
      <c r="C7" s="161">
        <v>743000</v>
      </c>
      <c r="D7" s="161">
        <v>743000</v>
      </c>
    </row>
    <row r="8" spans="1:4" x14ac:dyDescent="0.25">
      <c r="A8" s="160" t="s">
        <v>208</v>
      </c>
      <c r="B8" s="161">
        <v>50000</v>
      </c>
      <c r="C8" s="161">
        <v>50000</v>
      </c>
      <c r="D8" s="161">
        <v>50000</v>
      </c>
    </row>
    <row r="9" spans="1:4" x14ac:dyDescent="0.25">
      <c r="A9" s="160" t="s">
        <v>209</v>
      </c>
      <c r="B9" s="161">
        <v>0</v>
      </c>
      <c r="C9" s="161">
        <v>0</v>
      </c>
      <c r="D9" s="161">
        <v>0</v>
      </c>
    </row>
    <row r="10" spans="1:4" x14ac:dyDescent="0.25">
      <c r="A10" s="160" t="s">
        <v>210</v>
      </c>
      <c r="B10" s="161">
        <v>14300</v>
      </c>
      <c r="C10" s="161">
        <v>15000</v>
      </c>
      <c r="D10" s="161">
        <v>16000</v>
      </c>
    </row>
    <row r="11" spans="1:4" x14ac:dyDescent="0.25">
      <c r="A11" s="160" t="s">
        <v>174</v>
      </c>
      <c r="B11" s="163">
        <v>1075000</v>
      </c>
      <c r="C11" s="161">
        <v>1080000</v>
      </c>
      <c r="D11" s="161">
        <v>1085000</v>
      </c>
    </row>
    <row r="12" spans="1:4" x14ac:dyDescent="0.25">
      <c r="A12" s="160" t="s">
        <v>211</v>
      </c>
      <c r="B12" s="163">
        <v>93000</v>
      </c>
      <c r="C12" s="161">
        <v>94000</v>
      </c>
      <c r="D12" s="161">
        <v>96000</v>
      </c>
    </row>
    <row r="13" spans="1:4" x14ac:dyDescent="0.25">
      <c r="A13" s="160" t="s">
        <v>212</v>
      </c>
      <c r="B13" s="161">
        <v>6000</v>
      </c>
      <c r="C13" s="161">
        <v>6500</v>
      </c>
      <c r="D13" s="161">
        <v>8000</v>
      </c>
    </row>
    <row r="14" spans="1:4" x14ac:dyDescent="0.25">
      <c r="A14" s="164" t="s">
        <v>180</v>
      </c>
      <c r="B14" s="161">
        <v>0</v>
      </c>
      <c r="C14" s="161">
        <v>0</v>
      </c>
      <c r="D14" s="161">
        <v>0</v>
      </c>
    </row>
    <row r="15" spans="1:4" x14ac:dyDescent="0.25">
      <c r="A15" s="160" t="s">
        <v>179</v>
      </c>
      <c r="B15" s="161">
        <v>6000</v>
      </c>
      <c r="C15" s="161">
        <v>6000</v>
      </c>
      <c r="D15" s="161">
        <v>6000</v>
      </c>
    </row>
    <row r="16" spans="1:4" x14ac:dyDescent="0.25">
      <c r="A16" s="160" t="s">
        <v>213</v>
      </c>
      <c r="B16" s="161">
        <v>2000</v>
      </c>
      <c r="C16" s="161">
        <v>2000</v>
      </c>
      <c r="D16" s="161">
        <v>2000</v>
      </c>
    </row>
    <row r="17" spans="1:4" x14ac:dyDescent="0.25">
      <c r="A17" s="165" t="s">
        <v>214</v>
      </c>
      <c r="B17" s="166">
        <f>SUM(B6:B16)</f>
        <v>2232470</v>
      </c>
      <c r="C17" s="166">
        <f>SUM(C6:C16)</f>
        <v>2241500</v>
      </c>
      <c r="D17" s="166">
        <f>SUM(D6:D16)</f>
        <v>2256000</v>
      </c>
    </row>
    <row r="18" spans="1:4" x14ac:dyDescent="0.25">
      <c r="A18" s="160" t="s">
        <v>186</v>
      </c>
      <c r="B18" s="161">
        <v>0</v>
      </c>
      <c r="C18" s="161">
        <v>0</v>
      </c>
      <c r="D18" s="161">
        <v>0</v>
      </c>
    </row>
    <row r="19" spans="1:4" x14ac:dyDescent="0.25">
      <c r="A19" s="160" t="s">
        <v>86</v>
      </c>
      <c r="B19" s="161">
        <v>235000</v>
      </c>
      <c r="C19" s="161">
        <v>240000</v>
      </c>
      <c r="D19" s="161">
        <v>245000</v>
      </c>
    </row>
    <row r="20" spans="1:4" ht="30" x14ac:dyDescent="0.25">
      <c r="A20" s="162" t="s">
        <v>189</v>
      </c>
      <c r="B20" s="161">
        <v>48000</v>
      </c>
      <c r="C20" s="161">
        <v>50000</v>
      </c>
      <c r="D20" s="161">
        <v>51000</v>
      </c>
    </row>
    <row r="21" spans="1:4" x14ac:dyDescent="0.25">
      <c r="A21" s="160" t="s">
        <v>215</v>
      </c>
      <c r="B21" s="161">
        <v>13000</v>
      </c>
      <c r="C21" s="161">
        <v>14000</v>
      </c>
      <c r="D21" s="161">
        <v>14700</v>
      </c>
    </row>
    <row r="22" spans="1:4" x14ac:dyDescent="0.25">
      <c r="A22" s="160" t="s">
        <v>216</v>
      </c>
      <c r="B22" s="161">
        <v>3500</v>
      </c>
      <c r="C22" s="161">
        <v>4000</v>
      </c>
      <c r="D22" s="161">
        <v>4000</v>
      </c>
    </row>
    <row r="23" spans="1:4" x14ac:dyDescent="0.25">
      <c r="A23" s="473" t="s">
        <v>217</v>
      </c>
      <c r="B23" s="161">
        <v>0</v>
      </c>
      <c r="C23" s="161">
        <v>0</v>
      </c>
      <c r="D23" s="161">
        <v>0</v>
      </c>
    </row>
    <row r="24" spans="1:4" x14ac:dyDescent="0.25">
      <c r="A24" s="473" t="s">
        <v>191</v>
      </c>
      <c r="B24" s="161">
        <v>250000</v>
      </c>
      <c r="C24" s="161">
        <v>260000</v>
      </c>
      <c r="D24" s="161">
        <v>270000</v>
      </c>
    </row>
    <row r="25" spans="1:4" x14ac:dyDescent="0.25">
      <c r="A25" s="474" t="s">
        <v>218</v>
      </c>
      <c r="B25" s="166">
        <f>SUM(B18:B24)</f>
        <v>549500</v>
      </c>
      <c r="C25" s="166">
        <f>SUM(C18:C24)</f>
        <v>568000</v>
      </c>
      <c r="D25" s="166">
        <f>SUM(D18:D24)</f>
        <v>584700</v>
      </c>
    </row>
    <row r="26" spans="1:4" ht="13.5" customHeight="1" x14ac:dyDescent="0.2">
      <c r="A26" s="475" t="s">
        <v>219</v>
      </c>
      <c r="B26" s="168">
        <f>B17+B25</f>
        <v>2781970</v>
      </c>
      <c r="C26" s="168">
        <f>C17+C25</f>
        <v>2809500</v>
      </c>
      <c r="D26" s="168">
        <f>D17+D25</f>
        <v>2840700</v>
      </c>
    </row>
    <row r="27" spans="1:4" ht="13.5" customHeight="1" x14ac:dyDescent="0.2">
      <c r="A27" s="475"/>
      <c r="B27" s="168"/>
      <c r="C27" s="168"/>
      <c r="D27" s="168"/>
    </row>
    <row r="28" spans="1:4" ht="14.25" x14ac:dyDescent="0.2">
      <c r="A28" s="476" t="s">
        <v>220</v>
      </c>
      <c r="B28" s="477" t="s">
        <v>266</v>
      </c>
      <c r="C28" s="478" t="s">
        <v>267</v>
      </c>
      <c r="D28" s="478" t="s">
        <v>901</v>
      </c>
    </row>
    <row r="29" spans="1:4" x14ac:dyDescent="0.25">
      <c r="A29" s="473" t="s">
        <v>221</v>
      </c>
      <c r="B29" s="161">
        <v>720000</v>
      </c>
      <c r="C29" s="161">
        <v>740000</v>
      </c>
      <c r="D29" s="161">
        <v>760000</v>
      </c>
    </row>
    <row r="30" spans="1:4" x14ac:dyDescent="0.25">
      <c r="A30" s="473" t="s">
        <v>173</v>
      </c>
      <c r="B30" s="161">
        <v>138000</v>
      </c>
      <c r="C30" s="161">
        <v>142000</v>
      </c>
      <c r="D30" s="161">
        <v>146000</v>
      </c>
    </row>
    <row r="31" spans="1:4" x14ac:dyDescent="0.25">
      <c r="A31" s="473" t="s">
        <v>33</v>
      </c>
      <c r="B31" s="161">
        <v>860000</v>
      </c>
      <c r="C31" s="161">
        <v>880000</v>
      </c>
      <c r="D31" s="161">
        <v>890000</v>
      </c>
    </row>
    <row r="32" spans="1:4" x14ac:dyDescent="0.25">
      <c r="A32" s="473" t="s">
        <v>222</v>
      </c>
      <c r="B32" s="161">
        <v>480000</v>
      </c>
      <c r="C32" s="161">
        <v>485000</v>
      </c>
      <c r="D32" s="161">
        <v>490000</v>
      </c>
    </row>
    <row r="33" spans="1:4" x14ac:dyDescent="0.25">
      <c r="A33" s="473" t="s">
        <v>223</v>
      </c>
      <c r="B33" s="161">
        <v>38000</v>
      </c>
      <c r="C33" s="161">
        <v>39000</v>
      </c>
      <c r="D33" s="161">
        <v>40000</v>
      </c>
    </row>
    <row r="34" spans="1:4" x14ac:dyDescent="0.25">
      <c r="A34" s="473" t="s">
        <v>224</v>
      </c>
      <c r="B34" s="161">
        <v>0</v>
      </c>
      <c r="C34" s="161">
        <v>0</v>
      </c>
      <c r="D34" s="161">
        <v>0</v>
      </c>
    </row>
    <row r="35" spans="1:4" x14ac:dyDescent="0.25">
      <c r="A35" s="473" t="s">
        <v>225</v>
      </c>
      <c r="B35" s="161">
        <v>7500</v>
      </c>
      <c r="C35" s="161">
        <v>8000</v>
      </c>
      <c r="D35" s="161">
        <v>8000</v>
      </c>
    </row>
    <row r="36" spans="1:4" x14ac:dyDescent="0.25">
      <c r="A36" s="473" t="s">
        <v>181</v>
      </c>
      <c r="B36" s="161">
        <v>0</v>
      </c>
      <c r="C36" s="161">
        <v>0</v>
      </c>
      <c r="D36" s="161">
        <v>0</v>
      </c>
    </row>
    <row r="37" spans="1:4" x14ac:dyDescent="0.25">
      <c r="A37" s="473" t="s">
        <v>226</v>
      </c>
      <c r="B37" s="161">
        <v>5000</v>
      </c>
      <c r="C37" s="161">
        <v>5000</v>
      </c>
      <c r="D37" s="161">
        <v>5000</v>
      </c>
    </row>
    <row r="38" spans="1:4" x14ac:dyDescent="0.25">
      <c r="A38" s="474" t="s">
        <v>227</v>
      </c>
      <c r="B38" s="166">
        <f>SUM(B29:B37)</f>
        <v>2248500</v>
      </c>
      <c r="C38" s="166">
        <f>SUM(C29:C37)</f>
        <v>2299000</v>
      </c>
      <c r="D38" s="166">
        <f>SUM(D29:D37)</f>
        <v>2339000</v>
      </c>
    </row>
    <row r="39" spans="1:4" x14ac:dyDescent="0.25">
      <c r="A39" s="473" t="s">
        <v>228</v>
      </c>
      <c r="B39" s="161">
        <v>150000</v>
      </c>
      <c r="C39" s="161">
        <v>160000</v>
      </c>
      <c r="D39" s="161">
        <v>165000</v>
      </c>
    </row>
    <row r="40" spans="1:4" x14ac:dyDescent="0.25">
      <c r="A40" s="473" t="s">
        <v>60</v>
      </c>
      <c r="B40" s="161">
        <v>160000</v>
      </c>
      <c r="C40" s="161">
        <v>170000</v>
      </c>
      <c r="D40" s="161">
        <v>150000</v>
      </c>
    </row>
    <row r="41" spans="1:4" x14ac:dyDescent="0.25">
      <c r="A41" s="473" t="s">
        <v>188</v>
      </c>
      <c r="B41" s="161">
        <v>7000</v>
      </c>
      <c r="C41" s="161">
        <v>7000</v>
      </c>
      <c r="D41" s="161">
        <v>7350</v>
      </c>
    </row>
    <row r="42" spans="1:4" x14ac:dyDescent="0.25">
      <c r="A42" s="473" t="s">
        <v>229</v>
      </c>
      <c r="B42" s="161">
        <v>32879</v>
      </c>
      <c r="C42" s="161">
        <v>32879</v>
      </c>
      <c r="D42" s="161">
        <v>32879</v>
      </c>
    </row>
    <row r="43" spans="1:4" x14ac:dyDescent="0.25">
      <c r="A43" s="473" t="s">
        <v>230</v>
      </c>
      <c r="B43" s="161">
        <v>6000</v>
      </c>
      <c r="C43" s="161">
        <v>5800</v>
      </c>
      <c r="D43" s="161">
        <v>5600</v>
      </c>
    </row>
    <row r="44" spans="1:4" x14ac:dyDescent="0.25">
      <c r="A44" s="473" t="s">
        <v>231</v>
      </c>
      <c r="B44" s="161">
        <v>0</v>
      </c>
      <c r="C44" s="161">
        <v>0</v>
      </c>
      <c r="D44" s="161">
        <v>0</v>
      </c>
    </row>
    <row r="45" spans="1:4" x14ac:dyDescent="0.25">
      <c r="A45" s="473" t="s">
        <v>192</v>
      </c>
      <c r="B45" s="161">
        <v>177591</v>
      </c>
      <c r="C45" s="161">
        <v>134821</v>
      </c>
      <c r="D45" s="161">
        <v>140871</v>
      </c>
    </row>
    <row r="46" spans="1:4" x14ac:dyDescent="0.25">
      <c r="A46" s="165" t="s">
        <v>232</v>
      </c>
      <c r="B46" s="166">
        <f>SUM(B39:B45)</f>
        <v>533470</v>
      </c>
      <c r="C46" s="169">
        <f>SUM(C39:C45)</f>
        <v>510500</v>
      </c>
      <c r="D46" s="169">
        <f>SUM(D39:D45)</f>
        <v>501700</v>
      </c>
    </row>
    <row r="47" spans="1:4" ht="14.25" x14ac:dyDescent="0.2">
      <c r="A47" s="167" t="s">
        <v>233</v>
      </c>
      <c r="B47" s="168">
        <f>B38+B46</f>
        <v>2781970</v>
      </c>
      <c r="C47" s="170">
        <f>C38+C46</f>
        <v>2809500</v>
      </c>
      <c r="D47" s="170">
        <f>D38+D46</f>
        <v>2840700</v>
      </c>
    </row>
    <row r="48" spans="1:4" s="155" customFormat="1" x14ac:dyDescent="0.25">
      <c r="A48" s="171"/>
      <c r="B48" s="172"/>
      <c r="C48" s="172"/>
    </row>
    <row r="49" spans="1:3" s="155" customFormat="1" x14ac:dyDescent="0.25">
      <c r="A49" s="171"/>
      <c r="B49" s="172"/>
      <c r="C49" s="172"/>
    </row>
  </sheetData>
  <mergeCells count="2">
    <mergeCell ref="A3:C3"/>
    <mergeCell ref="A1:D1"/>
  </mergeCells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zoomScaleNormal="100" workbookViewId="0">
      <selection activeCell="A2" sqref="A2"/>
    </sheetView>
  </sheetViews>
  <sheetFormatPr defaultRowHeight="12.75" x14ac:dyDescent="0.2"/>
  <cols>
    <col min="1" max="1" width="64.85546875" style="127" customWidth="1"/>
    <col min="2" max="2" width="58.28515625" style="127" customWidth="1"/>
    <col min="3" max="3" width="33.140625" style="127" customWidth="1"/>
    <col min="4" max="256" width="9.140625" style="195"/>
    <col min="257" max="257" width="64.85546875" style="195" customWidth="1"/>
    <col min="258" max="258" width="58.28515625" style="195" customWidth="1"/>
    <col min="259" max="259" width="33.140625" style="195" customWidth="1"/>
    <col min="260" max="512" width="9.140625" style="195"/>
    <col min="513" max="513" width="64.85546875" style="195" customWidth="1"/>
    <col min="514" max="514" width="58.28515625" style="195" customWidth="1"/>
    <col min="515" max="515" width="33.140625" style="195" customWidth="1"/>
    <col min="516" max="768" width="9.140625" style="195"/>
    <col min="769" max="769" width="64.85546875" style="195" customWidth="1"/>
    <col min="770" max="770" width="58.28515625" style="195" customWidth="1"/>
    <col min="771" max="771" width="33.140625" style="195" customWidth="1"/>
    <col min="772" max="1024" width="9.140625" style="195"/>
    <col min="1025" max="1025" width="64.85546875" style="195" customWidth="1"/>
    <col min="1026" max="1026" width="58.28515625" style="195" customWidth="1"/>
    <col min="1027" max="1027" width="33.140625" style="195" customWidth="1"/>
    <col min="1028" max="1280" width="9.140625" style="195"/>
    <col min="1281" max="1281" width="64.85546875" style="195" customWidth="1"/>
    <col min="1282" max="1282" width="58.28515625" style="195" customWidth="1"/>
    <col min="1283" max="1283" width="33.140625" style="195" customWidth="1"/>
    <col min="1284" max="1536" width="9.140625" style="195"/>
    <col min="1537" max="1537" width="64.85546875" style="195" customWidth="1"/>
    <col min="1538" max="1538" width="58.28515625" style="195" customWidth="1"/>
    <col min="1539" max="1539" width="33.140625" style="195" customWidth="1"/>
    <col min="1540" max="1792" width="9.140625" style="195"/>
    <col min="1793" max="1793" width="64.85546875" style="195" customWidth="1"/>
    <col min="1794" max="1794" width="58.28515625" style="195" customWidth="1"/>
    <col min="1795" max="1795" width="33.140625" style="195" customWidth="1"/>
    <col min="1796" max="2048" width="9.140625" style="195"/>
    <col min="2049" max="2049" width="64.85546875" style="195" customWidth="1"/>
    <col min="2050" max="2050" width="58.28515625" style="195" customWidth="1"/>
    <col min="2051" max="2051" width="33.140625" style="195" customWidth="1"/>
    <col min="2052" max="2304" width="9.140625" style="195"/>
    <col min="2305" max="2305" width="64.85546875" style="195" customWidth="1"/>
    <col min="2306" max="2306" width="58.28515625" style="195" customWidth="1"/>
    <col min="2307" max="2307" width="33.140625" style="195" customWidth="1"/>
    <col min="2308" max="2560" width="9.140625" style="195"/>
    <col min="2561" max="2561" width="64.85546875" style="195" customWidth="1"/>
    <col min="2562" max="2562" width="58.28515625" style="195" customWidth="1"/>
    <col min="2563" max="2563" width="33.140625" style="195" customWidth="1"/>
    <col min="2564" max="2816" width="9.140625" style="195"/>
    <col min="2817" max="2817" width="64.85546875" style="195" customWidth="1"/>
    <col min="2818" max="2818" width="58.28515625" style="195" customWidth="1"/>
    <col min="2819" max="2819" width="33.140625" style="195" customWidth="1"/>
    <col min="2820" max="3072" width="9.140625" style="195"/>
    <col min="3073" max="3073" width="64.85546875" style="195" customWidth="1"/>
    <col min="3074" max="3074" width="58.28515625" style="195" customWidth="1"/>
    <col min="3075" max="3075" width="33.140625" style="195" customWidth="1"/>
    <col min="3076" max="3328" width="9.140625" style="195"/>
    <col min="3329" max="3329" width="64.85546875" style="195" customWidth="1"/>
    <col min="3330" max="3330" width="58.28515625" style="195" customWidth="1"/>
    <col min="3331" max="3331" width="33.140625" style="195" customWidth="1"/>
    <col min="3332" max="3584" width="9.140625" style="195"/>
    <col min="3585" max="3585" width="64.85546875" style="195" customWidth="1"/>
    <col min="3586" max="3586" width="58.28515625" style="195" customWidth="1"/>
    <col min="3587" max="3587" width="33.140625" style="195" customWidth="1"/>
    <col min="3588" max="3840" width="9.140625" style="195"/>
    <col min="3841" max="3841" width="64.85546875" style="195" customWidth="1"/>
    <col min="3842" max="3842" width="58.28515625" style="195" customWidth="1"/>
    <col min="3843" max="3843" width="33.140625" style="195" customWidth="1"/>
    <col min="3844" max="4096" width="9.140625" style="195"/>
    <col min="4097" max="4097" width="64.85546875" style="195" customWidth="1"/>
    <col min="4098" max="4098" width="58.28515625" style="195" customWidth="1"/>
    <col min="4099" max="4099" width="33.140625" style="195" customWidth="1"/>
    <col min="4100" max="4352" width="9.140625" style="195"/>
    <col min="4353" max="4353" width="64.85546875" style="195" customWidth="1"/>
    <col min="4354" max="4354" width="58.28515625" style="195" customWidth="1"/>
    <col min="4355" max="4355" width="33.140625" style="195" customWidth="1"/>
    <col min="4356" max="4608" width="9.140625" style="195"/>
    <col min="4609" max="4609" width="64.85546875" style="195" customWidth="1"/>
    <col min="4610" max="4610" width="58.28515625" style="195" customWidth="1"/>
    <col min="4611" max="4611" width="33.140625" style="195" customWidth="1"/>
    <col min="4612" max="4864" width="9.140625" style="195"/>
    <col min="4865" max="4865" width="64.85546875" style="195" customWidth="1"/>
    <col min="4866" max="4866" width="58.28515625" style="195" customWidth="1"/>
    <col min="4867" max="4867" width="33.140625" style="195" customWidth="1"/>
    <col min="4868" max="5120" width="9.140625" style="195"/>
    <col min="5121" max="5121" width="64.85546875" style="195" customWidth="1"/>
    <col min="5122" max="5122" width="58.28515625" style="195" customWidth="1"/>
    <col min="5123" max="5123" width="33.140625" style="195" customWidth="1"/>
    <col min="5124" max="5376" width="9.140625" style="195"/>
    <col min="5377" max="5377" width="64.85546875" style="195" customWidth="1"/>
    <col min="5378" max="5378" width="58.28515625" style="195" customWidth="1"/>
    <col min="5379" max="5379" width="33.140625" style="195" customWidth="1"/>
    <col min="5380" max="5632" width="9.140625" style="195"/>
    <col min="5633" max="5633" width="64.85546875" style="195" customWidth="1"/>
    <col min="5634" max="5634" width="58.28515625" style="195" customWidth="1"/>
    <col min="5635" max="5635" width="33.140625" style="195" customWidth="1"/>
    <col min="5636" max="5888" width="9.140625" style="195"/>
    <col min="5889" max="5889" width="64.85546875" style="195" customWidth="1"/>
    <col min="5890" max="5890" width="58.28515625" style="195" customWidth="1"/>
    <col min="5891" max="5891" width="33.140625" style="195" customWidth="1"/>
    <col min="5892" max="6144" width="9.140625" style="195"/>
    <col min="6145" max="6145" width="64.85546875" style="195" customWidth="1"/>
    <col min="6146" max="6146" width="58.28515625" style="195" customWidth="1"/>
    <col min="6147" max="6147" width="33.140625" style="195" customWidth="1"/>
    <col min="6148" max="6400" width="9.140625" style="195"/>
    <col min="6401" max="6401" width="64.85546875" style="195" customWidth="1"/>
    <col min="6402" max="6402" width="58.28515625" style="195" customWidth="1"/>
    <col min="6403" max="6403" width="33.140625" style="195" customWidth="1"/>
    <col min="6404" max="6656" width="9.140625" style="195"/>
    <col min="6657" max="6657" width="64.85546875" style="195" customWidth="1"/>
    <col min="6658" max="6658" width="58.28515625" style="195" customWidth="1"/>
    <col min="6659" max="6659" width="33.140625" style="195" customWidth="1"/>
    <col min="6660" max="6912" width="9.140625" style="195"/>
    <col min="6913" max="6913" width="64.85546875" style="195" customWidth="1"/>
    <col min="6914" max="6914" width="58.28515625" style="195" customWidth="1"/>
    <col min="6915" max="6915" width="33.140625" style="195" customWidth="1"/>
    <col min="6916" max="7168" width="9.140625" style="195"/>
    <col min="7169" max="7169" width="64.85546875" style="195" customWidth="1"/>
    <col min="7170" max="7170" width="58.28515625" style="195" customWidth="1"/>
    <col min="7171" max="7171" width="33.140625" style="195" customWidth="1"/>
    <col min="7172" max="7424" width="9.140625" style="195"/>
    <col min="7425" max="7425" width="64.85546875" style="195" customWidth="1"/>
    <col min="7426" max="7426" width="58.28515625" style="195" customWidth="1"/>
    <col min="7427" max="7427" width="33.140625" style="195" customWidth="1"/>
    <col min="7428" max="7680" width="9.140625" style="195"/>
    <col min="7681" max="7681" width="64.85546875" style="195" customWidth="1"/>
    <col min="7682" max="7682" width="58.28515625" style="195" customWidth="1"/>
    <col min="7683" max="7683" width="33.140625" style="195" customWidth="1"/>
    <col min="7684" max="7936" width="9.140625" style="195"/>
    <col min="7937" max="7937" width="64.85546875" style="195" customWidth="1"/>
    <col min="7938" max="7938" width="58.28515625" style="195" customWidth="1"/>
    <col min="7939" max="7939" width="33.140625" style="195" customWidth="1"/>
    <col min="7940" max="8192" width="9.140625" style="195"/>
    <col min="8193" max="8193" width="64.85546875" style="195" customWidth="1"/>
    <col min="8194" max="8194" width="58.28515625" style="195" customWidth="1"/>
    <col min="8195" max="8195" width="33.140625" style="195" customWidth="1"/>
    <col min="8196" max="8448" width="9.140625" style="195"/>
    <col min="8449" max="8449" width="64.85546875" style="195" customWidth="1"/>
    <col min="8450" max="8450" width="58.28515625" style="195" customWidth="1"/>
    <col min="8451" max="8451" width="33.140625" style="195" customWidth="1"/>
    <col min="8452" max="8704" width="9.140625" style="195"/>
    <col min="8705" max="8705" width="64.85546875" style="195" customWidth="1"/>
    <col min="8706" max="8706" width="58.28515625" style="195" customWidth="1"/>
    <col min="8707" max="8707" width="33.140625" style="195" customWidth="1"/>
    <col min="8708" max="8960" width="9.140625" style="195"/>
    <col min="8961" max="8961" width="64.85546875" style="195" customWidth="1"/>
    <col min="8962" max="8962" width="58.28515625" style="195" customWidth="1"/>
    <col min="8963" max="8963" width="33.140625" style="195" customWidth="1"/>
    <col min="8964" max="9216" width="9.140625" style="195"/>
    <col min="9217" max="9217" width="64.85546875" style="195" customWidth="1"/>
    <col min="9218" max="9218" width="58.28515625" style="195" customWidth="1"/>
    <col min="9219" max="9219" width="33.140625" style="195" customWidth="1"/>
    <col min="9220" max="9472" width="9.140625" style="195"/>
    <col min="9473" max="9473" width="64.85546875" style="195" customWidth="1"/>
    <col min="9474" max="9474" width="58.28515625" style="195" customWidth="1"/>
    <col min="9475" max="9475" width="33.140625" style="195" customWidth="1"/>
    <col min="9476" max="9728" width="9.140625" style="195"/>
    <col min="9729" max="9729" width="64.85546875" style="195" customWidth="1"/>
    <col min="9730" max="9730" width="58.28515625" style="195" customWidth="1"/>
    <col min="9731" max="9731" width="33.140625" style="195" customWidth="1"/>
    <col min="9732" max="9984" width="9.140625" style="195"/>
    <col min="9985" max="9985" width="64.85546875" style="195" customWidth="1"/>
    <col min="9986" max="9986" width="58.28515625" style="195" customWidth="1"/>
    <col min="9987" max="9987" width="33.140625" style="195" customWidth="1"/>
    <col min="9988" max="10240" width="9.140625" style="195"/>
    <col min="10241" max="10241" width="64.85546875" style="195" customWidth="1"/>
    <col min="10242" max="10242" width="58.28515625" style="195" customWidth="1"/>
    <col min="10243" max="10243" width="33.140625" style="195" customWidth="1"/>
    <col min="10244" max="10496" width="9.140625" style="195"/>
    <col min="10497" max="10497" width="64.85546875" style="195" customWidth="1"/>
    <col min="10498" max="10498" width="58.28515625" style="195" customWidth="1"/>
    <col min="10499" max="10499" width="33.140625" style="195" customWidth="1"/>
    <col min="10500" max="10752" width="9.140625" style="195"/>
    <col min="10753" max="10753" width="64.85546875" style="195" customWidth="1"/>
    <col min="10754" max="10754" width="58.28515625" style="195" customWidth="1"/>
    <col min="10755" max="10755" width="33.140625" style="195" customWidth="1"/>
    <col min="10756" max="11008" width="9.140625" style="195"/>
    <col min="11009" max="11009" width="64.85546875" style="195" customWidth="1"/>
    <col min="11010" max="11010" width="58.28515625" style="195" customWidth="1"/>
    <col min="11011" max="11011" width="33.140625" style="195" customWidth="1"/>
    <col min="11012" max="11264" width="9.140625" style="195"/>
    <col min="11265" max="11265" width="64.85546875" style="195" customWidth="1"/>
    <col min="11266" max="11266" width="58.28515625" style="195" customWidth="1"/>
    <col min="11267" max="11267" width="33.140625" style="195" customWidth="1"/>
    <col min="11268" max="11520" width="9.140625" style="195"/>
    <col min="11521" max="11521" width="64.85546875" style="195" customWidth="1"/>
    <col min="11522" max="11522" width="58.28515625" style="195" customWidth="1"/>
    <col min="11523" max="11523" width="33.140625" style="195" customWidth="1"/>
    <col min="11524" max="11776" width="9.140625" style="195"/>
    <col min="11777" max="11777" width="64.85546875" style="195" customWidth="1"/>
    <col min="11778" max="11778" width="58.28515625" style="195" customWidth="1"/>
    <col min="11779" max="11779" width="33.140625" style="195" customWidth="1"/>
    <col min="11780" max="12032" width="9.140625" style="195"/>
    <col min="12033" max="12033" width="64.85546875" style="195" customWidth="1"/>
    <col min="12034" max="12034" width="58.28515625" style="195" customWidth="1"/>
    <col min="12035" max="12035" width="33.140625" style="195" customWidth="1"/>
    <col min="12036" max="12288" width="9.140625" style="195"/>
    <col min="12289" max="12289" width="64.85546875" style="195" customWidth="1"/>
    <col min="12290" max="12290" width="58.28515625" style="195" customWidth="1"/>
    <col min="12291" max="12291" width="33.140625" style="195" customWidth="1"/>
    <col min="12292" max="12544" width="9.140625" style="195"/>
    <col min="12545" max="12545" width="64.85546875" style="195" customWidth="1"/>
    <col min="12546" max="12546" width="58.28515625" style="195" customWidth="1"/>
    <col min="12547" max="12547" width="33.140625" style="195" customWidth="1"/>
    <col min="12548" max="12800" width="9.140625" style="195"/>
    <col min="12801" max="12801" width="64.85546875" style="195" customWidth="1"/>
    <col min="12802" max="12802" width="58.28515625" style="195" customWidth="1"/>
    <col min="12803" max="12803" width="33.140625" style="195" customWidth="1"/>
    <col min="12804" max="13056" width="9.140625" style="195"/>
    <col min="13057" max="13057" width="64.85546875" style="195" customWidth="1"/>
    <col min="13058" max="13058" width="58.28515625" style="195" customWidth="1"/>
    <col min="13059" max="13059" width="33.140625" style="195" customWidth="1"/>
    <col min="13060" max="13312" width="9.140625" style="195"/>
    <col min="13313" max="13313" width="64.85546875" style="195" customWidth="1"/>
    <col min="13314" max="13314" width="58.28515625" style="195" customWidth="1"/>
    <col min="13315" max="13315" width="33.140625" style="195" customWidth="1"/>
    <col min="13316" max="13568" width="9.140625" style="195"/>
    <col min="13569" max="13569" width="64.85546875" style="195" customWidth="1"/>
    <col min="13570" max="13570" width="58.28515625" style="195" customWidth="1"/>
    <col min="13571" max="13571" width="33.140625" style="195" customWidth="1"/>
    <col min="13572" max="13824" width="9.140625" style="195"/>
    <col min="13825" max="13825" width="64.85546875" style="195" customWidth="1"/>
    <col min="13826" max="13826" width="58.28515625" style="195" customWidth="1"/>
    <col min="13827" max="13827" width="33.140625" style="195" customWidth="1"/>
    <col min="13828" max="14080" width="9.140625" style="195"/>
    <col min="14081" max="14081" width="64.85546875" style="195" customWidth="1"/>
    <col min="14082" max="14082" width="58.28515625" style="195" customWidth="1"/>
    <col min="14083" max="14083" width="33.140625" style="195" customWidth="1"/>
    <col min="14084" max="14336" width="9.140625" style="195"/>
    <col min="14337" max="14337" width="64.85546875" style="195" customWidth="1"/>
    <col min="14338" max="14338" width="58.28515625" style="195" customWidth="1"/>
    <col min="14339" max="14339" width="33.140625" style="195" customWidth="1"/>
    <col min="14340" max="14592" width="9.140625" style="195"/>
    <col min="14593" max="14593" width="64.85546875" style="195" customWidth="1"/>
    <col min="14594" max="14594" width="58.28515625" style="195" customWidth="1"/>
    <col min="14595" max="14595" width="33.140625" style="195" customWidth="1"/>
    <col min="14596" max="14848" width="9.140625" style="195"/>
    <col min="14849" max="14849" width="64.85546875" style="195" customWidth="1"/>
    <col min="14850" max="14850" width="58.28515625" style="195" customWidth="1"/>
    <col min="14851" max="14851" width="33.140625" style="195" customWidth="1"/>
    <col min="14852" max="15104" width="9.140625" style="195"/>
    <col min="15105" max="15105" width="64.85546875" style="195" customWidth="1"/>
    <col min="15106" max="15106" width="58.28515625" style="195" customWidth="1"/>
    <col min="15107" max="15107" width="33.140625" style="195" customWidth="1"/>
    <col min="15108" max="15360" width="9.140625" style="195"/>
    <col min="15361" max="15361" width="64.85546875" style="195" customWidth="1"/>
    <col min="15362" max="15362" width="58.28515625" style="195" customWidth="1"/>
    <col min="15363" max="15363" width="33.140625" style="195" customWidth="1"/>
    <col min="15364" max="15616" width="9.140625" style="195"/>
    <col min="15617" max="15617" width="64.85546875" style="195" customWidth="1"/>
    <col min="15618" max="15618" width="58.28515625" style="195" customWidth="1"/>
    <col min="15619" max="15619" width="33.140625" style="195" customWidth="1"/>
    <col min="15620" max="15872" width="9.140625" style="195"/>
    <col min="15873" max="15873" width="64.85546875" style="195" customWidth="1"/>
    <col min="15874" max="15874" width="58.28515625" style="195" customWidth="1"/>
    <col min="15875" max="15875" width="33.140625" style="195" customWidth="1"/>
    <col min="15876" max="16128" width="9.140625" style="195"/>
    <col min="16129" max="16129" width="64.85546875" style="195" customWidth="1"/>
    <col min="16130" max="16130" width="58.28515625" style="195" customWidth="1"/>
    <col min="16131" max="16131" width="33.140625" style="195" customWidth="1"/>
    <col min="16132" max="16384" width="9.140625" style="195"/>
  </cols>
  <sheetData>
    <row r="1" spans="1:3" x14ac:dyDescent="0.2">
      <c r="A1" s="628" t="s">
        <v>1015</v>
      </c>
      <c r="B1" s="628"/>
      <c r="C1" s="628"/>
    </row>
    <row r="2" spans="1:3" x14ac:dyDescent="0.2">
      <c r="A2" s="479"/>
      <c r="B2" s="479"/>
      <c r="C2" s="479"/>
    </row>
    <row r="3" spans="1:3" ht="15.75" x14ac:dyDescent="0.25">
      <c r="A3" s="480" t="s">
        <v>902</v>
      </c>
      <c r="B3" s="480"/>
      <c r="C3" s="480"/>
    </row>
    <row r="4" spans="1:3" ht="15.75" x14ac:dyDescent="0.25">
      <c r="A4" s="481"/>
      <c r="B4" s="481"/>
      <c r="C4" s="481"/>
    </row>
    <row r="5" spans="1:3" ht="15.75" x14ac:dyDescent="0.25">
      <c r="A5" s="482" t="s">
        <v>903</v>
      </c>
      <c r="B5" s="483" t="s">
        <v>904</v>
      </c>
      <c r="C5" s="484" t="s">
        <v>905</v>
      </c>
    </row>
    <row r="6" spans="1:3" ht="15.75" x14ac:dyDescent="0.25">
      <c r="A6" s="485" t="s">
        <v>906</v>
      </c>
      <c r="B6" s="486" t="s">
        <v>907</v>
      </c>
      <c r="C6" s="487">
        <v>3998</v>
      </c>
    </row>
    <row r="7" spans="1:3" ht="15.75" x14ac:dyDescent="0.25">
      <c r="A7" s="485" t="s">
        <v>908</v>
      </c>
      <c r="B7" s="486" t="s">
        <v>909</v>
      </c>
      <c r="C7" s="487">
        <v>21664</v>
      </c>
    </row>
    <row r="8" spans="1:3" ht="15.75" x14ac:dyDescent="0.25">
      <c r="A8" s="488" t="s">
        <v>910</v>
      </c>
      <c r="B8" s="489" t="s">
        <v>911</v>
      </c>
      <c r="C8" s="490">
        <v>6000</v>
      </c>
    </row>
    <row r="9" spans="1:3" ht="31.5" x14ac:dyDescent="0.25">
      <c r="A9" s="488" t="s">
        <v>912</v>
      </c>
      <c r="B9" s="489" t="s">
        <v>913</v>
      </c>
      <c r="C9" s="490">
        <v>1500</v>
      </c>
    </row>
    <row r="10" spans="1:3" ht="15.75" x14ac:dyDescent="0.25">
      <c r="A10" s="488" t="s">
        <v>914</v>
      </c>
      <c r="B10" s="489" t="s">
        <v>915</v>
      </c>
      <c r="C10" s="490">
        <v>2559</v>
      </c>
    </row>
    <row r="11" spans="1:3" ht="31.5" x14ac:dyDescent="0.25">
      <c r="A11" s="488" t="s">
        <v>916</v>
      </c>
      <c r="B11" s="486" t="s">
        <v>917</v>
      </c>
      <c r="C11" s="487">
        <v>11000</v>
      </c>
    </row>
    <row r="12" spans="1:3" ht="8.25" customHeight="1" x14ac:dyDescent="0.25">
      <c r="A12" s="481"/>
      <c r="B12" s="481"/>
      <c r="C12" s="481"/>
    </row>
    <row r="13" spans="1:3" ht="15.75" x14ac:dyDescent="0.25">
      <c r="A13" s="491" t="s">
        <v>918</v>
      </c>
      <c r="B13" s="481"/>
      <c r="C13" s="481"/>
    </row>
    <row r="14" spans="1:3" ht="15.75" x14ac:dyDescent="0.25">
      <c r="A14" s="491" t="s">
        <v>919</v>
      </c>
      <c r="B14" s="481"/>
      <c r="C14" s="481"/>
    </row>
    <row r="15" spans="1:3" ht="37.5" customHeight="1" x14ac:dyDescent="0.2">
      <c r="A15" s="630" t="s">
        <v>920</v>
      </c>
      <c r="B15" s="630"/>
      <c r="C15" s="630"/>
    </row>
    <row r="16" spans="1:3" ht="9.75" customHeight="1" x14ac:dyDescent="0.25">
      <c r="A16" s="491"/>
      <c r="B16" s="481"/>
      <c r="C16" s="481"/>
    </row>
    <row r="17" spans="1:3" ht="15.75" x14ac:dyDescent="0.25">
      <c r="A17" s="491" t="s">
        <v>921</v>
      </c>
      <c r="B17" s="481"/>
      <c r="C17" s="481"/>
    </row>
    <row r="18" spans="1:3" ht="8.25" customHeight="1" x14ac:dyDescent="0.25">
      <c r="B18" s="481"/>
      <c r="C18" s="481"/>
    </row>
    <row r="19" spans="1:3" x14ac:dyDescent="0.2">
      <c r="A19" s="631" t="s">
        <v>922</v>
      </c>
      <c r="B19" s="631"/>
      <c r="C19" s="631"/>
    </row>
    <row r="20" spans="1:3" ht="25.5" customHeight="1" x14ac:dyDescent="0.2">
      <c r="A20" s="629" t="s">
        <v>923</v>
      </c>
      <c r="B20" s="629"/>
      <c r="C20" s="629"/>
    </row>
    <row r="21" spans="1:3" x14ac:dyDescent="0.2">
      <c r="A21" s="127" t="s">
        <v>993</v>
      </c>
    </row>
    <row r="22" spans="1:3" ht="25.5" customHeight="1" x14ac:dyDescent="0.2">
      <c r="A22" s="629" t="s">
        <v>924</v>
      </c>
      <c r="B22" s="629"/>
      <c r="C22" s="629"/>
    </row>
    <row r="23" spans="1:3" x14ac:dyDescent="0.2">
      <c r="A23" s="629" t="s">
        <v>925</v>
      </c>
      <c r="B23" s="629"/>
      <c r="C23" s="629"/>
    </row>
    <row r="24" spans="1:3" x14ac:dyDescent="0.2">
      <c r="A24" s="492"/>
      <c r="B24" s="492"/>
      <c r="C24" s="492"/>
    </row>
    <row r="25" spans="1:3" x14ac:dyDescent="0.2">
      <c r="A25" s="493" t="s">
        <v>926</v>
      </c>
      <c r="B25" s="492"/>
      <c r="C25" s="492"/>
    </row>
    <row r="26" spans="1:3" ht="30" customHeight="1" x14ac:dyDescent="0.2">
      <c r="A26" s="629" t="s">
        <v>927</v>
      </c>
      <c r="B26" s="629"/>
      <c r="C26" s="629"/>
    </row>
    <row r="27" spans="1:3" x14ac:dyDescent="0.2">
      <c r="A27" s="492"/>
      <c r="B27" s="492"/>
      <c r="C27" s="492"/>
    </row>
    <row r="28" spans="1:3" x14ac:dyDescent="0.2">
      <c r="A28" s="494" t="s">
        <v>928</v>
      </c>
    </row>
    <row r="29" spans="1:3" x14ac:dyDescent="0.2">
      <c r="A29" s="629" t="s">
        <v>929</v>
      </c>
      <c r="B29" s="629"/>
      <c r="C29" s="629"/>
    </row>
    <row r="30" spans="1:3" x14ac:dyDescent="0.2">
      <c r="A30" s="495" t="s">
        <v>930</v>
      </c>
    </row>
    <row r="31" spans="1:3" x14ac:dyDescent="0.2">
      <c r="A31" s="495"/>
    </row>
    <row r="32" spans="1:3" x14ac:dyDescent="0.2">
      <c r="A32" s="491" t="s">
        <v>931</v>
      </c>
      <c r="B32" s="491"/>
      <c r="C32" s="491"/>
    </row>
    <row r="33" spans="1:3" ht="39" customHeight="1" x14ac:dyDescent="0.2">
      <c r="A33" s="629" t="s">
        <v>932</v>
      </c>
      <c r="B33" s="629"/>
      <c r="C33" s="629"/>
    </row>
    <row r="35" spans="1:3" x14ac:dyDescent="0.2">
      <c r="A35" s="491" t="s">
        <v>933</v>
      </c>
      <c r="B35" s="491"/>
      <c r="C35" s="491"/>
    </row>
    <row r="36" spans="1:3" x14ac:dyDescent="0.2">
      <c r="A36" s="491"/>
      <c r="B36" s="491"/>
      <c r="C36" s="491"/>
    </row>
    <row r="37" spans="1:3" x14ac:dyDescent="0.2">
      <c r="A37" s="496" t="s">
        <v>934</v>
      </c>
      <c r="B37" s="496" t="s">
        <v>935</v>
      </c>
      <c r="C37" s="496" t="s">
        <v>936</v>
      </c>
    </row>
    <row r="38" spans="1:3" ht="51" x14ac:dyDescent="0.2">
      <c r="A38" s="497" t="s">
        <v>937</v>
      </c>
      <c r="B38" s="498" t="s">
        <v>938</v>
      </c>
      <c r="C38" s="498" t="s">
        <v>939</v>
      </c>
    </row>
    <row r="39" spans="1:3" ht="127.5" x14ac:dyDescent="0.2">
      <c r="A39" s="497" t="s">
        <v>940</v>
      </c>
      <c r="B39" s="498" t="s">
        <v>941</v>
      </c>
      <c r="C39" s="498" t="s">
        <v>942</v>
      </c>
    </row>
    <row r="40" spans="1:3" ht="51" x14ac:dyDescent="0.2">
      <c r="A40" s="498" t="s">
        <v>943</v>
      </c>
      <c r="B40" s="498" t="s">
        <v>944</v>
      </c>
      <c r="C40" s="497" t="s">
        <v>945</v>
      </c>
    </row>
    <row r="41" spans="1:3" ht="25.5" x14ac:dyDescent="0.2">
      <c r="A41" s="498" t="s">
        <v>946</v>
      </c>
      <c r="B41" s="498" t="s">
        <v>947</v>
      </c>
      <c r="C41" s="497" t="s">
        <v>948</v>
      </c>
    </row>
    <row r="42" spans="1:3" ht="25.5" x14ac:dyDescent="0.2">
      <c r="A42" s="498" t="s">
        <v>949</v>
      </c>
      <c r="B42" s="498" t="s">
        <v>950</v>
      </c>
      <c r="C42" s="498" t="s">
        <v>951</v>
      </c>
    </row>
    <row r="43" spans="1:3" ht="25.5" x14ac:dyDescent="0.2">
      <c r="A43" s="498" t="s">
        <v>952</v>
      </c>
      <c r="B43" s="498" t="s">
        <v>953</v>
      </c>
      <c r="C43" s="497" t="s">
        <v>954</v>
      </c>
    </row>
    <row r="44" spans="1:3" ht="38.25" x14ac:dyDescent="0.2">
      <c r="A44" s="498" t="s">
        <v>955</v>
      </c>
      <c r="B44" s="498" t="s">
        <v>956</v>
      </c>
      <c r="C44" s="498" t="s">
        <v>957</v>
      </c>
    </row>
    <row r="45" spans="1:3" ht="63.75" x14ac:dyDescent="0.2">
      <c r="A45" s="498" t="s">
        <v>958</v>
      </c>
      <c r="B45" s="498" t="s">
        <v>959</v>
      </c>
      <c r="C45" s="497" t="s">
        <v>945</v>
      </c>
    </row>
    <row r="46" spans="1:3" ht="178.5" x14ac:dyDescent="0.2">
      <c r="A46" s="498" t="s">
        <v>960</v>
      </c>
      <c r="B46" s="498" t="s">
        <v>961</v>
      </c>
      <c r="C46" s="499" t="s">
        <v>962</v>
      </c>
    </row>
  </sheetData>
  <mergeCells count="9">
    <mergeCell ref="A1:C1"/>
    <mergeCell ref="A29:C29"/>
    <mergeCell ref="A33:C33"/>
    <mergeCell ref="A15:C15"/>
    <mergeCell ref="A19:C19"/>
    <mergeCell ref="A20:C20"/>
    <mergeCell ref="A22:C22"/>
    <mergeCell ref="A23:C23"/>
    <mergeCell ref="A26:C26"/>
  </mergeCells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view="pageBreakPreview" zoomScaleNormal="100" zoomScaleSheetLayoutView="100" workbookViewId="0">
      <selection activeCell="A2" sqref="A2:O2"/>
    </sheetView>
  </sheetViews>
  <sheetFormatPr defaultColWidth="8" defaultRowHeight="12.75" x14ac:dyDescent="0.2"/>
  <cols>
    <col min="1" max="1" width="2.85546875" style="173" customWidth="1"/>
    <col min="2" max="2" width="32.42578125" style="173" bestFit="1" customWidth="1"/>
    <col min="3" max="3" width="9.85546875" style="173" bestFit="1" customWidth="1"/>
    <col min="4" max="4" width="8.85546875" style="173" bestFit="1" customWidth="1"/>
    <col min="5" max="5" width="7.42578125" style="173" bestFit="1" customWidth="1"/>
    <col min="6" max="6" width="8.7109375" style="173" customWidth="1"/>
    <col min="7" max="7" width="8" style="173" bestFit="1" customWidth="1"/>
    <col min="8" max="9" width="7.42578125" style="173" bestFit="1" customWidth="1"/>
    <col min="10" max="10" width="8.85546875" style="173" bestFit="1" customWidth="1"/>
    <col min="11" max="14" width="8.42578125" style="173" bestFit="1" customWidth="1"/>
    <col min="15" max="15" width="8.85546875" style="173" customWidth="1"/>
    <col min="16" max="16" width="10.140625" style="173" bestFit="1" customWidth="1"/>
    <col min="17" max="17" width="8" style="174"/>
    <col min="18" max="256" width="8" style="173"/>
    <col min="257" max="257" width="2.85546875" style="173" customWidth="1"/>
    <col min="258" max="258" width="32.42578125" style="173" bestFit="1" customWidth="1"/>
    <col min="259" max="259" width="9.85546875" style="173" bestFit="1" customWidth="1"/>
    <col min="260" max="260" width="8.85546875" style="173" bestFit="1" customWidth="1"/>
    <col min="261" max="261" width="7.42578125" style="173" bestFit="1" customWidth="1"/>
    <col min="262" max="262" width="8.7109375" style="173" customWidth="1"/>
    <col min="263" max="263" width="8" style="173" bestFit="1" customWidth="1"/>
    <col min="264" max="265" width="7.42578125" style="173" bestFit="1" customWidth="1"/>
    <col min="266" max="266" width="8.85546875" style="173" bestFit="1" customWidth="1"/>
    <col min="267" max="270" width="8.42578125" style="173" bestFit="1" customWidth="1"/>
    <col min="271" max="271" width="8.85546875" style="173" customWidth="1"/>
    <col min="272" max="272" width="10.140625" style="173" bestFit="1" customWidth="1"/>
    <col min="273" max="512" width="8" style="173"/>
    <col min="513" max="513" width="2.85546875" style="173" customWidth="1"/>
    <col min="514" max="514" width="32.42578125" style="173" bestFit="1" customWidth="1"/>
    <col min="515" max="515" width="9.85546875" style="173" bestFit="1" customWidth="1"/>
    <col min="516" max="516" width="8.85546875" style="173" bestFit="1" customWidth="1"/>
    <col min="517" max="517" width="7.42578125" style="173" bestFit="1" customWidth="1"/>
    <col min="518" max="518" width="8.7109375" style="173" customWidth="1"/>
    <col min="519" max="519" width="8" style="173" bestFit="1" customWidth="1"/>
    <col min="520" max="521" width="7.42578125" style="173" bestFit="1" customWidth="1"/>
    <col min="522" max="522" width="8.85546875" style="173" bestFit="1" customWidth="1"/>
    <col min="523" max="526" width="8.42578125" style="173" bestFit="1" customWidth="1"/>
    <col min="527" max="527" width="8.85546875" style="173" customWidth="1"/>
    <col min="528" max="528" width="10.140625" style="173" bestFit="1" customWidth="1"/>
    <col min="529" max="768" width="8" style="173"/>
    <col min="769" max="769" width="2.85546875" style="173" customWidth="1"/>
    <col min="770" max="770" width="32.42578125" style="173" bestFit="1" customWidth="1"/>
    <col min="771" max="771" width="9.85546875" style="173" bestFit="1" customWidth="1"/>
    <col min="772" max="772" width="8.85546875" style="173" bestFit="1" customWidth="1"/>
    <col min="773" max="773" width="7.42578125" style="173" bestFit="1" customWidth="1"/>
    <col min="774" max="774" width="8.7109375" style="173" customWidth="1"/>
    <col min="775" max="775" width="8" style="173" bestFit="1" customWidth="1"/>
    <col min="776" max="777" width="7.42578125" style="173" bestFit="1" customWidth="1"/>
    <col min="778" max="778" width="8.85546875" style="173" bestFit="1" customWidth="1"/>
    <col min="779" max="782" width="8.42578125" style="173" bestFit="1" customWidth="1"/>
    <col min="783" max="783" width="8.85546875" style="173" customWidth="1"/>
    <col min="784" max="784" width="10.140625" style="173" bestFit="1" customWidth="1"/>
    <col min="785" max="1024" width="8" style="173"/>
    <col min="1025" max="1025" width="2.85546875" style="173" customWidth="1"/>
    <col min="1026" max="1026" width="32.42578125" style="173" bestFit="1" customWidth="1"/>
    <col min="1027" max="1027" width="9.85546875" style="173" bestFit="1" customWidth="1"/>
    <col min="1028" max="1028" width="8.85546875" style="173" bestFit="1" customWidth="1"/>
    <col min="1029" max="1029" width="7.42578125" style="173" bestFit="1" customWidth="1"/>
    <col min="1030" max="1030" width="8.7109375" style="173" customWidth="1"/>
    <col min="1031" max="1031" width="8" style="173" bestFit="1" customWidth="1"/>
    <col min="1032" max="1033" width="7.42578125" style="173" bestFit="1" customWidth="1"/>
    <col min="1034" max="1034" width="8.85546875" style="173" bestFit="1" customWidth="1"/>
    <col min="1035" max="1038" width="8.42578125" style="173" bestFit="1" customWidth="1"/>
    <col min="1039" max="1039" width="8.85546875" style="173" customWidth="1"/>
    <col min="1040" max="1040" width="10.140625" style="173" bestFit="1" customWidth="1"/>
    <col min="1041" max="1280" width="8" style="173"/>
    <col min="1281" max="1281" width="2.85546875" style="173" customWidth="1"/>
    <col min="1282" max="1282" width="32.42578125" style="173" bestFit="1" customWidth="1"/>
    <col min="1283" max="1283" width="9.85546875" style="173" bestFit="1" customWidth="1"/>
    <col min="1284" max="1284" width="8.85546875" style="173" bestFit="1" customWidth="1"/>
    <col min="1285" max="1285" width="7.42578125" style="173" bestFit="1" customWidth="1"/>
    <col min="1286" max="1286" width="8.7109375" style="173" customWidth="1"/>
    <col min="1287" max="1287" width="8" style="173" bestFit="1" customWidth="1"/>
    <col min="1288" max="1289" width="7.42578125" style="173" bestFit="1" customWidth="1"/>
    <col min="1290" max="1290" width="8.85546875" style="173" bestFit="1" customWidth="1"/>
    <col min="1291" max="1294" width="8.42578125" style="173" bestFit="1" customWidth="1"/>
    <col min="1295" max="1295" width="8.85546875" style="173" customWidth="1"/>
    <col min="1296" max="1296" width="10.140625" style="173" bestFit="1" customWidth="1"/>
    <col min="1297" max="1536" width="8" style="173"/>
    <col min="1537" max="1537" width="2.85546875" style="173" customWidth="1"/>
    <col min="1538" max="1538" width="32.42578125" style="173" bestFit="1" customWidth="1"/>
    <col min="1539" max="1539" width="9.85546875" style="173" bestFit="1" customWidth="1"/>
    <col min="1540" max="1540" width="8.85546875" style="173" bestFit="1" customWidth="1"/>
    <col min="1541" max="1541" width="7.42578125" style="173" bestFit="1" customWidth="1"/>
    <col min="1542" max="1542" width="8.7109375" style="173" customWidth="1"/>
    <col min="1543" max="1543" width="8" style="173" bestFit="1" customWidth="1"/>
    <col min="1544" max="1545" width="7.42578125" style="173" bestFit="1" customWidth="1"/>
    <col min="1546" max="1546" width="8.85546875" style="173" bestFit="1" customWidth="1"/>
    <col min="1547" max="1550" width="8.42578125" style="173" bestFit="1" customWidth="1"/>
    <col min="1551" max="1551" width="8.85546875" style="173" customWidth="1"/>
    <col min="1552" max="1552" width="10.140625" style="173" bestFit="1" customWidth="1"/>
    <col min="1553" max="1792" width="8" style="173"/>
    <col min="1793" max="1793" width="2.85546875" style="173" customWidth="1"/>
    <col min="1794" max="1794" width="32.42578125" style="173" bestFit="1" customWidth="1"/>
    <col min="1795" max="1795" width="9.85546875" style="173" bestFit="1" customWidth="1"/>
    <col min="1796" max="1796" width="8.85546875" style="173" bestFit="1" customWidth="1"/>
    <col min="1797" max="1797" width="7.42578125" style="173" bestFit="1" customWidth="1"/>
    <col min="1798" max="1798" width="8.7109375" style="173" customWidth="1"/>
    <col min="1799" max="1799" width="8" style="173" bestFit="1" customWidth="1"/>
    <col min="1800" max="1801" width="7.42578125" style="173" bestFit="1" customWidth="1"/>
    <col min="1802" max="1802" width="8.85546875" style="173" bestFit="1" customWidth="1"/>
    <col min="1803" max="1806" width="8.42578125" style="173" bestFit="1" customWidth="1"/>
    <col min="1807" max="1807" width="8.85546875" style="173" customWidth="1"/>
    <col min="1808" max="1808" width="10.140625" style="173" bestFit="1" customWidth="1"/>
    <col min="1809" max="2048" width="8" style="173"/>
    <col min="2049" max="2049" width="2.85546875" style="173" customWidth="1"/>
    <col min="2050" max="2050" width="32.42578125" style="173" bestFit="1" customWidth="1"/>
    <col min="2051" max="2051" width="9.85546875" style="173" bestFit="1" customWidth="1"/>
    <col min="2052" max="2052" width="8.85546875" style="173" bestFit="1" customWidth="1"/>
    <col min="2053" max="2053" width="7.42578125" style="173" bestFit="1" customWidth="1"/>
    <col min="2054" max="2054" width="8.7109375" style="173" customWidth="1"/>
    <col min="2055" max="2055" width="8" style="173" bestFit="1" customWidth="1"/>
    <col min="2056" max="2057" width="7.42578125" style="173" bestFit="1" customWidth="1"/>
    <col min="2058" max="2058" width="8.85546875" style="173" bestFit="1" customWidth="1"/>
    <col min="2059" max="2062" width="8.42578125" style="173" bestFit="1" customWidth="1"/>
    <col min="2063" max="2063" width="8.85546875" style="173" customWidth="1"/>
    <col min="2064" max="2064" width="10.140625" style="173" bestFit="1" customWidth="1"/>
    <col min="2065" max="2304" width="8" style="173"/>
    <col min="2305" max="2305" width="2.85546875" style="173" customWidth="1"/>
    <col min="2306" max="2306" width="32.42578125" style="173" bestFit="1" customWidth="1"/>
    <col min="2307" max="2307" width="9.85546875" style="173" bestFit="1" customWidth="1"/>
    <col min="2308" max="2308" width="8.85546875" style="173" bestFit="1" customWidth="1"/>
    <col min="2309" max="2309" width="7.42578125" style="173" bestFit="1" customWidth="1"/>
    <col min="2310" max="2310" width="8.7109375" style="173" customWidth="1"/>
    <col min="2311" max="2311" width="8" style="173" bestFit="1" customWidth="1"/>
    <col min="2312" max="2313" width="7.42578125" style="173" bestFit="1" customWidth="1"/>
    <col min="2314" max="2314" width="8.85546875" style="173" bestFit="1" customWidth="1"/>
    <col min="2315" max="2318" width="8.42578125" style="173" bestFit="1" customWidth="1"/>
    <col min="2319" max="2319" width="8.85546875" style="173" customWidth="1"/>
    <col min="2320" max="2320" width="10.140625" style="173" bestFit="1" customWidth="1"/>
    <col min="2321" max="2560" width="8" style="173"/>
    <col min="2561" max="2561" width="2.85546875" style="173" customWidth="1"/>
    <col min="2562" max="2562" width="32.42578125" style="173" bestFit="1" customWidth="1"/>
    <col min="2563" max="2563" width="9.85546875" style="173" bestFit="1" customWidth="1"/>
    <col min="2564" max="2564" width="8.85546875" style="173" bestFit="1" customWidth="1"/>
    <col min="2565" max="2565" width="7.42578125" style="173" bestFit="1" customWidth="1"/>
    <col min="2566" max="2566" width="8.7109375" style="173" customWidth="1"/>
    <col min="2567" max="2567" width="8" style="173" bestFit="1" customWidth="1"/>
    <col min="2568" max="2569" width="7.42578125" style="173" bestFit="1" customWidth="1"/>
    <col min="2570" max="2570" width="8.85546875" style="173" bestFit="1" customWidth="1"/>
    <col min="2571" max="2574" width="8.42578125" style="173" bestFit="1" customWidth="1"/>
    <col min="2575" max="2575" width="8.85546875" style="173" customWidth="1"/>
    <col min="2576" max="2576" width="10.140625" style="173" bestFit="1" customWidth="1"/>
    <col min="2577" max="2816" width="8" style="173"/>
    <col min="2817" max="2817" width="2.85546875" style="173" customWidth="1"/>
    <col min="2818" max="2818" width="32.42578125" style="173" bestFit="1" customWidth="1"/>
    <col min="2819" max="2819" width="9.85546875" style="173" bestFit="1" customWidth="1"/>
    <col min="2820" max="2820" width="8.85546875" style="173" bestFit="1" customWidth="1"/>
    <col min="2821" max="2821" width="7.42578125" style="173" bestFit="1" customWidth="1"/>
    <col min="2822" max="2822" width="8.7109375" style="173" customWidth="1"/>
    <col min="2823" max="2823" width="8" style="173" bestFit="1" customWidth="1"/>
    <col min="2824" max="2825" width="7.42578125" style="173" bestFit="1" customWidth="1"/>
    <col min="2826" max="2826" width="8.85546875" style="173" bestFit="1" customWidth="1"/>
    <col min="2827" max="2830" width="8.42578125" style="173" bestFit="1" customWidth="1"/>
    <col min="2831" max="2831" width="8.85546875" style="173" customWidth="1"/>
    <col min="2832" max="2832" width="10.140625" style="173" bestFit="1" customWidth="1"/>
    <col min="2833" max="3072" width="8" style="173"/>
    <col min="3073" max="3073" width="2.85546875" style="173" customWidth="1"/>
    <col min="3074" max="3074" width="32.42578125" style="173" bestFit="1" customWidth="1"/>
    <col min="3075" max="3075" width="9.85546875" style="173" bestFit="1" customWidth="1"/>
    <col min="3076" max="3076" width="8.85546875" style="173" bestFit="1" customWidth="1"/>
    <col min="3077" max="3077" width="7.42578125" style="173" bestFit="1" customWidth="1"/>
    <col min="3078" max="3078" width="8.7109375" style="173" customWidth="1"/>
    <col min="3079" max="3079" width="8" style="173" bestFit="1" customWidth="1"/>
    <col min="3080" max="3081" width="7.42578125" style="173" bestFit="1" customWidth="1"/>
    <col min="3082" max="3082" width="8.85546875" style="173" bestFit="1" customWidth="1"/>
    <col min="3083" max="3086" width="8.42578125" style="173" bestFit="1" customWidth="1"/>
    <col min="3087" max="3087" width="8.85546875" style="173" customWidth="1"/>
    <col min="3088" max="3088" width="10.140625" style="173" bestFit="1" customWidth="1"/>
    <col min="3089" max="3328" width="8" style="173"/>
    <col min="3329" max="3329" width="2.85546875" style="173" customWidth="1"/>
    <col min="3330" max="3330" width="32.42578125" style="173" bestFit="1" customWidth="1"/>
    <col min="3331" max="3331" width="9.85546875" style="173" bestFit="1" customWidth="1"/>
    <col min="3332" max="3332" width="8.85546875" style="173" bestFit="1" customWidth="1"/>
    <col min="3333" max="3333" width="7.42578125" style="173" bestFit="1" customWidth="1"/>
    <col min="3334" max="3334" width="8.7109375" style="173" customWidth="1"/>
    <col min="3335" max="3335" width="8" style="173" bestFit="1" customWidth="1"/>
    <col min="3336" max="3337" width="7.42578125" style="173" bestFit="1" customWidth="1"/>
    <col min="3338" max="3338" width="8.85546875" style="173" bestFit="1" customWidth="1"/>
    <col min="3339" max="3342" width="8.42578125" style="173" bestFit="1" customWidth="1"/>
    <col min="3343" max="3343" width="8.85546875" style="173" customWidth="1"/>
    <col min="3344" max="3344" width="10.140625" style="173" bestFit="1" customWidth="1"/>
    <col min="3345" max="3584" width="8" style="173"/>
    <col min="3585" max="3585" width="2.85546875" style="173" customWidth="1"/>
    <col min="3586" max="3586" width="32.42578125" style="173" bestFit="1" customWidth="1"/>
    <col min="3587" max="3587" width="9.85546875" style="173" bestFit="1" customWidth="1"/>
    <col min="3588" max="3588" width="8.85546875" style="173" bestFit="1" customWidth="1"/>
    <col min="3589" max="3589" width="7.42578125" style="173" bestFit="1" customWidth="1"/>
    <col min="3590" max="3590" width="8.7109375" style="173" customWidth="1"/>
    <col min="3591" max="3591" width="8" style="173" bestFit="1" customWidth="1"/>
    <col min="3592" max="3593" width="7.42578125" style="173" bestFit="1" customWidth="1"/>
    <col min="3594" max="3594" width="8.85546875" style="173" bestFit="1" customWidth="1"/>
    <col min="3595" max="3598" width="8.42578125" style="173" bestFit="1" customWidth="1"/>
    <col min="3599" max="3599" width="8.85546875" style="173" customWidth="1"/>
    <col min="3600" max="3600" width="10.140625" style="173" bestFit="1" customWidth="1"/>
    <col min="3601" max="3840" width="8" style="173"/>
    <col min="3841" max="3841" width="2.85546875" style="173" customWidth="1"/>
    <col min="3842" max="3842" width="32.42578125" style="173" bestFit="1" customWidth="1"/>
    <col min="3843" max="3843" width="9.85546875" style="173" bestFit="1" customWidth="1"/>
    <col min="3844" max="3844" width="8.85546875" style="173" bestFit="1" customWidth="1"/>
    <col min="3845" max="3845" width="7.42578125" style="173" bestFit="1" customWidth="1"/>
    <col min="3846" max="3846" width="8.7109375" style="173" customWidth="1"/>
    <col min="3847" max="3847" width="8" style="173" bestFit="1" customWidth="1"/>
    <col min="3848" max="3849" width="7.42578125" style="173" bestFit="1" customWidth="1"/>
    <col min="3850" max="3850" width="8.85546875" style="173" bestFit="1" customWidth="1"/>
    <col min="3851" max="3854" width="8.42578125" style="173" bestFit="1" customWidth="1"/>
    <col min="3855" max="3855" width="8.85546875" style="173" customWidth="1"/>
    <col min="3856" max="3856" width="10.140625" style="173" bestFit="1" customWidth="1"/>
    <col min="3857" max="4096" width="8" style="173"/>
    <col min="4097" max="4097" width="2.85546875" style="173" customWidth="1"/>
    <col min="4098" max="4098" width="32.42578125" style="173" bestFit="1" customWidth="1"/>
    <col min="4099" max="4099" width="9.85546875" style="173" bestFit="1" customWidth="1"/>
    <col min="4100" max="4100" width="8.85546875" style="173" bestFit="1" customWidth="1"/>
    <col min="4101" max="4101" width="7.42578125" style="173" bestFit="1" customWidth="1"/>
    <col min="4102" max="4102" width="8.7109375" style="173" customWidth="1"/>
    <col min="4103" max="4103" width="8" style="173" bestFit="1" customWidth="1"/>
    <col min="4104" max="4105" width="7.42578125" style="173" bestFit="1" customWidth="1"/>
    <col min="4106" max="4106" width="8.85546875" style="173" bestFit="1" customWidth="1"/>
    <col min="4107" max="4110" width="8.42578125" style="173" bestFit="1" customWidth="1"/>
    <col min="4111" max="4111" width="8.85546875" style="173" customWidth="1"/>
    <col min="4112" max="4112" width="10.140625" style="173" bestFit="1" customWidth="1"/>
    <col min="4113" max="4352" width="8" style="173"/>
    <col min="4353" max="4353" width="2.85546875" style="173" customWidth="1"/>
    <col min="4354" max="4354" width="32.42578125" style="173" bestFit="1" customWidth="1"/>
    <col min="4355" max="4355" width="9.85546875" style="173" bestFit="1" customWidth="1"/>
    <col min="4356" max="4356" width="8.85546875" style="173" bestFit="1" customWidth="1"/>
    <col min="4357" max="4357" width="7.42578125" style="173" bestFit="1" customWidth="1"/>
    <col min="4358" max="4358" width="8.7109375" style="173" customWidth="1"/>
    <col min="4359" max="4359" width="8" style="173" bestFit="1" customWidth="1"/>
    <col min="4360" max="4361" width="7.42578125" style="173" bestFit="1" customWidth="1"/>
    <col min="4362" max="4362" width="8.85546875" style="173" bestFit="1" customWidth="1"/>
    <col min="4363" max="4366" width="8.42578125" style="173" bestFit="1" customWidth="1"/>
    <col min="4367" max="4367" width="8.85546875" style="173" customWidth="1"/>
    <col min="4368" max="4368" width="10.140625" style="173" bestFit="1" customWidth="1"/>
    <col min="4369" max="4608" width="8" style="173"/>
    <col min="4609" max="4609" width="2.85546875" style="173" customWidth="1"/>
    <col min="4610" max="4610" width="32.42578125" style="173" bestFit="1" customWidth="1"/>
    <col min="4611" max="4611" width="9.85546875" style="173" bestFit="1" customWidth="1"/>
    <col min="4612" max="4612" width="8.85546875" style="173" bestFit="1" customWidth="1"/>
    <col min="4613" max="4613" width="7.42578125" style="173" bestFit="1" customWidth="1"/>
    <col min="4614" max="4614" width="8.7109375" style="173" customWidth="1"/>
    <col min="4615" max="4615" width="8" style="173" bestFit="1" customWidth="1"/>
    <col min="4616" max="4617" width="7.42578125" style="173" bestFit="1" customWidth="1"/>
    <col min="4618" max="4618" width="8.85546875" style="173" bestFit="1" customWidth="1"/>
    <col min="4619" max="4622" width="8.42578125" style="173" bestFit="1" customWidth="1"/>
    <col min="4623" max="4623" width="8.85546875" style="173" customWidth="1"/>
    <col min="4624" max="4624" width="10.140625" style="173" bestFit="1" customWidth="1"/>
    <col min="4625" max="4864" width="8" style="173"/>
    <col min="4865" max="4865" width="2.85546875" style="173" customWidth="1"/>
    <col min="4866" max="4866" width="32.42578125" style="173" bestFit="1" customWidth="1"/>
    <col min="4867" max="4867" width="9.85546875" style="173" bestFit="1" customWidth="1"/>
    <col min="4868" max="4868" width="8.85546875" style="173" bestFit="1" customWidth="1"/>
    <col min="4869" max="4869" width="7.42578125" style="173" bestFit="1" customWidth="1"/>
    <col min="4870" max="4870" width="8.7109375" style="173" customWidth="1"/>
    <col min="4871" max="4871" width="8" style="173" bestFit="1" customWidth="1"/>
    <col min="4872" max="4873" width="7.42578125" style="173" bestFit="1" customWidth="1"/>
    <col min="4874" max="4874" width="8.85546875" style="173" bestFit="1" customWidth="1"/>
    <col min="4875" max="4878" width="8.42578125" style="173" bestFit="1" customWidth="1"/>
    <col min="4879" max="4879" width="8.85546875" style="173" customWidth="1"/>
    <col min="4880" max="4880" width="10.140625" style="173" bestFit="1" customWidth="1"/>
    <col min="4881" max="5120" width="8" style="173"/>
    <col min="5121" max="5121" width="2.85546875" style="173" customWidth="1"/>
    <col min="5122" max="5122" width="32.42578125" style="173" bestFit="1" customWidth="1"/>
    <col min="5123" max="5123" width="9.85546875" style="173" bestFit="1" customWidth="1"/>
    <col min="5124" max="5124" width="8.85546875" style="173" bestFit="1" customWidth="1"/>
    <col min="5125" max="5125" width="7.42578125" style="173" bestFit="1" customWidth="1"/>
    <col min="5126" max="5126" width="8.7109375" style="173" customWidth="1"/>
    <col min="5127" max="5127" width="8" style="173" bestFit="1" customWidth="1"/>
    <col min="5128" max="5129" width="7.42578125" style="173" bestFit="1" customWidth="1"/>
    <col min="5130" max="5130" width="8.85546875" style="173" bestFit="1" customWidth="1"/>
    <col min="5131" max="5134" width="8.42578125" style="173" bestFit="1" customWidth="1"/>
    <col min="5135" max="5135" width="8.85546875" style="173" customWidth="1"/>
    <col min="5136" max="5136" width="10.140625" style="173" bestFit="1" customWidth="1"/>
    <col min="5137" max="5376" width="8" style="173"/>
    <col min="5377" max="5377" width="2.85546875" style="173" customWidth="1"/>
    <col min="5378" max="5378" width="32.42578125" style="173" bestFit="1" customWidth="1"/>
    <col min="5379" max="5379" width="9.85546875" style="173" bestFit="1" customWidth="1"/>
    <col min="5380" max="5380" width="8.85546875" style="173" bestFit="1" customWidth="1"/>
    <col min="5381" max="5381" width="7.42578125" style="173" bestFit="1" customWidth="1"/>
    <col min="5382" max="5382" width="8.7109375" style="173" customWidth="1"/>
    <col min="5383" max="5383" width="8" style="173" bestFit="1" customWidth="1"/>
    <col min="5384" max="5385" width="7.42578125" style="173" bestFit="1" customWidth="1"/>
    <col min="5386" max="5386" width="8.85546875" style="173" bestFit="1" customWidth="1"/>
    <col min="5387" max="5390" width="8.42578125" style="173" bestFit="1" customWidth="1"/>
    <col min="5391" max="5391" width="8.85546875" style="173" customWidth="1"/>
    <col min="5392" max="5392" width="10.140625" style="173" bestFit="1" customWidth="1"/>
    <col min="5393" max="5632" width="8" style="173"/>
    <col min="5633" max="5633" width="2.85546875" style="173" customWidth="1"/>
    <col min="5634" max="5634" width="32.42578125" style="173" bestFit="1" customWidth="1"/>
    <col min="5635" max="5635" width="9.85546875" style="173" bestFit="1" customWidth="1"/>
    <col min="5636" max="5636" width="8.85546875" style="173" bestFit="1" customWidth="1"/>
    <col min="5637" max="5637" width="7.42578125" style="173" bestFit="1" customWidth="1"/>
    <col min="5638" max="5638" width="8.7109375" style="173" customWidth="1"/>
    <col min="5639" max="5639" width="8" style="173" bestFit="1" customWidth="1"/>
    <col min="5640" max="5641" width="7.42578125" style="173" bestFit="1" customWidth="1"/>
    <col min="5642" max="5642" width="8.85546875" style="173" bestFit="1" customWidth="1"/>
    <col min="5643" max="5646" width="8.42578125" style="173" bestFit="1" customWidth="1"/>
    <col min="5647" max="5647" width="8.85546875" style="173" customWidth="1"/>
    <col min="5648" max="5648" width="10.140625" style="173" bestFit="1" customWidth="1"/>
    <col min="5649" max="5888" width="8" style="173"/>
    <col min="5889" max="5889" width="2.85546875" style="173" customWidth="1"/>
    <col min="5890" max="5890" width="32.42578125" style="173" bestFit="1" customWidth="1"/>
    <col min="5891" max="5891" width="9.85546875" style="173" bestFit="1" customWidth="1"/>
    <col min="5892" max="5892" width="8.85546875" style="173" bestFit="1" customWidth="1"/>
    <col min="5893" max="5893" width="7.42578125" style="173" bestFit="1" customWidth="1"/>
    <col min="5894" max="5894" width="8.7109375" style="173" customWidth="1"/>
    <col min="5895" max="5895" width="8" style="173" bestFit="1" customWidth="1"/>
    <col min="5896" max="5897" width="7.42578125" style="173" bestFit="1" customWidth="1"/>
    <col min="5898" max="5898" width="8.85546875" style="173" bestFit="1" customWidth="1"/>
    <col min="5899" max="5902" width="8.42578125" style="173" bestFit="1" customWidth="1"/>
    <col min="5903" max="5903" width="8.85546875" style="173" customWidth="1"/>
    <col min="5904" max="5904" width="10.140625" style="173" bestFit="1" customWidth="1"/>
    <col min="5905" max="6144" width="8" style="173"/>
    <col min="6145" max="6145" width="2.85546875" style="173" customWidth="1"/>
    <col min="6146" max="6146" width="32.42578125" style="173" bestFit="1" customWidth="1"/>
    <col min="6147" max="6147" width="9.85546875" style="173" bestFit="1" customWidth="1"/>
    <col min="6148" max="6148" width="8.85546875" style="173" bestFit="1" customWidth="1"/>
    <col min="6149" max="6149" width="7.42578125" style="173" bestFit="1" customWidth="1"/>
    <col min="6150" max="6150" width="8.7109375" style="173" customWidth="1"/>
    <col min="6151" max="6151" width="8" style="173" bestFit="1" customWidth="1"/>
    <col min="6152" max="6153" width="7.42578125" style="173" bestFit="1" customWidth="1"/>
    <col min="6154" max="6154" width="8.85546875" style="173" bestFit="1" customWidth="1"/>
    <col min="6155" max="6158" width="8.42578125" style="173" bestFit="1" customWidth="1"/>
    <col min="6159" max="6159" width="8.85546875" style="173" customWidth="1"/>
    <col min="6160" max="6160" width="10.140625" style="173" bestFit="1" customWidth="1"/>
    <col min="6161" max="6400" width="8" style="173"/>
    <col min="6401" max="6401" width="2.85546875" style="173" customWidth="1"/>
    <col min="6402" max="6402" width="32.42578125" style="173" bestFit="1" customWidth="1"/>
    <col min="6403" max="6403" width="9.85546875" style="173" bestFit="1" customWidth="1"/>
    <col min="6404" max="6404" width="8.85546875" style="173" bestFit="1" customWidth="1"/>
    <col min="6405" max="6405" width="7.42578125" style="173" bestFit="1" customWidth="1"/>
    <col min="6406" max="6406" width="8.7109375" style="173" customWidth="1"/>
    <col min="6407" max="6407" width="8" style="173" bestFit="1" customWidth="1"/>
    <col min="6408" max="6409" width="7.42578125" style="173" bestFit="1" customWidth="1"/>
    <col min="6410" max="6410" width="8.85546875" style="173" bestFit="1" customWidth="1"/>
    <col min="6411" max="6414" width="8.42578125" style="173" bestFit="1" customWidth="1"/>
    <col min="6415" max="6415" width="8.85546875" style="173" customWidth="1"/>
    <col min="6416" max="6416" width="10.140625" style="173" bestFit="1" customWidth="1"/>
    <col min="6417" max="6656" width="8" style="173"/>
    <col min="6657" max="6657" width="2.85546875" style="173" customWidth="1"/>
    <col min="6658" max="6658" width="32.42578125" style="173" bestFit="1" customWidth="1"/>
    <col min="6659" max="6659" width="9.85546875" style="173" bestFit="1" customWidth="1"/>
    <col min="6660" max="6660" width="8.85546875" style="173" bestFit="1" customWidth="1"/>
    <col min="6661" max="6661" width="7.42578125" style="173" bestFit="1" customWidth="1"/>
    <col min="6662" max="6662" width="8.7109375" style="173" customWidth="1"/>
    <col min="6663" max="6663" width="8" style="173" bestFit="1" customWidth="1"/>
    <col min="6664" max="6665" width="7.42578125" style="173" bestFit="1" customWidth="1"/>
    <col min="6666" max="6666" width="8.85546875" style="173" bestFit="1" customWidth="1"/>
    <col min="6667" max="6670" width="8.42578125" style="173" bestFit="1" customWidth="1"/>
    <col min="6671" max="6671" width="8.85546875" style="173" customWidth="1"/>
    <col min="6672" max="6672" width="10.140625" style="173" bestFit="1" customWidth="1"/>
    <col min="6673" max="6912" width="8" style="173"/>
    <col min="6913" max="6913" width="2.85546875" style="173" customWidth="1"/>
    <col min="6914" max="6914" width="32.42578125" style="173" bestFit="1" customWidth="1"/>
    <col min="6915" max="6915" width="9.85546875" style="173" bestFit="1" customWidth="1"/>
    <col min="6916" max="6916" width="8.85546875" style="173" bestFit="1" customWidth="1"/>
    <col min="6917" max="6917" width="7.42578125" style="173" bestFit="1" customWidth="1"/>
    <col min="6918" max="6918" width="8.7109375" style="173" customWidth="1"/>
    <col min="6919" max="6919" width="8" style="173" bestFit="1" customWidth="1"/>
    <col min="6920" max="6921" width="7.42578125" style="173" bestFit="1" customWidth="1"/>
    <col min="6922" max="6922" width="8.85546875" style="173" bestFit="1" customWidth="1"/>
    <col min="6923" max="6926" width="8.42578125" style="173" bestFit="1" customWidth="1"/>
    <col min="6927" max="6927" width="8.85546875" style="173" customWidth="1"/>
    <col min="6928" max="6928" width="10.140625" style="173" bestFit="1" customWidth="1"/>
    <col min="6929" max="7168" width="8" style="173"/>
    <col min="7169" max="7169" width="2.85546875" style="173" customWidth="1"/>
    <col min="7170" max="7170" width="32.42578125" style="173" bestFit="1" customWidth="1"/>
    <col min="7171" max="7171" width="9.85546875" style="173" bestFit="1" customWidth="1"/>
    <col min="7172" max="7172" width="8.85546875" style="173" bestFit="1" customWidth="1"/>
    <col min="7173" max="7173" width="7.42578125" style="173" bestFit="1" customWidth="1"/>
    <col min="7174" max="7174" width="8.7109375" style="173" customWidth="1"/>
    <col min="7175" max="7175" width="8" style="173" bestFit="1" customWidth="1"/>
    <col min="7176" max="7177" width="7.42578125" style="173" bestFit="1" customWidth="1"/>
    <col min="7178" max="7178" width="8.85546875" style="173" bestFit="1" customWidth="1"/>
    <col min="7179" max="7182" width="8.42578125" style="173" bestFit="1" customWidth="1"/>
    <col min="7183" max="7183" width="8.85546875" style="173" customWidth="1"/>
    <col min="7184" max="7184" width="10.140625" style="173" bestFit="1" customWidth="1"/>
    <col min="7185" max="7424" width="8" style="173"/>
    <col min="7425" max="7425" width="2.85546875" style="173" customWidth="1"/>
    <col min="7426" max="7426" width="32.42578125" style="173" bestFit="1" customWidth="1"/>
    <col min="7427" max="7427" width="9.85546875" style="173" bestFit="1" customWidth="1"/>
    <col min="7428" max="7428" width="8.85546875" style="173" bestFit="1" customWidth="1"/>
    <col min="7429" max="7429" width="7.42578125" style="173" bestFit="1" customWidth="1"/>
    <col min="7430" max="7430" width="8.7109375" style="173" customWidth="1"/>
    <col min="7431" max="7431" width="8" style="173" bestFit="1" customWidth="1"/>
    <col min="7432" max="7433" width="7.42578125" style="173" bestFit="1" customWidth="1"/>
    <col min="7434" max="7434" width="8.85546875" style="173" bestFit="1" customWidth="1"/>
    <col min="7435" max="7438" width="8.42578125" style="173" bestFit="1" customWidth="1"/>
    <col min="7439" max="7439" width="8.85546875" style="173" customWidth="1"/>
    <col min="7440" max="7440" width="10.140625" style="173" bestFit="1" customWidth="1"/>
    <col min="7441" max="7680" width="8" style="173"/>
    <col min="7681" max="7681" width="2.85546875" style="173" customWidth="1"/>
    <col min="7682" max="7682" width="32.42578125" style="173" bestFit="1" customWidth="1"/>
    <col min="7683" max="7683" width="9.85546875" style="173" bestFit="1" customWidth="1"/>
    <col min="7684" max="7684" width="8.85546875" style="173" bestFit="1" customWidth="1"/>
    <col min="7685" max="7685" width="7.42578125" style="173" bestFit="1" customWidth="1"/>
    <col min="7686" max="7686" width="8.7109375" style="173" customWidth="1"/>
    <col min="7687" max="7687" width="8" style="173" bestFit="1" customWidth="1"/>
    <col min="7688" max="7689" width="7.42578125" style="173" bestFit="1" customWidth="1"/>
    <col min="7690" max="7690" width="8.85546875" style="173" bestFit="1" customWidth="1"/>
    <col min="7691" max="7694" width="8.42578125" style="173" bestFit="1" customWidth="1"/>
    <col min="7695" max="7695" width="8.85546875" style="173" customWidth="1"/>
    <col min="7696" max="7696" width="10.140625" style="173" bestFit="1" customWidth="1"/>
    <col min="7697" max="7936" width="8" style="173"/>
    <col min="7937" max="7937" width="2.85546875" style="173" customWidth="1"/>
    <col min="7938" max="7938" width="32.42578125" style="173" bestFit="1" customWidth="1"/>
    <col min="7939" max="7939" width="9.85546875" style="173" bestFit="1" customWidth="1"/>
    <col min="7940" max="7940" width="8.85546875" style="173" bestFit="1" customWidth="1"/>
    <col min="7941" max="7941" width="7.42578125" style="173" bestFit="1" customWidth="1"/>
    <col min="7942" max="7942" width="8.7109375" style="173" customWidth="1"/>
    <col min="7943" max="7943" width="8" style="173" bestFit="1" customWidth="1"/>
    <col min="7944" max="7945" width="7.42578125" style="173" bestFit="1" customWidth="1"/>
    <col min="7946" max="7946" width="8.85546875" style="173" bestFit="1" customWidth="1"/>
    <col min="7947" max="7950" width="8.42578125" style="173" bestFit="1" customWidth="1"/>
    <col min="7951" max="7951" width="8.85546875" style="173" customWidth="1"/>
    <col min="7952" max="7952" width="10.140625" style="173" bestFit="1" customWidth="1"/>
    <col min="7953" max="8192" width="8" style="173"/>
    <col min="8193" max="8193" width="2.85546875" style="173" customWidth="1"/>
    <col min="8194" max="8194" width="32.42578125" style="173" bestFit="1" customWidth="1"/>
    <col min="8195" max="8195" width="9.85546875" style="173" bestFit="1" customWidth="1"/>
    <col min="8196" max="8196" width="8.85546875" style="173" bestFit="1" customWidth="1"/>
    <col min="8197" max="8197" width="7.42578125" style="173" bestFit="1" customWidth="1"/>
    <col min="8198" max="8198" width="8.7109375" style="173" customWidth="1"/>
    <col min="8199" max="8199" width="8" style="173" bestFit="1" customWidth="1"/>
    <col min="8200" max="8201" width="7.42578125" style="173" bestFit="1" customWidth="1"/>
    <col min="8202" max="8202" width="8.85546875" style="173" bestFit="1" customWidth="1"/>
    <col min="8203" max="8206" width="8.42578125" style="173" bestFit="1" customWidth="1"/>
    <col min="8207" max="8207" width="8.85546875" style="173" customWidth="1"/>
    <col min="8208" max="8208" width="10.140625" style="173" bestFit="1" customWidth="1"/>
    <col min="8209" max="8448" width="8" style="173"/>
    <col min="8449" max="8449" width="2.85546875" style="173" customWidth="1"/>
    <col min="8450" max="8450" width="32.42578125" style="173" bestFit="1" customWidth="1"/>
    <col min="8451" max="8451" width="9.85546875" style="173" bestFit="1" customWidth="1"/>
    <col min="8452" max="8452" width="8.85546875" style="173" bestFit="1" customWidth="1"/>
    <col min="8453" max="8453" width="7.42578125" style="173" bestFit="1" customWidth="1"/>
    <col min="8454" max="8454" width="8.7109375" style="173" customWidth="1"/>
    <col min="8455" max="8455" width="8" style="173" bestFit="1" customWidth="1"/>
    <col min="8456" max="8457" width="7.42578125" style="173" bestFit="1" customWidth="1"/>
    <col min="8458" max="8458" width="8.85546875" style="173" bestFit="1" customWidth="1"/>
    <col min="8459" max="8462" width="8.42578125" style="173" bestFit="1" customWidth="1"/>
    <col min="8463" max="8463" width="8.85546875" style="173" customWidth="1"/>
    <col min="8464" max="8464" width="10.140625" style="173" bestFit="1" customWidth="1"/>
    <col min="8465" max="8704" width="8" style="173"/>
    <col min="8705" max="8705" width="2.85546875" style="173" customWidth="1"/>
    <col min="8706" max="8706" width="32.42578125" style="173" bestFit="1" customWidth="1"/>
    <col min="8707" max="8707" width="9.85546875" style="173" bestFit="1" customWidth="1"/>
    <col min="8708" max="8708" width="8.85546875" style="173" bestFit="1" customWidth="1"/>
    <col min="8709" max="8709" width="7.42578125" style="173" bestFit="1" customWidth="1"/>
    <col min="8710" max="8710" width="8.7109375" style="173" customWidth="1"/>
    <col min="8711" max="8711" width="8" style="173" bestFit="1" customWidth="1"/>
    <col min="8712" max="8713" width="7.42578125" style="173" bestFit="1" customWidth="1"/>
    <col min="8714" max="8714" width="8.85546875" style="173" bestFit="1" customWidth="1"/>
    <col min="8715" max="8718" width="8.42578125" style="173" bestFit="1" customWidth="1"/>
    <col min="8719" max="8719" width="8.85546875" style="173" customWidth="1"/>
    <col min="8720" max="8720" width="10.140625" style="173" bestFit="1" customWidth="1"/>
    <col min="8721" max="8960" width="8" style="173"/>
    <col min="8961" max="8961" width="2.85546875" style="173" customWidth="1"/>
    <col min="8962" max="8962" width="32.42578125" style="173" bestFit="1" customWidth="1"/>
    <col min="8963" max="8963" width="9.85546875" style="173" bestFit="1" customWidth="1"/>
    <col min="8964" max="8964" width="8.85546875" style="173" bestFit="1" customWidth="1"/>
    <col min="8965" max="8965" width="7.42578125" style="173" bestFit="1" customWidth="1"/>
    <col min="8966" max="8966" width="8.7109375" style="173" customWidth="1"/>
    <col min="8967" max="8967" width="8" style="173" bestFit="1" customWidth="1"/>
    <col min="8968" max="8969" width="7.42578125" style="173" bestFit="1" customWidth="1"/>
    <col min="8970" max="8970" width="8.85546875" style="173" bestFit="1" customWidth="1"/>
    <col min="8971" max="8974" width="8.42578125" style="173" bestFit="1" customWidth="1"/>
    <col min="8975" max="8975" width="8.85546875" style="173" customWidth="1"/>
    <col min="8976" max="8976" width="10.140625" style="173" bestFit="1" customWidth="1"/>
    <col min="8977" max="9216" width="8" style="173"/>
    <col min="9217" max="9217" width="2.85546875" style="173" customWidth="1"/>
    <col min="9218" max="9218" width="32.42578125" style="173" bestFit="1" customWidth="1"/>
    <col min="9219" max="9219" width="9.85546875" style="173" bestFit="1" customWidth="1"/>
    <col min="9220" max="9220" width="8.85546875" style="173" bestFit="1" customWidth="1"/>
    <col min="9221" max="9221" width="7.42578125" style="173" bestFit="1" customWidth="1"/>
    <col min="9222" max="9222" width="8.7109375" style="173" customWidth="1"/>
    <col min="9223" max="9223" width="8" style="173" bestFit="1" customWidth="1"/>
    <col min="9224" max="9225" width="7.42578125" style="173" bestFit="1" customWidth="1"/>
    <col min="9226" max="9226" width="8.85546875" style="173" bestFit="1" customWidth="1"/>
    <col min="9227" max="9230" width="8.42578125" style="173" bestFit="1" customWidth="1"/>
    <col min="9231" max="9231" width="8.85546875" style="173" customWidth="1"/>
    <col min="9232" max="9232" width="10.140625" style="173" bestFit="1" customWidth="1"/>
    <col min="9233" max="9472" width="8" style="173"/>
    <col min="9473" max="9473" width="2.85546875" style="173" customWidth="1"/>
    <col min="9474" max="9474" width="32.42578125" style="173" bestFit="1" customWidth="1"/>
    <col min="9475" max="9475" width="9.85546875" style="173" bestFit="1" customWidth="1"/>
    <col min="9476" max="9476" width="8.85546875" style="173" bestFit="1" customWidth="1"/>
    <col min="9477" max="9477" width="7.42578125" style="173" bestFit="1" customWidth="1"/>
    <col min="9478" max="9478" width="8.7109375" style="173" customWidth="1"/>
    <col min="9479" max="9479" width="8" style="173" bestFit="1" customWidth="1"/>
    <col min="9480" max="9481" width="7.42578125" style="173" bestFit="1" customWidth="1"/>
    <col min="9482" max="9482" width="8.85546875" style="173" bestFit="1" customWidth="1"/>
    <col min="9483" max="9486" width="8.42578125" style="173" bestFit="1" customWidth="1"/>
    <col min="9487" max="9487" width="8.85546875" style="173" customWidth="1"/>
    <col min="9488" max="9488" width="10.140625" style="173" bestFit="1" customWidth="1"/>
    <col min="9489" max="9728" width="8" style="173"/>
    <col min="9729" max="9729" width="2.85546875" style="173" customWidth="1"/>
    <col min="9730" max="9730" width="32.42578125" style="173" bestFit="1" customWidth="1"/>
    <col min="9731" max="9731" width="9.85546875" style="173" bestFit="1" customWidth="1"/>
    <col min="9732" max="9732" width="8.85546875" style="173" bestFit="1" customWidth="1"/>
    <col min="9733" max="9733" width="7.42578125" style="173" bestFit="1" customWidth="1"/>
    <col min="9734" max="9734" width="8.7109375" style="173" customWidth="1"/>
    <col min="9735" max="9735" width="8" style="173" bestFit="1" customWidth="1"/>
    <col min="9736" max="9737" width="7.42578125" style="173" bestFit="1" customWidth="1"/>
    <col min="9738" max="9738" width="8.85546875" style="173" bestFit="1" customWidth="1"/>
    <col min="9739" max="9742" width="8.42578125" style="173" bestFit="1" customWidth="1"/>
    <col min="9743" max="9743" width="8.85546875" style="173" customWidth="1"/>
    <col min="9744" max="9744" width="10.140625" style="173" bestFit="1" customWidth="1"/>
    <col min="9745" max="9984" width="8" style="173"/>
    <col min="9985" max="9985" width="2.85546875" style="173" customWidth="1"/>
    <col min="9986" max="9986" width="32.42578125" style="173" bestFit="1" customWidth="1"/>
    <col min="9987" max="9987" width="9.85546875" style="173" bestFit="1" customWidth="1"/>
    <col min="9988" max="9988" width="8.85546875" style="173" bestFit="1" customWidth="1"/>
    <col min="9989" max="9989" width="7.42578125" style="173" bestFit="1" customWidth="1"/>
    <col min="9990" max="9990" width="8.7109375" style="173" customWidth="1"/>
    <col min="9991" max="9991" width="8" style="173" bestFit="1" customWidth="1"/>
    <col min="9992" max="9993" width="7.42578125" style="173" bestFit="1" customWidth="1"/>
    <col min="9994" max="9994" width="8.85546875" style="173" bestFit="1" customWidth="1"/>
    <col min="9995" max="9998" width="8.42578125" style="173" bestFit="1" customWidth="1"/>
    <col min="9999" max="9999" width="8.85546875" style="173" customWidth="1"/>
    <col min="10000" max="10000" width="10.140625" style="173" bestFit="1" customWidth="1"/>
    <col min="10001" max="10240" width="8" style="173"/>
    <col min="10241" max="10241" width="2.85546875" style="173" customWidth="1"/>
    <col min="10242" max="10242" width="32.42578125" style="173" bestFit="1" customWidth="1"/>
    <col min="10243" max="10243" width="9.85546875" style="173" bestFit="1" customWidth="1"/>
    <col min="10244" max="10244" width="8.85546875" style="173" bestFit="1" customWidth="1"/>
    <col min="10245" max="10245" width="7.42578125" style="173" bestFit="1" customWidth="1"/>
    <col min="10246" max="10246" width="8.7109375" style="173" customWidth="1"/>
    <col min="10247" max="10247" width="8" style="173" bestFit="1" customWidth="1"/>
    <col min="10248" max="10249" width="7.42578125" style="173" bestFit="1" customWidth="1"/>
    <col min="10250" max="10250" width="8.85546875" style="173" bestFit="1" customWidth="1"/>
    <col min="10251" max="10254" width="8.42578125" style="173" bestFit="1" customWidth="1"/>
    <col min="10255" max="10255" width="8.85546875" style="173" customWidth="1"/>
    <col min="10256" max="10256" width="10.140625" style="173" bestFit="1" customWidth="1"/>
    <col min="10257" max="10496" width="8" style="173"/>
    <col min="10497" max="10497" width="2.85546875" style="173" customWidth="1"/>
    <col min="10498" max="10498" width="32.42578125" style="173" bestFit="1" customWidth="1"/>
    <col min="10499" max="10499" width="9.85546875" style="173" bestFit="1" customWidth="1"/>
    <col min="10500" max="10500" width="8.85546875" style="173" bestFit="1" customWidth="1"/>
    <col min="10501" max="10501" width="7.42578125" style="173" bestFit="1" customWidth="1"/>
    <col min="10502" max="10502" width="8.7109375" style="173" customWidth="1"/>
    <col min="10503" max="10503" width="8" style="173" bestFit="1" customWidth="1"/>
    <col min="10504" max="10505" width="7.42578125" style="173" bestFit="1" customWidth="1"/>
    <col min="10506" max="10506" width="8.85546875" style="173" bestFit="1" customWidth="1"/>
    <col min="10507" max="10510" width="8.42578125" style="173" bestFit="1" customWidth="1"/>
    <col min="10511" max="10511" width="8.85546875" style="173" customWidth="1"/>
    <col min="10512" max="10512" width="10.140625" style="173" bestFit="1" customWidth="1"/>
    <col min="10513" max="10752" width="8" style="173"/>
    <col min="10753" max="10753" width="2.85546875" style="173" customWidth="1"/>
    <col min="10754" max="10754" width="32.42578125" style="173" bestFit="1" customWidth="1"/>
    <col min="10755" max="10755" width="9.85546875" style="173" bestFit="1" customWidth="1"/>
    <col min="10756" max="10756" width="8.85546875" style="173" bestFit="1" customWidth="1"/>
    <col min="10757" max="10757" width="7.42578125" style="173" bestFit="1" customWidth="1"/>
    <col min="10758" max="10758" width="8.7109375" style="173" customWidth="1"/>
    <col min="10759" max="10759" width="8" style="173" bestFit="1" customWidth="1"/>
    <col min="10760" max="10761" width="7.42578125" style="173" bestFit="1" customWidth="1"/>
    <col min="10762" max="10762" width="8.85546875" style="173" bestFit="1" customWidth="1"/>
    <col min="10763" max="10766" width="8.42578125" style="173" bestFit="1" customWidth="1"/>
    <col min="10767" max="10767" width="8.85546875" style="173" customWidth="1"/>
    <col min="10768" max="10768" width="10.140625" style="173" bestFit="1" customWidth="1"/>
    <col min="10769" max="11008" width="8" style="173"/>
    <col min="11009" max="11009" width="2.85546875" style="173" customWidth="1"/>
    <col min="11010" max="11010" width="32.42578125" style="173" bestFit="1" customWidth="1"/>
    <col min="11011" max="11011" width="9.85546875" style="173" bestFit="1" customWidth="1"/>
    <col min="11012" max="11012" width="8.85546875" style="173" bestFit="1" customWidth="1"/>
    <col min="11013" max="11013" width="7.42578125" style="173" bestFit="1" customWidth="1"/>
    <col min="11014" max="11014" width="8.7109375" style="173" customWidth="1"/>
    <col min="11015" max="11015" width="8" style="173" bestFit="1" customWidth="1"/>
    <col min="11016" max="11017" width="7.42578125" style="173" bestFit="1" customWidth="1"/>
    <col min="11018" max="11018" width="8.85546875" style="173" bestFit="1" customWidth="1"/>
    <col min="11019" max="11022" width="8.42578125" style="173" bestFit="1" customWidth="1"/>
    <col min="11023" max="11023" width="8.85546875" style="173" customWidth="1"/>
    <col min="11024" max="11024" width="10.140625" style="173" bestFit="1" customWidth="1"/>
    <col min="11025" max="11264" width="8" style="173"/>
    <col min="11265" max="11265" width="2.85546875" style="173" customWidth="1"/>
    <col min="11266" max="11266" width="32.42578125" style="173" bestFit="1" customWidth="1"/>
    <col min="11267" max="11267" width="9.85546875" style="173" bestFit="1" customWidth="1"/>
    <col min="11268" max="11268" width="8.85546875" style="173" bestFit="1" customWidth="1"/>
    <col min="11269" max="11269" width="7.42578125" style="173" bestFit="1" customWidth="1"/>
    <col min="11270" max="11270" width="8.7109375" style="173" customWidth="1"/>
    <col min="11271" max="11271" width="8" style="173" bestFit="1" customWidth="1"/>
    <col min="11272" max="11273" width="7.42578125" style="173" bestFit="1" customWidth="1"/>
    <col min="11274" max="11274" width="8.85546875" style="173" bestFit="1" customWidth="1"/>
    <col min="11275" max="11278" width="8.42578125" style="173" bestFit="1" customWidth="1"/>
    <col min="11279" max="11279" width="8.85546875" style="173" customWidth="1"/>
    <col min="11280" max="11280" width="10.140625" style="173" bestFit="1" customWidth="1"/>
    <col min="11281" max="11520" width="8" style="173"/>
    <col min="11521" max="11521" width="2.85546875" style="173" customWidth="1"/>
    <col min="11522" max="11522" width="32.42578125" style="173" bestFit="1" customWidth="1"/>
    <col min="11523" max="11523" width="9.85546875" style="173" bestFit="1" customWidth="1"/>
    <col min="11524" max="11524" width="8.85546875" style="173" bestFit="1" customWidth="1"/>
    <col min="11525" max="11525" width="7.42578125" style="173" bestFit="1" customWidth="1"/>
    <col min="11526" max="11526" width="8.7109375" style="173" customWidth="1"/>
    <col min="11527" max="11527" width="8" style="173" bestFit="1" customWidth="1"/>
    <col min="11528" max="11529" width="7.42578125" style="173" bestFit="1" customWidth="1"/>
    <col min="11530" max="11530" width="8.85546875" style="173" bestFit="1" customWidth="1"/>
    <col min="11531" max="11534" width="8.42578125" style="173" bestFit="1" customWidth="1"/>
    <col min="11535" max="11535" width="8.85546875" style="173" customWidth="1"/>
    <col min="11536" max="11536" width="10.140625" style="173" bestFit="1" customWidth="1"/>
    <col min="11537" max="11776" width="8" style="173"/>
    <col min="11777" max="11777" width="2.85546875" style="173" customWidth="1"/>
    <col min="11778" max="11778" width="32.42578125" style="173" bestFit="1" customWidth="1"/>
    <col min="11779" max="11779" width="9.85546875" style="173" bestFit="1" customWidth="1"/>
    <col min="11780" max="11780" width="8.85546875" style="173" bestFit="1" customWidth="1"/>
    <col min="11781" max="11781" width="7.42578125" style="173" bestFit="1" customWidth="1"/>
    <col min="11782" max="11782" width="8.7109375" style="173" customWidth="1"/>
    <col min="11783" max="11783" width="8" style="173" bestFit="1" customWidth="1"/>
    <col min="11784" max="11785" width="7.42578125" style="173" bestFit="1" customWidth="1"/>
    <col min="11786" max="11786" width="8.85546875" style="173" bestFit="1" customWidth="1"/>
    <col min="11787" max="11790" width="8.42578125" style="173" bestFit="1" customWidth="1"/>
    <col min="11791" max="11791" width="8.85546875" style="173" customWidth="1"/>
    <col min="11792" max="11792" width="10.140625" style="173" bestFit="1" customWidth="1"/>
    <col min="11793" max="12032" width="8" style="173"/>
    <col min="12033" max="12033" width="2.85546875" style="173" customWidth="1"/>
    <col min="12034" max="12034" width="32.42578125" style="173" bestFit="1" customWidth="1"/>
    <col min="12035" max="12035" width="9.85546875" style="173" bestFit="1" customWidth="1"/>
    <col min="12036" max="12036" width="8.85546875" style="173" bestFit="1" customWidth="1"/>
    <col min="12037" max="12037" width="7.42578125" style="173" bestFit="1" customWidth="1"/>
    <col min="12038" max="12038" width="8.7109375" style="173" customWidth="1"/>
    <col min="12039" max="12039" width="8" style="173" bestFit="1" customWidth="1"/>
    <col min="12040" max="12041" width="7.42578125" style="173" bestFit="1" customWidth="1"/>
    <col min="12042" max="12042" width="8.85546875" style="173" bestFit="1" customWidth="1"/>
    <col min="12043" max="12046" width="8.42578125" style="173" bestFit="1" customWidth="1"/>
    <col min="12047" max="12047" width="8.85546875" style="173" customWidth="1"/>
    <col min="12048" max="12048" width="10.140625" style="173" bestFit="1" customWidth="1"/>
    <col min="12049" max="12288" width="8" style="173"/>
    <col min="12289" max="12289" width="2.85546875" style="173" customWidth="1"/>
    <col min="12290" max="12290" width="32.42578125" style="173" bestFit="1" customWidth="1"/>
    <col min="12291" max="12291" width="9.85546875" style="173" bestFit="1" customWidth="1"/>
    <col min="12292" max="12292" width="8.85546875" style="173" bestFit="1" customWidth="1"/>
    <col min="12293" max="12293" width="7.42578125" style="173" bestFit="1" customWidth="1"/>
    <col min="12294" max="12294" width="8.7109375" style="173" customWidth="1"/>
    <col min="12295" max="12295" width="8" style="173" bestFit="1" customWidth="1"/>
    <col min="12296" max="12297" width="7.42578125" style="173" bestFit="1" customWidth="1"/>
    <col min="12298" max="12298" width="8.85546875" style="173" bestFit="1" customWidth="1"/>
    <col min="12299" max="12302" width="8.42578125" style="173" bestFit="1" customWidth="1"/>
    <col min="12303" max="12303" width="8.85546875" style="173" customWidth="1"/>
    <col min="12304" max="12304" width="10.140625" style="173" bestFit="1" customWidth="1"/>
    <col min="12305" max="12544" width="8" style="173"/>
    <col min="12545" max="12545" width="2.85546875" style="173" customWidth="1"/>
    <col min="12546" max="12546" width="32.42578125" style="173" bestFit="1" customWidth="1"/>
    <col min="12547" max="12547" width="9.85546875" style="173" bestFit="1" customWidth="1"/>
    <col min="12548" max="12548" width="8.85546875" style="173" bestFit="1" customWidth="1"/>
    <col min="12549" max="12549" width="7.42578125" style="173" bestFit="1" customWidth="1"/>
    <col min="12550" max="12550" width="8.7109375" style="173" customWidth="1"/>
    <col min="12551" max="12551" width="8" style="173" bestFit="1" customWidth="1"/>
    <col min="12552" max="12553" width="7.42578125" style="173" bestFit="1" customWidth="1"/>
    <col min="12554" max="12554" width="8.85546875" style="173" bestFit="1" customWidth="1"/>
    <col min="12555" max="12558" width="8.42578125" style="173" bestFit="1" customWidth="1"/>
    <col min="12559" max="12559" width="8.85546875" style="173" customWidth="1"/>
    <col min="12560" max="12560" width="10.140625" style="173" bestFit="1" customWidth="1"/>
    <col min="12561" max="12800" width="8" style="173"/>
    <col min="12801" max="12801" width="2.85546875" style="173" customWidth="1"/>
    <col min="12802" max="12802" width="32.42578125" style="173" bestFit="1" customWidth="1"/>
    <col min="12803" max="12803" width="9.85546875" style="173" bestFit="1" customWidth="1"/>
    <col min="12804" max="12804" width="8.85546875" style="173" bestFit="1" customWidth="1"/>
    <col min="12805" max="12805" width="7.42578125" style="173" bestFit="1" customWidth="1"/>
    <col min="12806" max="12806" width="8.7109375" style="173" customWidth="1"/>
    <col min="12807" max="12807" width="8" style="173" bestFit="1" customWidth="1"/>
    <col min="12808" max="12809" width="7.42578125" style="173" bestFit="1" customWidth="1"/>
    <col min="12810" max="12810" width="8.85546875" style="173" bestFit="1" customWidth="1"/>
    <col min="12811" max="12814" width="8.42578125" style="173" bestFit="1" customWidth="1"/>
    <col min="12815" max="12815" width="8.85546875" style="173" customWidth="1"/>
    <col min="12816" max="12816" width="10.140625" style="173" bestFit="1" customWidth="1"/>
    <col min="12817" max="13056" width="8" style="173"/>
    <col min="13057" max="13057" width="2.85546875" style="173" customWidth="1"/>
    <col min="13058" max="13058" width="32.42578125" style="173" bestFit="1" customWidth="1"/>
    <col min="13059" max="13059" width="9.85546875" style="173" bestFit="1" customWidth="1"/>
    <col min="13060" max="13060" width="8.85546875" style="173" bestFit="1" customWidth="1"/>
    <col min="13061" max="13061" width="7.42578125" style="173" bestFit="1" customWidth="1"/>
    <col min="13062" max="13062" width="8.7109375" style="173" customWidth="1"/>
    <col min="13063" max="13063" width="8" style="173" bestFit="1" customWidth="1"/>
    <col min="13064" max="13065" width="7.42578125" style="173" bestFit="1" customWidth="1"/>
    <col min="13066" max="13066" width="8.85546875" style="173" bestFit="1" customWidth="1"/>
    <col min="13067" max="13070" width="8.42578125" style="173" bestFit="1" customWidth="1"/>
    <col min="13071" max="13071" width="8.85546875" style="173" customWidth="1"/>
    <col min="13072" max="13072" width="10.140625" style="173" bestFit="1" customWidth="1"/>
    <col min="13073" max="13312" width="8" style="173"/>
    <col min="13313" max="13313" width="2.85546875" style="173" customWidth="1"/>
    <col min="13314" max="13314" width="32.42578125" style="173" bestFit="1" customWidth="1"/>
    <col min="13315" max="13315" width="9.85546875" style="173" bestFit="1" customWidth="1"/>
    <col min="13316" max="13316" width="8.85546875" style="173" bestFit="1" customWidth="1"/>
    <col min="13317" max="13317" width="7.42578125" style="173" bestFit="1" customWidth="1"/>
    <col min="13318" max="13318" width="8.7109375" style="173" customWidth="1"/>
    <col min="13319" max="13319" width="8" style="173" bestFit="1" customWidth="1"/>
    <col min="13320" max="13321" width="7.42578125" style="173" bestFit="1" customWidth="1"/>
    <col min="13322" max="13322" width="8.85546875" style="173" bestFit="1" customWidth="1"/>
    <col min="13323" max="13326" width="8.42578125" style="173" bestFit="1" customWidth="1"/>
    <col min="13327" max="13327" width="8.85546875" style="173" customWidth="1"/>
    <col min="13328" max="13328" width="10.140625" style="173" bestFit="1" customWidth="1"/>
    <col min="13329" max="13568" width="8" style="173"/>
    <col min="13569" max="13569" width="2.85546875" style="173" customWidth="1"/>
    <col min="13570" max="13570" width="32.42578125" style="173" bestFit="1" customWidth="1"/>
    <col min="13571" max="13571" width="9.85546875" style="173" bestFit="1" customWidth="1"/>
    <col min="13572" max="13572" width="8.85546875" style="173" bestFit="1" customWidth="1"/>
    <col min="13573" max="13573" width="7.42578125" style="173" bestFit="1" customWidth="1"/>
    <col min="13574" max="13574" width="8.7109375" style="173" customWidth="1"/>
    <col min="13575" max="13575" width="8" style="173" bestFit="1" customWidth="1"/>
    <col min="13576" max="13577" width="7.42578125" style="173" bestFit="1" customWidth="1"/>
    <col min="13578" max="13578" width="8.85546875" style="173" bestFit="1" customWidth="1"/>
    <col min="13579" max="13582" width="8.42578125" style="173" bestFit="1" customWidth="1"/>
    <col min="13583" max="13583" width="8.85546875" style="173" customWidth="1"/>
    <col min="13584" max="13584" width="10.140625" style="173" bestFit="1" customWidth="1"/>
    <col min="13585" max="13824" width="8" style="173"/>
    <col min="13825" max="13825" width="2.85546875" style="173" customWidth="1"/>
    <col min="13826" max="13826" width="32.42578125" style="173" bestFit="1" customWidth="1"/>
    <col min="13827" max="13827" width="9.85546875" style="173" bestFit="1" customWidth="1"/>
    <col min="13828" max="13828" width="8.85546875" style="173" bestFit="1" customWidth="1"/>
    <col min="13829" max="13829" width="7.42578125" style="173" bestFit="1" customWidth="1"/>
    <col min="13830" max="13830" width="8.7109375" style="173" customWidth="1"/>
    <col min="13831" max="13831" width="8" style="173" bestFit="1" customWidth="1"/>
    <col min="13832" max="13833" width="7.42578125" style="173" bestFit="1" customWidth="1"/>
    <col min="13834" max="13834" width="8.85546875" style="173" bestFit="1" customWidth="1"/>
    <col min="13835" max="13838" width="8.42578125" style="173" bestFit="1" customWidth="1"/>
    <col min="13839" max="13839" width="8.85546875" style="173" customWidth="1"/>
    <col min="13840" max="13840" width="10.140625" style="173" bestFit="1" customWidth="1"/>
    <col min="13841" max="14080" width="8" style="173"/>
    <col min="14081" max="14081" width="2.85546875" style="173" customWidth="1"/>
    <col min="14082" max="14082" width="32.42578125" style="173" bestFit="1" customWidth="1"/>
    <col min="14083" max="14083" width="9.85546875" style="173" bestFit="1" customWidth="1"/>
    <col min="14084" max="14084" width="8.85546875" style="173" bestFit="1" customWidth="1"/>
    <col min="14085" max="14085" width="7.42578125" style="173" bestFit="1" customWidth="1"/>
    <col min="14086" max="14086" width="8.7109375" style="173" customWidth="1"/>
    <col min="14087" max="14087" width="8" style="173" bestFit="1" customWidth="1"/>
    <col min="14088" max="14089" width="7.42578125" style="173" bestFit="1" customWidth="1"/>
    <col min="14090" max="14090" width="8.85546875" style="173" bestFit="1" customWidth="1"/>
    <col min="14091" max="14094" width="8.42578125" style="173" bestFit="1" customWidth="1"/>
    <col min="14095" max="14095" width="8.85546875" style="173" customWidth="1"/>
    <col min="14096" max="14096" width="10.140625" style="173" bestFit="1" customWidth="1"/>
    <col min="14097" max="14336" width="8" style="173"/>
    <col min="14337" max="14337" width="2.85546875" style="173" customWidth="1"/>
    <col min="14338" max="14338" width="32.42578125" style="173" bestFit="1" customWidth="1"/>
    <col min="14339" max="14339" width="9.85546875" style="173" bestFit="1" customWidth="1"/>
    <col min="14340" max="14340" width="8.85546875" style="173" bestFit="1" customWidth="1"/>
    <col min="14341" max="14341" width="7.42578125" style="173" bestFit="1" customWidth="1"/>
    <col min="14342" max="14342" width="8.7109375" style="173" customWidth="1"/>
    <col min="14343" max="14343" width="8" style="173" bestFit="1" customWidth="1"/>
    <col min="14344" max="14345" width="7.42578125" style="173" bestFit="1" customWidth="1"/>
    <col min="14346" max="14346" width="8.85546875" style="173" bestFit="1" customWidth="1"/>
    <col min="14347" max="14350" width="8.42578125" style="173" bestFit="1" customWidth="1"/>
    <col min="14351" max="14351" width="8.85546875" style="173" customWidth="1"/>
    <col min="14352" max="14352" width="10.140625" style="173" bestFit="1" customWidth="1"/>
    <col min="14353" max="14592" width="8" style="173"/>
    <col min="14593" max="14593" width="2.85546875" style="173" customWidth="1"/>
    <col min="14594" max="14594" width="32.42578125" style="173" bestFit="1" customWidth="1"/>
    <col min="14595" max="14595" width="9.85546875" style="173" bestFit="1" customWidth="1"/>
    <col min="14596" max="14596" width="8.85546875" style="173" bestFit="1" customWidth="1"/>
    <col min="14597" max="14597" width="7.42578125" style="173" bestFit="1" customWidth="1"/>
    <col min="14598" max="14598" width="8.7109375" style="173" customWidth="1"/>
    <col min="14599" max="14599" width="8" style="173" bestFit="1" customWidth="1"/>
    <col min="14600" max="14601" width="7.42578125" style="173" bestFit="1" customWidth="1"/>
    <col min="14602" max="14602" width="8.85546875" style="173" bestFit="1" customWidth="1"/>
    <col min="14603" max="14606" width="8.42578125" style="173" bestFit="1" customWidth="1"/>
    <col min="14607" max="14607" width="8.85546875" style="173" customWidth="1"/>
    <col min="14608" max="14608" width="10.140625" style="173" bestFit="1" customWidth="1"/>
    <col min="14609" max="14848" width="8" style="173"/>
    <col min="14849" max="14849" width="2.85546875" style="173" customWidth="1"/>
    <col min="14850" max="14850" width="32.42578125" style="173" bestFit="1" customWidth="1"/>
    <col min="14851" max="14851" width="9.85546875" style="173" bestFit="1" customWidth="1"/>
    <col min="14852" max="14852" width="8.85546875" style="173" bestFit="1" customWidth="1"/>
    <col min="14853" max="14853" width="7.42578125" style="173" bestFit="1" customWidth="1"/>
    <col min="14854" max="14854" width="8.7109375" style="173" customWidth="1"/>
    <col min="14855" max="14855" width="8" style="173" bestFit="1" customWidth="1"/>
    <col min="14856" max="14857" width="7.42578125" style="173" bestFit="1" customWidth="1"/>
    <col min="14858" max="14858" width="8.85546875" style="173" bestFit="1" customWidth="1"/>
    <col min="14859" max="14862" width="8.42578125" style="173" bestFit="1" customWidth="1"/>
    <col min="14863" max="14863" width="8.85546875" style="173" customWidth="1"/>
    <col min="14864" max="14864" width="10.140625" style="173" bestFit="1" customWidth="1"/>
    <col min="14865" max="15104" width="8" style="173"/>
    <col min="15105" max="15105" width="2.85546875" style="173" customWidth="1"/>
    <col min="15106" max="15106" width="32.42578125" style="173" bestFit="1" customWidth="1"/>
    <col min="15107" max="15107" width="9.85546875" style="173" bestFit="1" customWidth="1"/>
    <col min="15108" max="15108" width="8.85546875" style="173" bestFit="1" customWidth="1"/>
    <col min="15109" max="15109" width="7.42578125" style="173" bestFit="1" customWidth="1"/>
    <col min="15110" max="15110" width="8.7109375" style="173" customWidth="1"/>
    <col min="15111" max="15111" width="8" style="173" bestFit="1" customWidth="1"/>
    <col min="15112" max="15113" width="7.42578125" style="173" bestFit="1" customWidth="1"/>
    <col min="15114" max="15114" width="8.85546875" style="173" bestFit="1" customWidth="1"/>
    <col min="15115" max="15118" width="8.42578125" style="173" bestFit="1" customWidth="1"/>
    <col min="15119" max="15119" width="8.85546875" style="173" customWidth="1"/>
    <col min="15120" max="15120" width="10.140625" style="173" bestFit="1" customWidth="1"/>
    <col min="15121" max="15360" width="8" style="173"/>
    <col min="15361" max="15361" width="2.85546875" style="173" customWidth="1"/>
    <col min="15362" max="15362" width="32.42578125" style="173" bestFit="1" customWidth="1"/>
    <col min="15363" max="15363" width="9.85546875" style="173" bestFit="1" customWidth="1"/>
    <col min="15364" max="15364" width="8.85546875" style="173" bestFit="1" customWidth="1"/>
    <col min="15365" max="15365" width="7.42578125" style="173" bestFit="1" customWidth="1"/>
    <col min="15366" max="15366" width="8.7109375" style="173" customWidth="1"/>
    <col min="15367" max="15367" width="8" style="173" bestFit="1" customWidth="1"/>
    <col min="15368" max="15369" width="7.42578125" style="173" bestFit="1" customWidth="1"/>
    <col min="15370" max="15370" width="8.85546875" style="173" bestFit="1" customWidth="1"/>
    <col min="15371" max="15374" width="8.42578125" style="173" bestFit="1" customWidth="1"/>
    <col min="15375" max="15375" width="8.85546875" style="173" customWidth="1"/>
    <col min="15376" max="15376" width="10.140625" style="173" bestFit="1" customWidth="1"/>
    <col min="15377" max="15616" width="8" style="173"/>
    <col min="15617" max="15617" width="2.85546875" style="173" customWidth="1"/>
    <col min="15618" max="15618" width="32.42578125" style="173" bestFit="1" customWidth="1"/>
    <col min="15619" max="15619" width="9.85546875" style="173" bestFit="1" customWidth="1"/>
    <col min="15620" max="15620" width="8.85546875" style="173" bestFit="1" customWidth="1"/>
    <col min="15621" max="15621" width="7.42578125" style="173" bestFit="1" customWidth="1"/>
    <col min="15622" max="15622" width="8.7109375" style="173" customWidth="1"/>
    <col min="15623" max="15623" width="8" style="173" bestFit="1" customWidth="1"/>
    <col min="15624" max="15625" width="7.42578125" style="173" bestFit="1" customWidth="1"/>
    <col min="15626" max="15626" width="8.85546875" style="173" bestFit="1" customWidth="1"/>
    <col min="15627" max="15630" width="8.42578125" style="173" bestFit="1" customWidth="1"/>
    <col min="15631" max="15631" width="8.85546875" style="173" customWidth="1"/>
    <col min="15632" max="15632" width="10.140625" style="173" bestFit="1" customWidth="1"/>
    <col min="15633" max="15872" width="8" style="173"/>
    <col min="15873" max="15873" width="2.85546875" style="173" customWidth="1"/>
    <col min="15874" max="15874" width="32.42578125" style="173" bestFit="1" customWidth="1"/>
    <col min="15875" max="15875" width="9.85546875" style="173" bestFit="1" customWidth="1"/>
    <col min="15876" max="15876" width="8.85546875" style="173" bestFit="1" customWidth="1"/>
    <col min="15877" max="15877" width="7.42578125" style="173" bestFit="1" customWidth="1"/>
    <col min="15878" max="15878" width="8.7109375" style="173" customWidth="1"/>
    <col min="15879" max="15879" width="8" style="173" bestFit="1" customWidth="1"/>
    <col min="15880" max="15881" width="7.42578125" style="173" bestFit="1" customWidth="1"/>
    <col min="15882" max="15882" width="8.85546875" style="173" bestFit="1" customWidth="1"/>
    <col min="15883" max="15886" width="8.42578125" style="173" bestFit="1" customWidth="1"/>
    <col min="15887" max="15887" width="8.85546875" style="173" customWidth="1"/>
    <col min="15888" max="15888" width="10.140625" style="173" bestFit="1" customWidth="1"/>
    <col min="15889" max="16128" width="8" style="173"/>
    <col min="16129" max="16129" width="2.85546875" style="173" customWidth="1"/>
    <col min="16130" max="16130" width="32.42578125" style="173" bestFit="1" customWidth="1"/>
    <col min="16131" max="16131" width="9.85546875" style="173" bestFit="1" customWidth="1"/>
    <col min="16132" max="16132" width="8.85546875" style="173" bestFit="1" customWidth="1"/>
    <col min="16133" max="16133" width="7.42578125" style="173" bestFit="1" customWidth="1"/>
    <col min="16134" max="16134" width="8.7109375" style="173" customWidth="1"/>
    <col min="16135" max="16135" width="8" style="173" bestFit="1" customWidth="1"/>
    <col min="16136" max="16137" width="7.42578125" style="173" bestFit="1" customWidth="1"/>
    <col min="16138" max="16138" width="8.85546875" style="173" bestFit="1" customWidth="1"/>
    <col min="16139" max="16142" width="8.42578125" style="173" bestFit="1" customWidth="1"/>
    <col min="16143" max="16143" width="8.85546875" style="173" customWidth="1"/>
    <col min="16144" max="16144" width="10.140625" style="173" bestFit="1" customWidth="1"/>
    <col min="16145" max="16384" width="8" style="173"/>
  </cols>
  <sheetData>
    <row r="1" spans="1:17" s="182" customFormat="1" x14ac:dyDescent="0.2">
      <c r="A1" s="633" t="s">
        <v>1016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Q1" s="181"/>
    </row>
    <row r="2" spans="1:17" s="182" customFormat="1" x14ac:dyDescent="0.2">
      <c r="A2" s="632" t="s">
        <v>900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  <c r="O2" s="632"/>
      <c r="Q2" s="181"/>
    </row>
    <row r="3" spans="1:17" s="182" customFormat="1" x14ac:dyDescent="0.2">
      <c r="A3" s="469"/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70"/>
      <c r="Q3" s="181"/>
    </row>
    <row r="4" spans="1:17" s="182" customFormat="1" ht="8.25" customHeight="1" x14ac:dyDescent="0.2">
      <c r="A4" s="469"/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Q4" s="181"/>
    </row>
    <row r="5" spans="1:17" s="182" customFormat="1" x14ac:dyDescent="0.2"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469" t="s">
        <v>31</v>
      </c>
      <c r="Q5" s="181"/>
    </row>
    <row r="6" spans="1:17" s="182" customFormat="1" x14ac:dyDescent="0.2">
      <c r="A6" s="176"/>
      <c r="B6" s="176"/>
      <c r="C6" s="471" t="s">
        <v>234</v>
      </c>
      <c r="D6" s="471" t="s">
        <v>235</v>
      </c>
      <c r="E6" s="471" t="s">
        <v>236</v>
      </c>
      <c r="F6" s="471" t="s">
        <v>237</v>
      </c>
      <c r="G6" s="471" t="s">
        <v>238</v>
      </c>
      <c r="H6" s="471" t="s">
        <v>239</v>
      </c>
      <c r="I6" s="471" t="s">
        <v>240</v>
      </c>
      <c r="J6" s="471" t="s">
        <v>241</v>
      </c>
      <c r="K6" s="471" t="s">
        <v>242</v>
      </c>
      <c r="L6" s="471" t="s">
        <v>243</v>
      </c>
      <c r="M6" s="471" t="s">
        <v>244</v>
      </c>
      <c r="N6" s="471" t="s">
        <v>245</v>
      </c>
      <c r="O6" s="472" t="s">
        <v>164</v>
      </c>
      <c r="Q6" s="181"/>
    </row>
    <row r="7" spans="1:17" s="182" customFormat="1" x14ac:dyDescent="0.2">
      <c r="A7" s="188" t="s">
        <v>206</v>
      </c>
      <c r="B7" s="176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Q7" s="181"/>
    </row>
    <row r="8" spans="1:17" s="182" customFormat="1" x14ac:dyDescent="0.2">
      <c r="A8" s="176">
        <v>1</v>
      </c>
      <c r="B8" s="177" t="s">
        <v>246</v>
      </c>
      <c r="C8" s="178">
        <v>17200</v>
      </c>
      <c r="D8" s="178">
        <v>20500</v>
      </c>
      <c r="E8" s="178">
        <v>20500</v>
      </c>
      <c r="F8" s="178">
        <v>20220</v>
      </c>
      <c r="G8" s="178">
        <v>21100</v>
      </c>
      <c r="H8" s="178">
        <v>20500</v>
      </c>
      <c r="I8" s="178">
        <v>20000</v>
      </c>
      <c r="J8" s="178">
        <v>20000</v>
      </c>
      <c r="K8" s="178">
        <v>21700</v>
      </c>
      <c r="L8" s="178">
        <v>21000</v>
      </c>
      <c r="M8" s="178">
        <v>21600</v>
      </c>
      <c r="N8" s="178">
        <v>23325</v>
      </c>
      <c r="O8" s="179">
        <f t="shared" ref="O8:O16" si="0">SUM(C8:N8)</f>
        <v>247645</v>
      </c>
      <c r="P8" s="180"/>
      <c r="Q8" s="181"/>
    </row>
    <row r="9" spans="1:17" s="182" customFormat="1" x14ac:dyDescent="0.2">
      <c r="A9" s="176">
        <v>2</v>
      </c>
      <c r="B9" s="177" t="s">
        <v>71</v>
      </c>
      <c r="C9" s="178">
        <v>12000</v>
      </c>
      <c r="D9" s="178">
        <v>25000</v>
      </c>
      <c r="E9" s="178">
        <v>257000</v>
      </c>
      <c r="F9" s="178">
        <v>22000</v>
      </c>
      <c r="G9" s="178">
        <v>20000</v>
      </c>
      <c r="H9" s="178">
        <v>12602</v>
      </c>
      <c r="I9" s="178">
        <v>12620</v>
      </c>
      <c r="J9" s="178">
        <v>21543</v>
      </c>
      <c r="K9" s="178">
        <v>293863</v>
      </c>
      <c r="L9" s="178">
        <v>21000</v>
      </c>
      <c r="M9" s="178">
        <v>22000</v>
      </c>
      <c r="N9" s="178">
        <v>85372</v>
      </c>
      <c r="O9" s="179">
        <f t="shared" si="0"/>
        <v>805000</v>
      </c>
      <c r="P9" s="180"/>
      <c r="Q9" s="181"/>
    </row>
    <row r="10" spans="1:17" s="182" customFormat="1" x14ac:dyDescent="0.2">
      <c r="A10" s="176"/>
      <c r="B10" s="177" t="s">
        <v>247</v>
      </c>
      <c r="C10" s="178">
        <v>5500</v>
      </c>
      <c r="D10" s="178">
        <v>20000</v>
      </c>
      <c r="E10" s="178">
        <v>256500</v>
      </c>
      <c r="F10" s="178">
        <v>13000</v>
      </c>
      <c r="G10" s="178">
        <v>16000</v>
      </c>
      <c r="H10" s="178">
        <v>3500</v>
      </c>
      <c r="I10" s="178">
        <v>4500</v>
      </c>
      <c r="J10" s="178">
        <v>17000</v>
      </c>
      <c r="K10" s="178">
        <v>293000</v>
      </c>
      <c r="L10" s="178">
        <v>14000</v>
      </c>
      <c r="M10" s="178">
        <v>15000</v>
      </c>
      <c r="N10" s="178">
        <v>85000</v>
      </c>
      <c r="O10" s="179">
        <f t="shared" si="0"/>
        <v>743000</v>
      </c>
      <c r="P10" s="180"/>
      <c r="Q10" s="181"/>
    </row>
    <row r="11" spans="1:17" s="182" customFormat="1" x14ac:dyDescent="0.2">
      <c r="A11" s="176">
        <v>3</v>
      </c>
      <c r="B11" s="177" t="s">
        <v>86</v>
      </c>
      <c r="C11" s="178">
        <v>19743</v>
      </c>
      <c r="D11" s="178">
        <v>29431</v>
      </c>
      <c r="E11" s="178">
        <v>28000</v>
      </c>
      <c r="F11" s="178">
        <v>15000</v>
      </c>
      <c r="G11" s="178">
        <v>15000</v>
      </c>
      <c r="H11" s="178">
        <v>15000</v>
      </c>
      <c r="I11" s="178">
        <v>40257</v>
      </c>
      <c r="J11" s="178">
        <v>45000</v>
      </c>
      <c r="K11" s="178">
        <v>25000</v>
      </c>
      <c r="L11" s="178">
        <v>38500</v>
      </c>
      <c r="M11" s="178">
        <v>32256</v>
      </c>
      <c r="N11" s="178">
        <v>32195</v>
      </c>
      <c r="O11" s="179">
        <f t="shared" si="0"/>
        <v>335382</v>
      </c>
      <c r="P11" s="180"/>
      <c r="Q11" s="181"/>
    </row>
    <row r="12" spans="1:17" s="182" customFormat="1" x14ac:dyDescent="0.2">
      <c r="A12" s="176">
        <v>4</v>
      </c>
      <c r="B12" s="177" t="s">
        <v>34</v>
      </c>
      <c r="C12" s="178">
        <v>126120</v>
      </c>
      <c r="D12" s="178">
        <v>84080</v>
      </c>
      <c r="E12" s="178">
        <v>84080</v>
      </c>
      <c r="F12" s="178">
        <v>84080</v>
      </c>
      <c r="G12" s="178">
        <v>84080</v>
      </c>
      <c r="H12" s="178">
        <v>84080</v>
      </c>
      <c r="I12" s="178">
        <v>84080</v>
      </c>
      <c r="J12" s="178">
        <v>84080</v>
      </c>
      <c r="K12" s="178">
        <v>84080</v>
      </c>
      <c r="L12" s="178">
        <v>84080</v>
      </c>
      <c r="M12" s="178">
        <v>84080</v>
      </c>
      <c r="N12" s="178">
        <v>84077</v>
      </c>
      <c r="O12" s="179">
        <f t="shared" si="0"/>
        <v>1050997</v>
      </c>
      <c r="P12" s="180"/>
      <c r="Q12" s="181"/>
    </row>
    <row r="13" spans="1:17" s="182" customFormat="1" ht="25.5" x14ac:dyDescent="0.2">
      <c r="A13" s="176">
        <v>5</v>
      </c>
      <c r="B13" s="183" t="s">
        <v>248</v>
      </c>
      <c r="C13" s="178">
        <f t="shared" ref="C13:N13" si="1">SUM(C14:C15)</f>
        <v>6600</v>
      </c>
      <c r="D13" s="178">
        <f t="shared" si="1"/>
        <v>5800</v>
      </c>
      <c r="E13" s="178">
        <f t="shared" si="1"/>
        <v>5650</v>
      </c>
      <c r="F13" s="178">
        <f t="shared" si="1"/>
        <v>6750</v>
      </c>
      <c r="G13" s="178">
        <f t="shared" si="1"/>
        <v>9050</v>
      </c>
      <c r="H13" s="178">
        <f t="shared" si="1"/>
        <v>8700</v>
      </c>
      <c r="I13" s="178">
        <f t="shared" si="1"/>
        <v>8750</v>
      </c>
      <c r="J13" s="178">
        <f t="shared" si="1"/>
        <v>10434</v>
      </c>
      <c r="K13" s="178">
        <f t="shared" si="1"/>
        <v>9345</v>
      </c>
      <c r="L13" s="178">
        <f t="shared" si="1"/>
        <v>8600</v>
      </c>
      <c r="M13" s="178">
        <f t="shared" si="1"/>
        <v>8550</v>
      </c>
      <c r="N13" s="178">
        <f t="shared" si="1"/>
        <v>6029</v>
      </c>
      <c r="O13" s="179">
        <f t="shared" si="0"/>
        <v>94258</v>
      </c>
      <c r="P13" s="180"/>
      <c r="Q13" s="181"/>
    </row>
    <row r="14" spans="1:17" s="182" customFormat="1" x14ac:dyDescent="0.2">
      <c r="A14" s="176"/>
      <c r="B14" s="177" t="s">
        <v>249</v>
      </c>
      <c r="C14" s="178">
        <v>6500</v>
      </c>
      <c r="D14" s="178">
        <v>5500</v>
      </c>
      <c r="E14" s="178">
        <v>5500</v>
      </c>
      <c r="F14" s="178">
        <v>6500</v>
      </c>
      <c r="G14" s="178">
        <v>8900</v>
      </c>
      <c r="H14" s="178">
        <v>8500</v>
      </c>
      <c r="I14" s="178">
        <v>8500</v>
      </c>
      <c r="J14" s="178">
        <v>9000</v>
      </c>
      <c r="K14" s="178">
        <v>9000</v>
      </c>
      <c r="L14" s="178">
        <v>8500</v>
      </c>
      <c r="M14" s="178">
        <v>8400</v>
      </c>
      <c r="N14" s="178">
        <v>5679</v>
      </c>
      <c r="O14" s="179">
        <f t="shared" si="0"/>
        <v>90479</v>
      </c>
      <c r="P14" s="180"/>
      <c r="Q14" s="181"/>
    </row>
    <row r="15" spans="1:17" s="182" customFormat="1" x14ac:dyDescent="0.2">
      <c r="A15" s="176"/>
      <c r="B15" s="177" t="s">
        <v>250</v>
      </c>
      <c r="C15" s="178">
        <v>100</v>
      </c>
      <c r="D15" s="178">
        <v>300</v>
      </c>
      <c r="E15" s="178">
        <v>150</v>
      </c>
      <c r="F15" s="178">
        <v>250</v>
      </c>
      <c r="G15" s="178">
        <v>150</v>
      </c>
      <c r="H15" s="178">
        <v>200</v>
      </c>
      <c r="I15" s="178">
        <v>250</v>
      </c>
      <c r="J15" s="178">
        <v>1434</v>
      </c>
      <c r="K15" s="178">
        <v>345</v>
      </c>
      <c r="L15" s="178">
        <v>100</v>
      </c>
      <c r="M15" s="178">
        <v>150</v>
      </c>
      <c r="N15" s="178">
        <v>350</v>
      </c>
      <c r="O15" s="179">
        <f t="shared" si="0"/>
        <v>3779</v>
      </c>
      <c r="P15" s="180"/>
      <c r="Q15" s="181"/>
    </row>
    <row r="16" spans="1:17" s="182" customFormat="1" x14ac:dyDescent="0.2">
      <c r="A16" s="176">
        <v>6</v>
      </c>
      <c r="B16" s="184" t="s">
        <v>5</v>
      </c>
      <c r="C16" s="178">
        <v>0</v>
      </c>
      <c r="D16" s="178">
        <v>0</v>
      </c>
      <c r="E16" s="178">
        <v>0</v>
      </c>
      <c r="F16" s="178">
        <v>200</v>
      </c>
      <c r="G16" s="178">
        <v>0</v>
      </c>
      <c r="H16" s="178">
        <v>7600</v>
      </c>
      <c r="I16" s="178">
        <v>0</v>
      </c>
      <c r="J16" s="178">
        <v>200</v>
      </c>
      <c r="K16" s="178">
        <v>0</v>
      </c>
      <c r="L16" s="178">
        <v>300</v>
      </c>
      <c r="M16" s="178">
        <v>0</v>
      </c>
      <c r="N16" s="178">
        <v>13000</v>
      </c>
      <c r="O16" s="179">
        <f t="shared" si="0"/>
        <v>21300</v>
      </c>
      <c r="P16" s="180"/>
      <c r="Q16" s="181"/>
    </row>
    <row r="17" spans="1:17" s="182" customFormat="1" x14ac:dyDescent="0.2">
      <c r="A17" s="176">
        <v>7</v>
      </c>
      <c r="B17" s="176" t="s">
        <v>251</v>
      </c>
      <c r="C17" s="178">
        <f t="shared" ref="C17:O17" si="2">C8+C9+C11+C12+C13+C16</f>
        <v>181663</v>
      </c>
      <c r="D17" s="178">
        <f t="shared" si="2"/>
        <v>164811</v>
      </c>
      <c r="E17" s="178">
        <f t="shared" si="2"/>
        <v>395230</v>
      </c>
      <c r="F17" s="178">
        <f t="shared" si="2"/>
        <v>148250</v>
      </c>
      <c r="G17" s="178">
        <f t="shared" si="2"/>
        <v>149230</v>
      </c>
      <c r="H17" s="178">
        <f t="shared" si="2"/>
        <v>148482</v>
      </c>
      <c r="I17" s="178">
        <f t="shared" si="2"/>
        <v>165707</v>
      </c>
      <c r="J17" s="178">
        <f t="shared" si="2"/>
        <v>181257</v>
      </c>
      <c r="K17" s="178">
        <f t="shared" si="2"/>
        <v>433988</v>
      </c>
      <c r="L17" s="178">
        <f t="shared" si="2"/>
        <v>173480</v>
      </c>
      <c r="M17" s="178">
        <f t="shared" si="2"/>
        <v>168486</v>
      </c>
      <c r="N17" s="178">
        <f t="shared" si="2"/>
        <v>243998</v>
      </c>
      <c r="O17" s="179">
        <f t="shared" si="2"/>
        <v>2554582</v>
      </c>
      <c r="P17" s="180"/>
      <c r="Q17" s="181"/>
    </row>
    <row r="18" spans="1:17" s="187" customFormat="1" ht="25.5" x14ac:dyDescent="0.2">
      <c r="A18" s="185">
        <v>8</v>
      </c>
      <c r="B18" s="184" t="s">
        <v>899</v>
      </c>
      <c r="C18" s="186">
        <v>465907</v>
      </c>
      <c r="D18" s="186">
        <v>0</v>
      </c>
      <c r="E18" s="186">
        <v>0</v>
      </c>
      <c r="F18" s="186">
        <v>0</v>
      </c>
      <c r="G18" s="186">
        <v>0</v>
      </c>
      <c r="H18" s="186">
        <v>0</v>
      </c>
      <c r="I18" s="186">
        <v>0</v>
      </c>
      <c r="J18" s="186">
        <v>0</v>
      </c>
      <c r="K18" s="186">
        <v>237500</v>
      </c>
      <c r="L18" s="186">
        <v>0</v>
      </c>
      <c r="M18" s="186">
        <v>0</v>
      </c>
      <c r="N18" s="186">
        <v>0</v>
      </c>
      <c r="O18" s="179">
        <f>SUM(C18:N18)</f>
        <v>703407</v>
      </c>
      <c r="P18" s="181"/>
      <c r="Q18" s="181"/>
    </row>
    <row r="19" spans="1:17" s="187" customFormat="1" x14ac:dyDescent="0.2">
      <c r="A19" s="185"/>
      <c r="B19" s="185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1"/>
      <c r="Q19" s="181"/>
    </row>
    <row r="20" spans="1:17" s="182" customFormat="1" x14ac:dyDescent="0.2">
      <c r="A20" s="188">
        <v>9</v>
      </c>
      <c r="B20" s="188" t="s">
        <v>252</v>
      </c>
      <c r="C20" s="189">
        <f t="shared" ref="C20:O20" si="3">C17+C18</f>
        <v>647570</v>
      </c>
      <c r="D20" s="189">
        <f t="shared" si="3"/>
        <v>164811</v>
      </c>
      <c r="E20" s="189">
        <f t="shared" si="3"/>
        <v>395230</v>
      </c>
      <c r="F20" s="189">
        <f t="shared" si="3"/>
        <v>148250</v>
      </c>
      <c r="G20" s="189">
        <f t="shared" si="3"/>
        <v>149230</v>
      </c>
      <c r="H20" s="189">
        <f t="shared" si="3"/>
        <v>148482</v>
      </c>
      <c r="I20" s="189">
        <f t="shared" si="3"/>
        <v>165707</v>
      </c>
      <c r="J20" s="189">
        <f t="shared" si="3"/>
        <v>181257</v>
      </c>
      <c r="K20" s="189">
        <f t="shared" si="3"/>
        <v>671488</v>
      </c>
      <c r="L20" s="189">
        <f t="shared" si="3"/>
        <v>173480</v>
      </c>
      <c r="M20" s="189">
        <f t="shared" si="3"/>
        <v>168486</v>
      </c>
      <c r="N20" s="189">
        <f t="shared" si="3"/>
        <v>243998</v>
      </c>
      <c r="O20" s="189">
        <f t="shared" si="3"/>
        <v>3257989</v>
      </c>
      <c r="P20" s="180"/>
      <c r="Q20" s="181"/>
    </row>
    <row r="21" spans="1:17" s="182" customFormat="1" x14ac:dyDescent="0.2">
      <c r="A21" s="190"/>
      <c r="B21" s="190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Q21" s="181"/>
    </row>
    <row r="22" spans="1:17" s="182" customFormat="1" x14ac:dyDescent="0.2">
      <c r="A22" s="188" t="s">
        <v>220</v>
      </c>
      <c r="B22" s="176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3"/>
      <c r="P22" s="194"/>
      <c r="Q22" s="181"/>
    </row>
    <row r="23" spans="1:17" s="182" customFormat="1" x14ac:dyDescent="0.2">
      <c r="A23" s="176">
        <v>10</v>
      </c>
      <c r="B23" s="177" t="s">
        <v>253</v>
      </c>
      <c r="C23" s="178">
        <v>61000</v>
      </c>
      <c r="D23" s="178">
        <v>61500</v>
      </c>
      <c r="E23" s="178">
        <v>60800</v>
      </c>
      <c r="F23" s="178">
        <v>59900</v>
      </c>
      <c r="G23" s="178">
        <v>61000</v>
      </c>
      <c r="H23" s="178">
        <v>58600</v>
      </c>
      <c r="I23" s="178">
        <v>59500</v>
      </c>
      <c r="J23" s="178">
        <v>59500</v>
      </c>
      <c r="K23" s="178">
        <v>58500</v>
      </c>
      <c r="L23" s="178">
        <v>59900</v>
      </c>
      <c r="M23" s="178">
        <v>60200</v>
      </c>
      <c r="N23" s="178">
        <v>58514</v>
      </c>
      <c r="O23" s="179">
        <f>SUM(C23:N23)</f>
        <v>718914</v>
      </c>
      <c r="P23" s="180"/>
      <c r="Q23" s="181"/>
    </row>
    <row r="24" spans="1:17" s="182" customFormat="1" x14ac:dyDescent="0.2">
      <c r="A24" s="176">
        <v>11</v>
      </c>
      <c r="B24" s="177" t="s">
        <v>254</v>
      </c>
      <c r="C24" s="178">
        <v>11691</v>
      </c>
      <c r="D24" s="178">
        <v>11787</v>
      </c>
      <c r="E24" s="178">
        <v>11653</v>
      </c>
      <c r="F24" s="178">
        <v>11480</v>
      </c>
      <c r="G24" s="178">
        <v>11691</v>
      </c>
      <c r="H24" s="178">
        <v>11231</v>
      </c>
      <c r="I24" s="178">
        <v>11404</v>
      </c>
      <c r="J24" s="178">
        <v>11404</v>
      </c>
      <c r="K24" s="178">
        <v>11212</v>
      </c>
      <c r="L24" s="178">
        <v>11480</v>
      </c>
      <c r="M24" s="178">
        <v>11538</v>
      </c>
      <c r="N24" s="178">
        <v>11214</v>
      </c>
      <c r="O24" s="179">
        <f>SUM(C24:N24)</f>
        <v>137785</v>
      </c>
      <c r="P24" s="180"/>
      <c r="Q24" s="181"/>
    </row>
    <row r="25" spans="1:17" s="182" customFormat="1" x14ac:dyDescent="0.2">
      <c r="A25" s="176">
        <v>12</v>
      </c>
      <c r="B25" s="177" t="s">
        <v>255</v>
      </c>
      <c r="C25" s="178">
        <v>68000</v>
      </c>
      <c r="D25" s="178">
        <v>69000</v>
      </c>
      <c r="E25" s="178">
        <v>67000</v>
      </c>
      <c r="F25" s="178">
        <v>76500</v>
      </c>
      <c r="G25" s="178">
        <v>71000</v>
      </c>
      <c r="H25" s="178">
        <v>69000</v>
      </c>
      <c r="I25" s="178">
        <v>70000</v>
      </c>
      <c r="J25" s="178">
        <v>72000</v>
      </c>
      <c r="K25" s="178">
        <v>70000</v>
      </c>
      <c r="L25" s="178">
        <v>71000</v>
      </c>
      <c r="M25" s="178">
        <v>74000</v>
      </c>
      <c r="N25" s="178">
        <v>71649</v>
      </c>
      <c r="O25" s="179">
        <f>SUM(C25:N25)</f>
        <v>849149</v>
      </c>
      <c r="P25" s="180"/>
      <c r="Q25" s="181"/>
    </row>
    <row r="26" spans="1:17" s="182" customFormat="1" x14ac:dyDescent="0.2">
      <c r="A26" s="176">
        <v>13</v>
      </c>
      <c r="B26" s="177" t="s">
        <v>58</v>
      </c>
      <c r="C26" s="178">
        <v>3500</v>
      </c>
      <c r="D26" s="178">
        <v>3200</v>
      </c>
      <c r="E26" s="178">
        <v>3200</v>
      </c>
      <c r="F26" s="178">
        <v>3500</v>
      </c>
      <c r="G26" s="178">
        <v>3200</v>
      </c>
      <c r="H26" s="178">
        <v>3000</v>
      </c>
      <c r="I26" s="178">
        <v>2895</v>
      </c>
      <c r="J26" s="178">
        <v>3100</v>
      </c>
      <c r="K26" s="178">
        <v>3300</v>
      </c>
      <c r="L26" s="178">
        <v>3100</v>
      </c>
      <c r="M26" s="178">
        <v>4005</v>
      </c>
      <c r="N26" s="178">
        <v>3000</v>
      </c>
      <c r="O26" s="179">
        <f>SUM(C26:N26)</f>
        <v>39000</v>
      </c>
      <c r="P26" s="180"/>
      <c r="Q26" s="181"/>
    </row>
    <row r="27" spans="1:17" s="182" customFormat="1" x14ac:dyDescent="0.2">
      <c r="A27" s="176">
        <v>14</v>
      </c>
      <c r="B27" s="177" t="s">
        <v>256</v>
      </c>
      <c r="C27" s="178">
        <v>42000</v>
      </c>
      <c r="D27" s="178">
        <v>44000</v>
      </c>
      <c r="E27" s="178">
        <v>41000</v>
      </c>
      <c r="F27" s="178">
        <v>41000</v>
      </c>
      <c r="G27" s="178">
        <v>40500</v>
      </c>
      <c r="H27" s="178">
        <v>42500</v>
      </c>
      <c r="I27" s="178">
        <v>38168</v>
      </c>
      <c r="J27" s="178">
        <v>43500</v>
      </c>
      <c r="K27" s="178">
        <v>42500</v>
      </c>
      <c r="L27" s="178">
        <v>43000</v>
      </c>
      <c r="M27" s="178">
        <v>42000</v>
      </c>
      <c r="N27" s="178">
        <v>35925</v>
      </c>
      <c r="O27" s="179">
        <f>SUM(C27:N27)</f>
        <v>496093</v>
      </c>
      <c r="P27" s="180"/>
      <c r="Q27" s="181"/>
    </row>
    <row r="28" spans="1:17" s="182" customFormat="1" x14ac:dyDescent="0.2">
      <c r="A28" s="176">
        <v>15</v>
      </c>
      <c r="B28" s="177" t="s">
        <v>257</v>
      </c>
      <c r="C28" s="178">
        <f t="shared" ref="C28:O28" si="4">C23+C24+C25+C26+C27</f>
        <v>186191</v>
      </c>
      <c r="D28" s="178">
        <f t="shared" si="4"/>
        <v>189487</v>
      </c>
      <c r="E28" s="178">
        <f t="shared" si="4"/>
        <v>183653</v>
      </c>
      <c r="F28" s="178">
        <f t="shared" si="4"/>
        <v>192380</v>
      </c>
      <c r="G28" s="178">
        <f t="shared" si="4"/>
        <v>187391</v>
      </c>
      <c r="H28" s="178">
        <f t="shared" si="4"/>
        <v>184331</v>
      </c>
      <c r="I28" s="178">
        <f t="shared" si="4"/>
        <v>181967</v>
      </c>
      <c r="J28" s="178">
        <f t="shared" si="4"/>
        <v>189504</v>
      </c>
      <c r="K28" s="178">
        <f t="shared" si="4"/>
        <v>185512</v>
      </c>
      <c r="L28" s="178">
        <f t="shared" si="4"/>
        <v>188480</v>
      </c>
      <c r="M28" s="178">
        <f t="shared" si="4"/>
        <v>191743</v>
      </c>
      <c r="N28" s="178">
        <f t="shared" si="4"/>
        <v>180302</v>
      </c>
      <c r="O28" s="179">
        <f t="shared" si="4"/>
        <v>2240941</v>
      </c>
      <c r="P28" s="180"/>
      <c r="Q28" s="181"/>
    </row>
    <row r="29" spans="1:17" s="182" customFormat="1" x14ac:dyDescent="0.2">
      <c r="A29" s="176">
        <v>16</v>
      </c>
      <c r="B29" s="177" t="s">
        <v>26</v>
      </c>
      <c r="C29" s="178">
        <v>5000</v>
      </c>
      <c r="D29" s="178">
        <v>8362</v>
      </c>
      <c r="E29" s="178">
        <v>8500</v>
      </c>
      <c r="F29" s="178">
        <v>12000</v>
      </c>
      <c r="G29" s="178">
        <v>7000</v>
      </c>
      <c r="H29" s="178">
        <v>5000</v>
      </c>
      <c r="I29" s="178">
        <v>6000</v>
      </c>
      <c r="J29" s="178">
        <v>92000</v>
      </c>
      <c r="K29" s="178">
        <v>88151</v>
      </c>
      <c r="L29" s="178">
        <v>16000</v>
      </c>
      <c r="M29" s="178">
        <v>24267</v>
      </c>
      <c r="N29" s="178">
        <v>32543</v>
      </c>
      <c r="O29" s="179">
        <f>SUM(C29:N29)</f>
        <v>304823</v>
      </c>
      <c r="P29" s="180"/>
      <c r="Q29" s="181"/>
    </row>
    <row r="30" spans="1:17" s="182" customFormat="1" x14ac:dyDescent="0.2">
      <c r="A30" s="176">
        <v>17</v>
      </c>
      <c r="B30" s="177" t="s">
        <v>60</v>
      </c>
      <c r="C30" s="178">
        <v>1650</v>
      </c>
      <c r="D30" s="178">
        <v>7500</v>
      </c>
      <c r="E30" s="178">
        <v>13000</v>
      </c>
      <c r="F30" s="178">
        <v>74934</v>
      </c>
      <c r="G30" s="178">
        <v>8500</v>
      </c>
      <c r="H30" s="178">
        <v>4000</v>
      </c>
      <c r="I30" s="178">
        <v>5000</v>
      </c>
      <c r="J30" s="178">
        <v>15000</v>
      </c>
      <c r="K30" s="178">
        <v>45000</v>
      </c>
      <c r="L30" s="178">
        <v>12336</v>
      </c>
      <c r="M30" s="178">
        <v>16800</v>
      </c>
      <c r="N30" s="178">
        <v>29413</v>
      </c>
      <c r="O30" s="179">
        <f>SUM(C30:N30)</f>
        <v>233133</v>
      </c>
      <c r="P30" s="180"/>
      <c r="Q30" s="181"/>
    </row>
    <row r="31" spans="1:17" s="182" customFormat="1" x14ac:dyDescent="0.2">
      <c r="A31" s="176">
        <v>18</v>
      </c>
      <c r="B31" s="177" t="s">
        <v>258</v>
      </c>
      <c r="C31" s="178">
        <v>0</v>
      </c>
      <c r="D31" s="178">
        <v>1500</v>
      </c>
      <c r="E31" s="178">
        <v>1000</v>
      </c>
      <c r="F31" s="178">
        <v>1000</v>
      </c>
      <c r="G31" s="178">
        <v>0</v>
      </c>
      <c r="H31" s="178">
        <v>1500</v>
      </c>
      <c r="I31" s="178">
        <v>0</v>
      </c>
      <c r="J31" s="178">
        <v>500</v>
      </c>
      <c r="K31" s="178">
        <v>1710</v>
      </c>
      <c r="L31" s="178">
        <v>0</v>
      </c>
      <c r="M31" s="178">
        <v>500</v>
      </c>
      <c r="N31" s="178">
        <v>740</v>
      </c>
      <c r="O31" s="179">
        <f>SUM(C31:N31)</f>
        <v>8450</v>
      </c>
      <c r="P31" s="180"/>
      <c r="Q31" s="181"/>
    </row>
    <row r="32" spans="1:17" s="182" customFormat="1" x14ac:dyDescent="0.2">
      <c r="A32" s="176">
        <v>19</v>
      </c>
      <c r="B32" s="177" t="s">
        <v>259</v>
      </c>
      <c r="C32" s="178">
        <f t="shared" ref="C32:O32" si="5">C29+C30+C31</f>
        <v>6650</v>
      </c>
      <c r="D32" s="178">
        <f t="shared" si="5"/>
        <v>17362</v>
      </c>
      <c r="E32" s="178">
        <f t="shared" si="5"/>
        <v>22500</v>
      </c>
      <c r="F32" s="178">
        <f t="shared" si="5"/>
        <v>87934</v>
      </c>
      <c r="G32" s="178">
        <f t="shared" si="5"/>
        <v>15500</v>
      </c>
      <c r="H32" s="178">
        <f t="shared" si="5"/>
        <v>10500</v>
      </c>
      <c r="I32" s="178">
        <f t="shared" si="5"/>
        <v>11000</v>
      </c>
      <c r="J32" s="178">
        <f t="shared" si="5"/>
        <v>107500</v>
      </c>
      <c r="K32" s="178">
        <f t="shared" si="5"/>
        <v>134861</v>
      </c>
      <c r="L32" s="178">
        <f t="shared" si="5"/>
        <v>28336</v>
      </c>
      <c r="M32" s="178">
        <f t="shared" si="5"/>
        <v>41567</v>
      </c>
      <c r="N32" s="178">
        <f t="shared" si="5"/>
        <v>62696</v>
      </c>
      <c r="O32" s="179">
        <f t="shared" si="5"/>
        <v>546406</v>
      </c>
      <c r="P32" s="180"/>
      <c r="Q32" s="181"/>
    </row>
    <row r="33" spans="1:17" s="182" customFormat="1" x14ac:dyDescent="0.2">
      <c r="A33" s="176">
        <v>20</v>
      </c>
      <c r="B33" s="177" t="s">
        <v>260</v>
      </c>
      <c r="C33" s="179"/>
      <c r="D33" s="179"/>
      <c r="E33" s="179"/>
      <c r="F33" s="179"/>
      <c r="G33" s="179">
        <v>8000</v>
      </c>
      <c r="H33" s="179">
        <v>8000</v>
      </c>
      <c r="I33" s="179">
        <v>10000</v>
      </c>
      <c r="J33" s="179">
        <v>45000</v>
      </c>
      <c r="K33" s="179">
        <v>45000</v>
      </c>
      <c r="L33" s="179">
        <v>50000</v>
      </c>
      <c r="M33" s="179">
        <v>50000</v>
      </c>
      <c r="N33" s="179">
        <v>194786</v>
      </c>
      <c r="O33" s="179">
        <f>SUM(C33:N33)</f>
        <v>410786</v>
      </c>
      <c r="P33" s="180"/>
      <c r="Q33" s="181"/>
    </row>
    <row r="34" spans="1:17" s="182" customFormat="1" x14ac:dyDescent="0.2">
      <c r="A34" s="176">
        <v>21</v>
      </c>
      <c r="B34" s="177" t="s">
        <v>261</v>
      </c>
      <c r="C34" s="178">
        <f t="shared" ref="C34:O34" si="6">C28+C32+C33</f>
        <v>192841</v>
      </c>
      <c r="D34" s="178">
        <f t="shared" si="6"/>
        <v>206849</v>
      </c>
      <c r="E34" s="178">
        <f t="shared" si="6"/>
        <v>206153</v>
      </c>
      <c r="F34" s="178">
        <f t="shared" si="6"/>
        <v>280314</v>
      </c>
      <c r="G34" s="178">
        <f t="shared" si="6"/>
        <v>210891</v>
      </c>
      <c r="H34" s="178">
        <f t="shared" si="6"/>
        <v>202831</v>
      </c>
      <c r="I34" s="178">
        <f t="shared" si="6"/>
        <v>202967</v>
      </c>
      <c r="J34" s="178">
        <f t="shared" si="6"/>
        <v>342004</v>
      </c>
      <c r="K34" s="178">
        <f t="shared" si="6"/>
        <v>365373</v>
      </c>
      <c r="L34" s="178">
        <f t="shared" si="6"/>
        <v>266816</v>
      </c>
      <c r="M34" s="178">
        <f t="shared" si="6"/>
        <v>283310</v>
      </c>
      <c r="N34" s="178">
        <f t="shared" si="6"/>
        <v>437784</v>
      </c>
      <c r="O34" s="178">
        <f t="shared" si="6"/>
        <v>3198133</v>
      </c>
      <c r="Q34" s="181"/>
    </row>
    <row r="35" spans="1:17" s="187" customFormat="1" ht="25.5" x14ac:dyDescent="0.2">
      <c r="A35" s="185">
        <v>22</v>
      </c>
      <c r="B35" s="184" t="s">
        <v>268</v>
      </c>
      <c r="C35" s="186">
        <v>38852</v>
      </c>
      <c r="D35" s="186">
        <v>0</v>
      </c>
      <c r="E35" s="186">
        <v>5251</v>
      </c>
      <c r="F35" s="186">
        <v>0</v>
      </c>
      <c r="G35" s="186">
        <v>0</v>
      </c>
      <c r="H35" s="186">
        <v>5251</v>
      </c>
      <c r="I35" s="186">
        <v>0</v>
      </c>
      <c r="J35" s="186">
        <v>0</v>
      </c>
      <c r="K35" s="186">
        <v>5251</v>
      </c>
      <c r="L35" s="186">
        <v>0</v>
      </c>
      <c r="M35" s="186">
        <v>0</v>
      </c>
      <c r="N35" s="186">
        <v>5251</v>
      </c>
      <c r="O35" s="179">
        <f>SUM(C35:N35)</f>
        <v>59856</v>
      </c>
      <c r="P35" s="181"/>
      <c r="Q35" s="181"/>
    </row>
    <row r="36" spans="1:17" s="182" customFormat="1" x14ac:dyDescent="0.2">
      <c r="A36" s="188">
        <v>23</v>
      </c>
      <c r="B36" s="188" t="s">
        <v>262</v>
      </c>
      <c r="C36" s="189">
        <f t="shared" ref="C36:O36" si="7">C34+C35</f>
        <v>231693</v>
      </c>
      <c r="D36" s="189">
        <f t="shared" si="7"/>
        <v>206849</v>
      </c>
      <c r="E36" s="189">
        <f t="shared" si="7"/>
        <v>211404</v>
      </c>
      <c r="F36" s="189">
        <f t="shared" si="7"/>
        <v>280314</v>
      </c>
      <c r="G36" s="189">
        <f t="shared" si="7"/>
        <v>210891</v>
      </c>
      <c r="H36" s="189">
        <f t="shared" si="7"/>
        <v>208082</v>
      </c>
      <c r="I36" s="189">
        <f t="shared" si="7"/>
        <v>202967</v>
      </c>
      <c r="J36" s="189">
        <f t="shared" si="7"/>
        <v>342004</v>
      </c>
      <c r="K36" s="189">
        <f t="shared" si="7"/>
        <v>370624</v>
      </c>
      <c r="L36" s="189">
        <f t="shared" si="7"/>
        <v>266816</v>
      </c>
      <c r="M36" s="189">
        <f t="shared" si="7"/>
        <v>283310</v>
      </c>
      <c r="N36" s="189">
        <f t="shared" si="7"/>
        <v>443035</v>
      </c>
      <c r="O36" s="189">
        <f t="shared" si="7"/>
        <v>3257989</v>
      </c>
      <c r="P36" s="180"/>
      <c r="Q36" s="181"/>
    </row>
    <row r="37" spans="1:17" s="182" customFormat="1" x14ac:dyDescent="0.2">
      <c r="A37" s="176">
        <v>24</v>
      </c>
      <c r="B37" s="185" t="s">
        <v>263</v>
      </c>
      <c r="C37" s="178">
        <f t="shared" ref="C37:N37" si="8">C17-C34</f>
        <v>-11178</v>
      </c>
      <c r="D37" s="178">
        <f t="shared" si="8"/>
        <v>-42038</v>
      </c>
      <c r="E37" s="178">
        <f t="shared" si="8"/>
        <v>189077</v>
      </c>
      <c r="F37" s="178">
        <f t="shared" si="8"/>
        <v>-132064</v>
      </c>
      <c r="G37" s="178">
        <f t="shared" si="8"/>
        <v>-61661</v>
      </c>
      <c r="H37" s="178">
        <f t="shared" si="8"/>
        <v>-54349</v>
      </c>
      <c r="I37" s="178">
        <f t="shared" si="8"/>
        <v>-37260</v>
      </c>
      <c r="J37" s="178">
        <f t="shared" si="8"/>
        <v>-160747</v>
      </c>
      <c r="K37" s="178">
        <f t="shared" si="8"/>
        <v>68615</v>
      </c>
      <c r="L37" s="178">
        <f t="shared" si="8"/>
        <v>-93336</v>
      </c>
      <c r="M37" s="178">
        <f t="shared" si="8"/>
        <v>-114824</v>
      </c>
      <c r="N37" s="178">
        <f t="shared" si="8"/>
        <v>-193786</v>
      </c>
      <c r="O37" s="179">
        <f>SUM(C37:N37)</f>
        <v>-643551</v>
      </c>
      <c r="P37" s="180"/>
      <c r="Q37" s="181"/>
    </row>
    <row r="38" spans="1:17" s="182" customFormat="1" x14ac:dyDescent="0.2">
      <c r="A38" s="176">
        <v>25</v>
      </c>
      <c r="B38" s="185" t="s">
        <v>264</v>
      </c>
      <c r="C38" s="178">
        <f t="shared" ref="C38:N38" si="9">C20-C36</f>
        <v>415877</v>
      </c>
      <c r="D38" s="178">
        <f t="shared" si="9"/>
        <v>-42038</v>
      </c>
      <c r="E38" s="178">
        <f t="shared" si="9"/>
        <v>183826</v>
      </c>
      <c r="F38" s="178">
        <f t="shared" si="9"/>
        <v>-132064</v>
      </c>
      <c r="G38" s="178">
        <f t="shared" si="9"/>
        <v>-61661</v>
      </c>
      <c r="H38" s="178">
        <f t="shared" si="9"/>
        <v>-59600</v>
      </c>
      <c r="I38" s="178">
        <f t="shared" si="9"/>
        <v>-37260</v>
      </c>
      <c r="J38" s="178">
        <f t="shared" si="9"/>
        <v>-160747</v>
      </c>
      <c r="K38" s="178">
        <f t="shared" si="9"/>
        <v>300864</v>
      </c>
      <c r="L38" s="178">
        <f t="shared" si="9"/>
        <v>-93336</v>
      </c>
      <c r="M38" s="178">
        <f t="shared" si="9"/>
        <v>-114824</v>
      </c>
      <c r="N38" s="178">
        <f t="shared" si="9"/>
        <v>-199037</v>
      </c>
      <c r="O38" s="179">
        <f>SUM(C38:N38)</f>
        <v>0</v>
      </c>
      <c r="Q38" s="181"/>
    </row>
    <row r="39" spans="1:17" s="182" customFormat="1" x14ac:dyDescent="0.2">
      <c r="A39" s="176">
        <v>26</v>
      </c>
      <c r="B39" s="176" t="s">
        <v>265</v>
      </c>
      <c r="C39" s="178">
        <f>C20-C36</f>
        <v>415877</v>
      </c>
      <c r="D39" s="178">
        <f t="shared" ref="D39:O39" si="10">C39+D20-D36</f>
        <v>373839</v>
      </c>
      <c r="E39" s="178">
        <f t="shared" si="10"/>
        <v>557665</v>
      </c>
      <c r="F39" s="178">
        <f t="shared" si="10"/>
        <v>425601</v>
      </c>
      <c r="G39" s="178">
        <f t="shared" si="10"/>
        <v>363940</v>
      </c>
      <c r="H39" s="178">
        <f t="shared" si="10"/>
        <v>304340</v>
      </c>
      <c r="I39" s="178">
        <f t="shared" si="10"/>
        <v>267080</v>
      </c>
      <c r="J39" s="178">
        <f t="shared" si="10"/>
        <v>106333</v>
      </c>
      <c r="K39" s="178">
        <f t="shared" si="10"/>
        <v>407197</v>
      </c>
      <c r="L39" s="178">
        <f t="shared" si="10"/>
        <v>313861</v>
      </c>
      <c r="M39" s="178">
        <f t="shared" si="10"/>
        <v>199037</v>
      </c>
      <c r="N39" s="178">
        <f t="shared" si="10"/>
        <v>0</v>
      </c>
      <c r="O39" s="178">
        <f t="shared" si="10"/>
        <v>0</v>
      </c>
      <c r="Q39" s="181"/>
    </row>
    <row r="41" spans="1:17" x14ac:dyDescent="0.2"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</row>
  </sheetData>
  <mergeCells count="2">
    <mergeCell ref="A2:O2"/>
    <mergeCell ref="A1:O1"/>
  </mergeCells>
  <pageMargins left="0.19685039370078741" right="0.1968503937007874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workbookViewId="0">
      <selection sqref="A1:S1"/>
    </sheetView>
  </sheetViews>
  <sheetFormatPr defaultRowHeight="12.75" x14ac:dyDescent="0.2"/>
  <cols>
    <col min="1" max="5" width="9.140625" style="195"/>
    <col min="6" max="6" width="11.28515625" style="195" customWidth="1"/>
    <col min="7" max="8" width="9.140625" style="195"/>
    <col min="9" max="9" width="10.7109375" style="195" customWidth="1"/>
    <col min="10" max="13" width="9.140625" style="195"/>
    <col min="14" max="14" width="6" style="195" bestFit="1" customWidth="1"/>
    <col min="15" max="15" width="7.28515625" style="195" bestFit="1" customWidth="1"/>
    <col min="16" max="261" width="9.140625" style="195"/>
    <col min="262" max="262" width="11.28515625" style="195" customWidth="1"/>
    <col min="263" max="269" width="9.140625" style="195"/>
    <col min="270" max="270" width="6" style="195" bestFit="1" customWidth="1"/>
    <col min="271" max="271" width="7.28515625" style="195" bestFit="1" customWidth="1"/>
    <col min="272" max="517" width="9.140625" style="195"/>
    <col min="518" max="518" width="11.28515625" style="195" customWidth="1"/>
    <col min="519" max="525" width="9.140625" style="195"/>
    <col min="526" max="526" width="6" style="195" bestFit="1" customWidth="1"/>
    <col min="527" max="527" width="7.28515625" style="195" bestFit="1" customWidth="1"/>
    <col min="528" max="773" width="9.140625" style="195"/>
    <col min="774" max="774" width="11.28515625" style="195" customWidth="1"/>
    <col min="775" max="781" width="9.140625" style="195"/>
    <col min="782" max="782" width="6" style="195" bestFit="1" customWidth="1"/>
    <col min="783" max="783" width="7.28515625" style="195" bestFit="1" customWidth="1"/>
    <col min="784" max="1029" width="9.140625" style="195"/>
    <col min="1030" max="1030" width="11.28515625" style="195" customWidth="1"/>
    <col min="1031" max="1037" width="9.140625" style="195"/>
    <col min="1038" max="1038" width="6" style="195" bestFit="1" customWidth="1"/>
    <col min="1039" max="1039" width="7.28515625" style="195" bestFit="1" customWidth="1"/>
    <col min="1040" max="1285" width="9.140625" style="195"/>
    <col min="1286" max="1286" width="11.28515625" style="195" customWidth="1"/>
    <col min="1287" max="1293" width="9.140625" style="195"/>
    <col min="1294" max="1294" width="6" style="195" bestFit="1" customWidth="1"/>
    <col min="1295" max="1295" width="7.28515625" style="195" bestFit="1" customWidth="1"/>
    <col min="1296" max="1541" width="9.140625" style="195"/>
    <col min="1542" max="1542" width="11.28515625" style="195" customWidth="1"/>
    <col min="1543" max="1549" width="9.140625" style="195"/>
    <col min="1550" max="1550" width="6" style="195" bestFit="1" customWidth="1"/>
    <col min="1551" max="1551" width="7.28515625" style="195" bestFit="1" customWidth="1"/>
    <col min="1552" max="1797" width="9.140625" style="195"/>
    <col min="1798" max="1798" width="11.28515625" style="195" customWidth="1"/>
    <col min="1799" max="1805" width="9.140625" style="195"/>
    <col min="1806" max="1806" width="6" style="195" bestFit="1" customWidth="1"/>
    <col min="1807" max="1807" width="7.28515625" style="195" bestFit="1" customWidth="1"/>
    <col min="1808" max="2053" width="9.140625" style="195"/>
    <col min="2054" max="2054" width="11.28515625" style="195" customWidth="1"/>
    <col min="2055" max="2061" width="9.140625" style="195"/>
    <col min="2062" max="2062" width="6" style="195" bestFit="1" customWidth="1"/>
    <col min="2063" max="2063" width="7.28515625" style="195" bestFit="1" customWidth="1"/>
    <col min="2064" max="2309" width="9.140625" style="195"/>
    <col min="2310" max="2310" width="11.28515625" style="195" customWidth="1"/>
    <col min="2311" max="2317" width="9.140625" style="195"/>
    <col min="2318" max="2318" width="6" style="195" bestFit="1" customWidth="1"/>
    <col min="2319" max="2319" width="7.28515625" style="195" bestFit="1" customWidth="1"/>
    <col min="2320" max="2565" width="9.140625" style="195"/>
    <col min="2566" max="2566" width="11.28515625" style="195" customWidth="1"/>
    <col min="2567" max="2573" width="9.140625" style="195"/>
    <col min="2574" max="2574" width="6" style="195" bestFit="1" customWidth="1"/>
    <col min="2575" max="2575" width="7.28515625" style="195" bestFit="1" customWidth="1"/>
    <col min="2576" max="2821" width="9.140625" style="195"/>
    <col min="2822" max="2822" width="11.28515625" style="195" customWidth="1"/>
    <col min="2823" max="2829" width="9.140625" style="195"/>
    <col min="2830" max="2830" width="6" style="195" bestFit="1" customWidth="1"/>
    <col min="2831" max="2831" width="7.28515625" style="195" bestFit="1" customWidth="1"/>
    <col min="2832" max="3077" width="9.140625" style="195"/>
    <col min="3078" max="3078" width="11.28515625" style="195" customWidth="1"/>
    <col min="3079" max="3085" width="9.140625" style="195"/>
    <col min="3086" max="3086" width="6" style="195" bestFit="1" customWidth="1"/>
    <col min="3087" max="3087" width="7.28515625" style="195" bestFit="1" customWidth="1"/>
    <col min="3088" max="3333" width="9.140625" style="195"/>
    <col min="3334" max="3334" width="11.28515625" style="195" customWidth="1"/>
    <col min="3335" max="3341" width="9.140625" style="195"/>
    <col min="3342" max="3342" width="6" style="195" bestFit="1" customWidth="1"/>
    <col min="3343" max="3343" width="7.28515625" style="195" bestFit="1" customWidth="1"/>
    <col min="3344" max="3589" width="9.140625" style="195"/>
    <col min="3590" max="3590" width="11.28515625" style="195" customWidth="1"/>
    <col min="3591" max="3597" width="9.140625" style="195"/>
    <col min="3598" max="3598" width="6" style="195" bestFit="1" customWidth="1"/>
    <col min="3599" max="3599" width="7.28515625" style="195" bestFit="1" customWidth="1"/>
    <col min="3600" max="3845" width="9.140625" style="195"/>
    <col min="3846" max="3846" width="11.28515625" style="195" customWidth="1"/>
    <col min="3847" max="3853" width="9.140625" style="195"/>
    <col min="3854" max="3854" width="6" style="195" bestFit="1" customWidth="1"/>
    <col min="3855" max="3855" width="7.28515625" style="195" bestFit="1" customWidth="1"/>
    <col min="3856" max="4101" width="9.140625" style="195"/>
    <col min="4102" max="4102" width="11.28515625" style="195" customWidth="1"/>
    <col min="4103" max="4109" width="9.140625" style="195"/>
    <col min="4110" max="4110" width="6" style="195" bestFit="1" customWidth="1"/>
    <col min="4111" max="4111" width="7.28515625" style="195" bestFit="1" customWidth="1"/>
    <col min="4112" max="4357" width="9.140625" style="195"/>
    <col min="4358" max="4358" width="11.28515625" style="195" customWidth="1"/>
    <col min="4359" max="4365" width="9.140625" style="195"/>
    <col min="4366" max="4366" width="6" style="195" bestFit="1" customWidth="1"/>
    <col min="4367" max="4367" width="7.28515625" style="195" bestFit="1" customWidth="1"/>
    <col min="4368" max="4613" width="9.140625" style="195"/>
    <col min="4614" max="4614" width="11.28515625" style="195" customWidth="1"/>
    <col min="4615" max="4621" width="9.140625" style="195"/>
    <col min="4622" max="4622" width="6" style="195" bestFit="1" customWidth="1"/>
    <col min="4623" max="4623" width="7.28515625" style="195" bestFit="1" customWidth="1"/>
    <col min="4624" max="4869" width="9.140625" style="195"/>
    <col min="4870" max="4870" width="11.28515625" style="195" customWidth="1"/>
    <col min="4871" max="4877" width="9.140625" style="195"/>
    <col min="4878" max="4878" width="6" style="195" bestFit="1" customWidth="1"/>
    <col min="4879" max="4879" width="7.28515625" style="195" bestFit="1" customWidth="1"/>
    <col min="4880" max="5125" width="9.140625" style="195"/>
    <col min="5126" max="5126" width="11.28515625" style="195" customWidth="1"/>
    <col min="5127" max="5133" width="9.140625" style="195"/>
    <col min="5134" max="5134" width="6" style="195" bestFit="1" customWidth="1"/>
    <col min="5135" max="5135" width="7.28515625" style="195" bestFit="1" customWidth="1"/>
    <col min="5136" max="5381" width="9.140625" style="195"/>
    <col min="5382" max="5382" width="11.28515625" style="195" customWidth="1"/>
    <col min="5383" max="5389" width="9.140625" style="195"/>
    <col min="5390" max="5390" width="6" style="195" bestFit="1" customWidth="1"/>
    <col min="5391" max="5391" width="7.28515625" style="195" bestFit="1" customWidth="1"/>
    <col min="5392" max="5637" width="9.140625" style="195"/>
    <col min="5638" max="5638" width="11.28515625" style="195" customWidth="1"/>
    <col min="5639" max="5645" width="9.140625" style="195"/>
    <col min="5646" max="5646" width="6" style="195" bestFit="1" customWidth="1"/>
    <col min="5647" max="5647" width="7.28515625" style="195" bestFit="1" customWidth="1"/>
    <col min="5648" max="5893" width="9.140625" style="195"/>
    <col min="5894" max="5894" width="11.28515625" style="195" customWidth="1"/>
    <col min="5895" max="5901" width="9.140625" style="195"/>
    <col min="5902" max="5902" width="6" style="195" bestFit="1" customWidth="1"/>
    <col min="5903" max="5903" width="7.28515625" style="195" bestFit="1" customWidth="1"/>
    <col min="5904" max="6149" width="9.140625" style="195"/>
    <col min="6150" max="6150" width="11.28515625" style="195" customWidth="1"/>
    <col min="6151" max="6157" width="9.140625" style="195"/>
    <col min="6158" max="6158" width="6" style="195" bestFit="1" customWidth="1"/>
    <col min="6159" max="6159" width="7.28515625" style="195" bestFit="1" customWidth="1"/>
    <col min="6160" max="6405" width="9.140625" style="195"/>
    <col min="6406" max="6406" width="11.28515625" style="195" customWidth="1"/>
    <col min="6407" max="6413" width="9.140625" style="195"/>
    <col min="6414" max="6414" width="6" style="195" bestFit="1" customWidth="1"/>
    <col min="6415" max="6415" width="7.28515625" style="195" bestFit="1" customWidth="1"/>
    <col min="6416" max="6661" width="9.140625" style="195"/>
    <col min="6662" max="6662" width="11.28515625" style="195" customWidth="1"/>
    <col min="6663" max="6669" width="9.140625" style="195"/>
    <col min="6670" max="6670" width="6" style="195" bestFit="1" customWidth="1"/>
    <col min="6671" max="6671" width="7.28515625" style="195" bestFit="1" customWidth="1"/>
    <col min="6672" max="6917" width="9.140625" style="195"/>
    <col min="6918" max="6918" width="11.28515625" style="195" customWidth="1"/>
    <col min="6919" max="6925" width="9.140625" style="195"/>
    <col min="6926" max="6926" width="6" style="195" bestFit="1" customWidth="1"/>
    <col min="6927" max="6927" width="7.28515625" style="195" bestFit="1" customWidth="1"/>
    <col min="6928" max="7173" width="9.140625" style="195"/>
    <col min="7174" max="7174" width="11.28515625" style="195" customWidth="1"/>
    <col min="7175" max="7181" width="9.140625" style="195"/>
    <col min="7182" max="7182" width="6" style="195" bestFit="1" customWidth="1"/>
    <col min="7183" max="7183" width="7.28515625" style="195" bestFit="1" customWidth="1"/>
    <col min="7184" max="7429" width="9.140625" style="195"/>
    <col min="7430" max="7430" width="11.28515625" style="195" customWidth="1"/>
    <col min="7431" max="7437" width="9.140625" style="195"/>
    <col min="7438" max="7438" width="6" style="195" bestFit="1" customWidth="1"/>
    <col min="7439" max="7439" width="7.28515625" style="195" bestFit="1" customWidth="1"/>
    <col min="7440" max="7685" width="9.140625" style="195"/>
    <col min="7686" max="7686" width="11.28515625" style="195" customWidth="1"/>
    <col min="7687" max="7693" width="9.140625" style="195"/>
    <col min="7694" max="7694" width="6" style="195" bestFit="1" customWidth="1"/>
    <col min="7695" max="7695" width="7.28515625" style="195" bestFit="1" customWidth="1"/>
    <col min="7696" max="7941" width="9.140625" style="195"/>
    <col min="7942" max="7942" width="11.28515625" style="195" customWidth="1"/>
    <col min="7943" max="7949" width="9.140625" style="195"/>
    <col min="7950" max="7950" width="6" style="195" bestFit="1" customWidth="1"/>
    <col min="7951" max="7951" width="7.28515625" style="195" bestFit="1" customWidth="1"/>
    <col min="7952" max="8197" width="9.140625" style="195"/>
    <col min="8198" max="8198" width="11.28515625" style="195" customWidth="1"/>
    <col min="8199" max="8205" width="9.140625" style="195"/>
    <col min="8206" max="8206" width="6" style="195" bestFit="1" customWidth="1"/>
    <col min="8207" max="8207" width="7.28515625" style="195" bestFit="1" customWidth="1"/>
    <col min="8208" max="8453" width="9.140625" style="195"/>
    <col min="8454" max="8454" width="11.28515625" style="195" customWidth="1"/>
    <col min="8455" max="8461" width="9.140625" style="195"/>
    <col min="8462" max="8462" width="6" style="195" bestFit="1" customWidth="1"/>
    <col min="8463" max="8463" width="7.28515625" style="195" bestFit="1" customWidth="1"/>
    <col min="8464" max="8709" width="9.140625" style="195"/>
    <col min="8710" max="8710" width="11.28515625" style="195" customWidth="1"/>
    <col min="8711" max="8717" width="9.140625" style="195"/>
    <col min="8718" max="8718" width="6" style="195" bestFit="1" customWidth="1"/>
    <col min="8719" max="8719" width="7.28515625" style="195" bestFit="1" customWidth="1"/>
    <col min="8720" max="8965" width="9.140625" style="195"/>
    <col min="8966" max="8966" width="11.28515625" style="195" customWidth="1"/>
    <col min="8967" max="8973" width="9.140625" style="195"/>
    <col min="8974" max="8974" width="6" style="195" bestFit="1" customWidth="1"/>
    <col min="8975" max="8975" width="7.28515625" style="195" bestFit="1" customWidth="1"/>
    <col min="8976" max="9221" width="9.140625" style="195"/>
    <col min="9222" max="9222" width="11.28515625" style="195" customWidth="1"/>
    <col min="9223" max="9229" width="9.140625" style="195"/>
    <col min="9230" max="9230" width="6" style="195" bestFit="1" customWidth="1"/>
    <col min="9231" max="9231" width="7.28515625" style="195" bestFit="1" customWidth="1"/>
    <col min="9232" max="9477" width="9.140625" style="195"/>
    <col min="9478" max="9478" width="11.28515625" style="195" customWidth="1"/>
    <col min="9479" max="9485" width="9.140625" style="195"/>
    <col min="9486" max="9486" width="6" style="195" bestFit="1" customWidth="1"/>
    <col min="9487" max="9487" width="7.28515625" style="195" bestFit="1" customWidth="1"/>
    <col min="9488" max="9733" width="9.140625" style="195"/>
    <col min="9734" max="9734" width="11.28515625" style="195" customWidth="1"/>
    <col min="9735" max="9741" width="9.140625" style="195"/>
    <col min="9742" max="9742" width="6" style="195" bestFit="1" customWidth="1"/>
    <col min="9743" max="9743" width="7.28515625" style="195" bestFit="1" customWidth="1"/>
    <col min="9744" max="9989" width="9.140625" style="195"/>
    <col min="9990" max="9990" width="11.28515625" style="195" customWidth="1"/>
    <col min="9991" max="9997" width="9.140625" style="195"/>
    <col min="9998" max="9998" width="6" style="195" bestFit="1" customWidth="1"/>
    <col min="9999" max="9999" width="7.28515625" style="195" bestFit="1" customWidth="1"/>
    <col min="10000" max="10245" width="9.140625" style="195"/>
    <col min="10246" max="10246" width="11.28515625" style="195" customWidth="1"/>
    <col min="10247" max="10253" width="9.140625" style="195"/>
    <col min="10254" max="10254" width="6" style="195" bestFit="1" customWidth="1"/>
    <col min="10255" max="10255" width="7.28515625" style="195" bestFit="1" customWidth="1"/>
    <col min="10256" max="10501" width="9.140625" style="195"/>
    <col min="10502" max="10502" width="11.28515625" style="195" customWidth="1"/>
    <col min="10503" max="10509" width="9.140625" style="195"/>
    <col min="10510" max="10510" width="6" style="195" bestFit="1" customWidth="1"/>
    <col min="10511" max="10511" width="7.28515625" style="195" bestFit="1" customWidth="1"/>
    <col min="10512" max="10757" width="9.140625" style="195"/>
    <col min="10758" max="10758" width="11.28515625" style="195" customWidth="1"/>
    <col min="10759" max="10765" width="9.140625" style="195"/>
    <col min="10766" max="10766" width="6" style="195" bestFit="1" customWidth="1"/>
    <col min="10767" max="10767" width="7.28515625" style="195" bestFit="1" customWidth="1"/>
    <col min="10768" max="11013" width="9.140625" style="195"/>
    <col min="11014" max="11014" width="11.28515625" style="195" customWidth="1"/>
    <col min="11015" max="11021" width="9.140625" style="195"/>
    <col min="11022" max="11022" width="6" style="195" bestFit="1" customWidth="1"/>
    <col min="11023" max="11023" width="7.28515625" style="195" bestFit="1" customWidth="1"/>
    <col min="11024" max="11269" width="9.140625" style="195"/>
    <col min="11270" max="11270" width="11.28515625" style="195" customWidth="1"/>
    <col min="11271" max="11277" width="9.140625" style="195"/>
    <col min="11278" max="11278" width="6" style="195" bestFit="1" customWidth="1"/>
    <col min="11279" max="11279" width="7.28515625" style="195" bestFit="1" customWidth="1"/>
    <col min="11280" max="11525" width="9.140625" style="195"/>
    <col min="11526" max="11526" width="11.28515625" style="195" customWidth="1"/>
    <col min="11527" max="11533" width="9.140625" style="195"/>
    <col min="11534" max="11534" width="6" style="195" bestFit="1" customWidth="1"/>
    <col min="11535" max="11535" width="7.28515625" style="195" bestFit="1" customWidth="1"/>
    <col min="11536" max="11781" width="9.140625" style="195"/>
    <col min="11782" max="11782" width="11.28515625" style="195" customWidth="1"/>
    <col min="11783" max="11789" width="9.140625" style="195"/>
    <col min="11790" max="11790" width="6" style="195" bestFit="1" customWidth="1"/>
    <col min="11791" max="11791" width="7.28515625" style="195" bestFit="1" customWidth="1"/>
    <col min="11792" max="12037" width="9.140625" style="195"/>
    <col min="12038" max="12038" width="11.28515625" style="195" customWidth="1"/>
    <col min="12039" max="12045" width="9.140625" style="195"/>
    <col min="12046" max="12046" width="6" style="195" bestFit="1" customWidth="1"/>
    <col min="12047" max="12047" width="7.28515625" style="195" bestFit="1" customWidth="1"/>
    <col min="12048" max="12293" width="9.140625" style="195"/>
    <col min="12294" max="12294" width="11.28515625" style="195" customWidth="1"/>
    <col min="12295" max="12301" width="9.140625" style="195"/>
    <col min="12302" max="12302" width="6" style="195" bestFit="1" customWidth="1"/>
    <col min="12303" max="12303" width="7.28515625" style="195" bestFit="1" customWidth="1"/>
    <col min="12304" max="12549" width="9.140625" style="195"/>
    <col min="12550" max="12550" width="11.28515625" style="195" customWidth="1"/>
    <col min="12551" max="12557" width="9.140625" style="195"/>
    <col min="12558" max="12558" width="6" style="195" bestFit="1" customWidth="1"/>
    <col min="12559" max="12559" width="7.28515625" style="195" bestFit="1" customWidth="1"/>
    <col min="12560" max="12805" width="9.140625" style="195"/>
    <col min="12806" max="12806" width="11.28515625" style="195" customWidth="1"/>
    <col min="12807" max="12813" width="9.140625" style="195"/>
    <col min="12814" max="12814" width="6" style="195" bestFit="1" customWidth="1"/>
    <col min="12815" max="12815" width="7.28515625" style="195" bestFit="1" customWidth="1"/>
    <col min="12816" max="13061" width="9.140625" style="195"/>
    <col min="13062" max="13062" width="11.28515625" style="195" customWidth="1"/>
    <col min="13063" max="13069" width="9.140625" style="195"/>
    <col min="13070" max="13070" width="6" style="195" bestFit="1" customWidth="1"/>
    <col min="13071" max="13071" width="7.28515625" style="195" bestFit="1" customWidth="1"/>
    <col min="13072" max="13317" width="9.140625" style="195"/>
    <col min="13318" max="13318" width="11.28515625" style="195" customWidth="1"/>
    <col min="13319" max="13325" width="9.140625" style="195"/>
    <col min="13326" max="13326" width="6" style="195" bestFit="1" customWidth="1"/>
    <col min="13327" max="13327" width="7.28515625" style="195" bestFit="1" customWidth="1"/>
    <col min="13328" max="13573" width="9.140625" style="195"/>
    <col min="13574" max="13574" width="11.28515625" style="195" customWidth="1"/>
    <col min="13575" max="13581" width="9.140625" style="195"/>
    <col min="13582" max="13582" width="6" style="195" bestFit="1" customWidth="1"/>
    <col min="13583" max="13583" width="7.28515625" style="195" bestFit="1" customWidth="1"/>
    <col min="13584" max="13829" width="9.140625" style="195"/>
    <col min="13830" max="13830" width="11.28515625" style="195" customWidth="1"/>
    <col min="13831" max="13837" width="9.140625" style="195"/>
    <col min="13838" max="13838" width="6" style="195" bestFit="1" customWidth="1"/>
    <col min="13839" max="13839" width="7.28515625" style="195" bestFit="1" customWidth="1"/>
    <col min="13840" max="14085" width="9.140625" style="195"/>
    <col min="14086" max="14086" width="11.28515625" style="195" customWidth="1"/>
    <col min="14087" max="14093" width="9.140625" style="195"/>
    <col min="14094" max="14094" width="6" style="195" bestFit="1" customWidth="1"/>
    <col min="14095" max="14095" width="7.28515625" style="195" bestFit="1" customWidth="1"/>
    <col min="14096" max="14341" width="9.140625" style="195"/>
    <col min="14342" max="14342" width="11.28515625" style="195" customWidth="1"/>
    <col min="14343" max="14349" width="9.140625" style="195"/>
    <col min="14350" max="14350" width="6" style="195" bestFit="1" customWidth="1"/>
    <col min="14351" max="14351" width="7.28515625" style="195" bestFit="1" customWidth="1"/>
    <col min="14352" max="14597" width="9.140625" style="195"/>
    <col min="14598" max="14598" width="11.28515625" style="195" customWidth="1"/>
    <col min="14599" max="14605" width="9.140625" style="195"/>
    <col min="14606" max="14606" width="6" style="195" bestFit="1" customWidth="1"/>
    <col min="14607" max="14607" width="7.28515625" style="195" bestFit="1" customWidth="1"/>
    <col min="14608" max="14853" width="9.140625" style="195"/>
    <col min="14854" max="14854" width="11.28515625" style="195" customWidth="1"/>
    <col min="14855" max="14861" width="9.140625" style="195"/>
    <col min="14862" max="14862" width="6" style="195" bestFit="1" customWidth="1"/>
    <col min="14863" max="14863" width="7.28515625" style="195" bestFit="1" customWidth="1"/>
    <col min="14864" max="15109" width="9.140625" style="195"/>
    <col min="15110" max="15110" width="11.28515625" style="195" customWidth="1"/>
    <col min="15111" max="15117" width="9.140625" style="195"/>
    <col min="15118" max="15118" width="6" style="195" bestFit="1" customWidth="1"/>
    <col min="15119" max="15119" width="7.28515625" style="195" bestFit="1" customWidth="1"/>
    <col min="15120" max="15365" width="9.140625" style="195"/>
    <col min="15366" max="15366" width="11.28515625" style="195" customWidth="1"/>
    <col min="15367" max="15373" width="9.140625" style="195"/>
    <col min="15374" max="15374" width="6" style="195" bestFit="1" customWidth="1"/>
    <col min="15375" max="15375" width="7.28515625" style="195" bestFit="1" customWidth="1"/>
    <col min="15376" max="15621" width="9.140625" style="195"/>
    <col min="15622" max="15622" width="11.28515625" style="195" customWidth="1"/>
    <col min="15623" max="15629" width="9.140625" style="195"/>
    <col min="15630" max="15630" width="6" style="195" bestFit="1" customWidth="1"/>
    <col min="15631" max="15631" width="7.28515625" style="195" bestFit="1" customWidth="1"/>
    <col min="15632" max="15877" width="9.140625" style="195"/>
    <col min="15878" max="15878" width="11.28515625" style="195" customWidth="1"/>
    <col min="15879" max="15885" width="9.140625" style="195"/>
    <col min="15886" max="15886" width="6" style="195" bestFit="1" customWidth="1"/>
    <col min="15887" max="15887" width="7.28515625" style="195" bestFit="1" customWidth="1"/>
    <col min="15888" max="16133" width="9.140625" style="195"/>
    <col min="16134" max="16134" width="11.28515625" style="195" customWidth="1"/>
    <col min="16135" max="16141" width="9.140625" style="195"/>
    <col min="16142" max="16142" width="6" style="195" bestFit="1" customWidth="1"/>
    <col min="16143" max="16143" width="7.28515625" style="195" bestFit="1" customWidth="1"/>
    <col min="16144" max="16384" width="9.140625" style="195"/>
  </cols>
  <sheetData>
    <row r="1" spans="1:19" x14ac:dyDescent="0.2">
      <c r="A1" s="638" t="s">
        <v>1008</v>
      </c>
      <c r="B1" s="638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8"/>
      <c r="P1" s="638"/>
      <c r="Q1" s="638"/>
      <c r="R1" s="638"/>
      <c r="S1" s="638"/>
    </row>
    <row r="2" spans="1:19" x14ac:dyDescent="0.2">
      <c r="A2" s="634" t="s">
        <v>981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  <c r="M2" s="634"/>
      <c r="N2" s="634"/>
      <c r="O2" s="634"/>
      <c r="P2" s="634"/>
      <c r="Q2" s="634"/>
      <c r="R2" s="634"/>
      <c r="S2" s="634"/>
    </row>
    <row r="3" spans="1:19" x14ac:dyDescent="0.2">
      <c r="A3" s="634"/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</row>
    <row r="4" spans="1:19" ht="19.5" thickBot="1" x14ac:dyDescent="0.35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500"/>
      <c r="R4" s="173"/>
      <c r="S4" s="501" t="s">
        <v>31</v>
      </c>
    </row>
    <row r="5" spans="1:19" ht="77.25" thickTop="1" x14ac:dyDescent="0.2">
      <c r="A5" s="502"/>
      <c r="B5" s="503"/>
      <c r="C5" s="503"/>
      <c r="D5" s="504"/>
      <c r="E5" s="505" t="s">
        <v>253</v>
      </c>
      <c r="F5" s="506" t="s">
        <v>101</v>
      </c>
      <c r="G5" s="505" t="s">
        <v>33</v>
      </c>
      <c r="H5" s="507" t="s">
        <v>59</v>
      </c>
      <c r="I5" s="507" t="s">
        <v>60</v>
      </c>
      <c r="J5" s="507" t="s">
        <v>26</v>
      </c>
      <c r="K5" s="508" t="s">
        <v>164</v>
      </c>
      <c r="L5" s="540" t="s">
        <v>963</v>
      </c>
      <c r="M5" s="541" t="s">
        <v>964</v>
      </c>
      <c r="N5" s="542" t="s">
        <v>965</v>
      </c>
      <c r="O5" s="542" t="s">
        <v>966</v>
      </c>
      <c r="P5" s="542" t="s">
        <v>982</v>
      </c>
      <c r="Q5" s="543" t="s">
        <v>967</v>
      </c>
      <c r="R5" s="543" t="s">
        <v>164</v>
      </c>
      <c r="S5" s="544" t="s">
        <v>968</v>
      </c>
    </row>
    <row r="6" spans="1:19" x14ac:dyDescent="0.2">
      <c r="A6" s="514" t="s">
        <v>513</v>
      </c>
      <c r="B6" s="515"/>
      <c r="C6" s="515"/>
      <c r="D6" s="516"/>
      <c r="E6" s="186">
        <v>211000</v>
      </c>
      <c r="F6" s="186">
        <v>40900</v>
      </c>
      <c r="G6" s="186">
        <v>26000</v>
      </c>
      <c r="H6" s="186">
        <v>0</v>
      </c>
      <c r="I6" s="186">
        <v>1000</v>
      </c>
      <c r="J6" s="186">
        <v>1000</v>
      </c>
      <c r="K6" s="512">
        <f>SUM(E6:J6)</f>
        <v>279900</v>
      </c>
      <c r="L6" s="517">
        <v>8700</v>
      </c>
      <c r="M6" s="518">
        <v>0</v>
      </c>
      <c r="N6" s="186">
        <v>0</v>
      </c>
      <c r="O6" s="186">
        <v>0</v>
      </c>
      <c r="P6" s="186">
        <v>266404</v>
      </c>
      <c r="Q6" s="186">
        <f>K6-L6-N6-O6-P6-M6</f>
        <v>4796</v>
      </c>
      <c r="R6" s="186">
        <f>SUM(L6:Q6)</f>
        <v>279900</v>
      </c>
      <c r="S6" s="513">
        <f>P6+Q6</f>
        <v>271200</v>
      </c>
    </row>
    <row r="7" spans="1:19" x14ac:dyDescent="0.2">
      <c r="A7" s="509" t="s">
        <v>969</v>
      </c>
      <c r="B7" s="510"/>
      <c r="C7" s="510"/>
      <c r="D7" s="511"/>
      <c r="E7" s="186">
        <v>143000</v>
      </c>
      <c r="F7" s="186">
        <v>27000</v>
      </c>
      <c r="G7" s="186">
        <v>160000</v>
      </c>
      <c r="H7" s="186">
        <v>0</v>
      </c>
      <c r="I7" s="186">
        <v>3000</v>
      </c>
      <c r="J7" s="186">
        <v>0</v>
      </c>
      <c r="K7" s="512">
        <f>SUM(E7:J7)</f>
        <v>333000</v>
      </c>
      <c r="L7" s="517">
        <v>85000</v>
      </c>
      <c r="M7" s="518">
        <v>0</v>
      </c>
      <c r="N7" s="186">
        <v>0</v>
      </c>
      <c r="O7" s="186">
        <v>0</v>
      </c>
      <c r="P7" s="186">
        <v>170268</v>
      </c>
      <c r="Q7" s="186">
        <f>K7-L7-N7-O7-P7-M7</f>
        <v>77732</v>
      </c>
      <c r="R7" s="186">
        <f>SUM(L7:Q7)</f>
        <v>333000</v>
      </c>
      <c r="S7" s="513">
        <f>P7+Q7</f>
        <v>248000</v>
      </c>
    </row>
    <row r="8" spans="1:19" x14ac:dyDescent="0.2">
      <c r="A8" s="509" t="s">
        <v>269</v>
      </c>
      <c r="B8" s="510"/>
      <c r="C8" s="510"/>
      <c r="D8" s="511"/>
      <c r="E8" s="186">
        <v>16485</v>
      </c>
      <c r="F8" s="186">
        <v>3215</v>
      </c>
      <c r="G8" s="186">
        <v>16000</v>
      </c>
      <c r="H8" s="186">
        <v>0</v>
      </c>
      <c r="I8" s="186">
        <v>2500</v>
      </c>
      <c r="J8" s="186">
        <v>0</v>
      </c>
      <c r="K8" s="512">
        <f>SUM(E8:J8)</f>
        <v>38200</v>
      </c>
      <c r="L8" s="517">
        <v>2500</v>
      </c>
      <c r="M8" s="518">
        <v>0</v>
      </c>
      <c r="N8" s="186">
        <v>0</v>
      </c>
      <c r="O8" s="186">
        <v>0</v>
      </c>
      <c r="P8" s="186">
        <v>0</v>
      </c>
      <c r="Q8" s="186">
        <f>K8-L8-N8-O8-P8-M8</f>
        <v>35700</v>
      </c>
      <c r="R8" s="186">
        <f>SUM(L8:Q8)</f>
        <v>38200</v>
      </c>
      <c r="S8" s="513">
        <f>P8+Q8</f>
        <v>35700</v>
      </c>
    </row>
    <row r="9" spans="1:19" ht="13.5" thickBot="1" x14ac:dyDescent="0.25">
      <c r="A9" s="519" t="s">
        <v>56</v>
      </c>
      <c r="B9" s="520"/>
      <c r="C9" s="520"/>
      <c r="D9" s="521"/>
      <c r="E9" s="522">
        <v>261168</v>
      </c>
      <c r="F9" s="522">
        <v>50859</v>
      </c>
      <c r="G9" s="522">
        <v>80000</v>
      </c>
      <c r="H9" s="522">
        <v>0</v>
      </c>
      <c r="I9" s="522">
        <v>18300</v>
      </c>
      <c r="J9" s="522">
        <v>0</v>
      </c>
      <c r="K9" s="523">
        <f>SUM(E9:J9)</f>
        <v>410327</v>
      </c>
      <c r="L9" s="524">
        <v>8000</v>
      </c>
      <c r="M9" s="525">
        <v>0</v>
      </c>
      <c r="N9" s="522">
        <v>5369</v>
      </c>
      <c r="O9" s="522">
        <v>0</v>
      </c>
      <c r="P9" s="522">
        <v>223779</v>
      </c>
      <c r="Q9" s="522">
        <f>K9-L9-N9-O9-P9-M9</f>
        <v>173179</v>
      </c>
      <c r="R9" s="522">
        <f>SUM(L9:Q9)</f>
        <v>410327</v>
      </c>
      <c r="S9" s="526">
        <f>P9+Q9</f>
        <v>396958</v>
      </c>
    </row>
    <row r="10" spans="1:19" ht="14.25" thickTop="1" thickBot="1" x14ac:dyDescent="0.25">
      <c r="A10" s="635" t="s">
        <v>30</v>
      </c>
      <c r="B10" s="636"/>
      <c r="C10" s="636"/>
      <c r="D10" s="637"/>
      <c r="E10" s="527">
        <f t="shared" ref="E10:S10" si="0">SUM(E6:E9)</f>
        <v>631653</v>
      </c>
      <c r="F10" s="527">
        <f t="shared" si="0"/>
        <v>121974</v>
      </c>
      <c r="G10" s="527">
        <f t="shared" si="0"/>
        <v>282000</v>
      </c>
      <c r="H10" s="527">
        <f t="shared" si="0"/>
        <v>0</v>
      </c>
      <c r="I10" s="527">
        <f t="shared" si="0"/>
        <v>24800</v>
      </c>
      <c r="J10" s="527">
        <f t="shared" si="0"/>
        <v>1000</v>
      </c>
      <c r="K10" s="528">
        <f t="shared" si="0"/>
        <v>1061427</v>
      </c>
      <c r="L10" s="529">
        <f t="shared" si="0"/>
        <v>104200</v>
      </c>
      <c r="M10" s="527">
        <f t="shared" si="0"/>
        <v>0</v>
      </c>
      <c r="N10" s="527">
        <f t="shared" si="0"/>
        <v>5369</v>
      </c>
      <c r="O10" s="527">
        <f t="shared" si="0"/>
        <v>0</v>
      </c>
      <c r="P10" s="527">
        <f t="shared" si="0"/>
        <v>660451</v>
      </c>
      <c r="Q10" s="527">
        <f t="shared" si="0"/>
        <v>291407</v>
      </c>
      <c r="R10" s="527">
        <f t="shared" si="0"/>
        <v>1061427</v>
      </c>
      <c r="S10" s="528">
        <f t="shared" si="0"/>
        <v>951858</v>
      </c>
    </row>
    <row r="11" spans="1:19" ht="13.5" thickTop="1" x14ac:dyDescent="0.2"/>
  </sheetData>
  <mergeCells count="3">
    <mergeCell ref="A2:S3"/>
    <mergeCell ref="A10:D10"/>
    <mergeCell ref="A1:S1"/>
  </mergeCells>
  <pageMargins left="0.7" right="0.7" top="0.75" bottom="0.75" header="0.3" footer="0.3"/>
  <pageSetup paperSize="9" scale="7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A2" sqref="A2"/>
    </sheetView>
  </sheetViews>
  <sheetFormatPr defaultRowHeight="12.75" x14ac:dyDescent="0.2"/>
  <cols>
    <col min="1" max="6" width="9.140625" style="195"/>
    <col min="7" max="7" width="10.140625" style="195" bestFit="1" customWidth="1"/>
    <col min="8" max="16384" width="9.140625" style="195"/>
  </cols>
  <sheetData>
    <row r="1" spans="1:9" ht="15.75" x14ac:dyDescent="0.25">
      <c r="A1" s="639" t="s">
        <v>1017</v>
      </c>
      <c r="B1" s="639"/>
      <c r="C1" s="639"/>
      <c r="D1" s="639"/>
      <c r="E1" s="639"/>
      <c r="F1" s="639"/>
      <c r="G1" s="639"/>
      <c r="H1" s="639"/>
      <c r="I1" s="639"/>
    </row>
    <row r="2" spans="1:9" ht="15.75" x14ac:dyDescent="0.25">
      <c r="A2" s="530"/>
      <c r="B2" s="530"/>
      <c r="C2" s="530"/>
      <c r="D2" s="530"/>
      <c r="E2" s="530"/>
      <c r="F2" s="530"/>
      <c r="G2" s="531"/>
      <c r="H2" s="530"/>
    </row>
    <row r="3" spans="1:9" ht="15.75" x14ac:dyDescent="0.25">
      <c r="A3" s="640" t="s">
        <v>990</v>
      </c>
      <c r="B3" s="640"/>
      <c r="C3" s="640"/>
      <c r="D3" s="640"/>
      <c r="E3" s="640"/>
      <c r="F3" s="640"/>
      <c r="G3" s="640"/>
      <c r="H3" s="640"/>
    </row>
    <row r="4" spans="1:9" ht="15.75" x14ac:dyDescent="0.25">
      <c r="A4" s="640" t="s">
        <v>970</v>
      </c>
      <c r="B4" s="640"/>
      <c r="C4" s="640"/>
      <c r="D4" s="640"/>
      <c r="E4" s="640"/>
      <c r="F4" s="640"/>
      <c r="G4" s="640"/>
      <c r="H4" s="532"/>
    </row>
    <row r="5" spans="1:9" ht="15.75" x14ac:dyDescent="0.25">
      <c r="A5" s="533"/>
      <c r="B5" s="533"/>
      <c r="C5" s="533"/>
      <c r="D5" s="533"/>
      <c r="E5" s="533"/>
      <c r="F5" s="533"/>
      <c r="G5" s="534"/>
      <c r="H5" s="203"/>
    </row>
    <row r="6" spans="1:9" ht="15.75" x14ac:dyDescent="0.25">
      <c r="A6" s="203"/>
      <c r="B6" s="203"/>
      <c r="C6" s="203"/>
      <c r="D6" s="203"/>
      <c r="E6" s="203"/>
      <c r="F6" s="203"/>
      <c r="G6" s="531" t="s">
        <v>31</v>
      </c>
      <c r="H6" s="203"/>
    </row>
    <row r="7" spans="1:9" ht="15.75" x14ac:dyDescent="0.25">
      <c r="A7" s="203" t="s">
        <v>971</v>
      </c>
      <c r="B7" s="203"/>
      <c r="C7" s="203"/>
      <c r="D7" s="203"/>
      <c r="E7" s="203"/>
      <c r="F7" s="203"/>
      <c r="G7" s="535">
        <v>387</v>
      </c>
      <c r="H7" s="203"/>
    </row>
    <row r="8" spans="1:9" ht="15.75" x14ac:dyDescent="0.25">
      <c r="A8" s="203" t="s">
        <v>972</v>
      </c>
      <c r="B8" s="203"/>
      <c r="C8" s="203"/>
      <c r="D8" s="203"/>
      <c r="E8" s="203"/>
      <c r="F8" s="203"/>
      <c r="G8" s="535">
        <v>600</v>
      </c>
      <c r="H8" s="203"/>
    </row>
    <row r="9" spans="1:9" ht="15.75" x14ac:dyDescent="0.25">
      <c r="A9" s="203" t="s">
        <v>973</v>
      </c>
      <c r="B9" s="203"/>
      <c r="C9" s="203"/>
      <c r="D9" s="203"/>
      <c r="E9" s="203"/>
      <c r="F9" s="203"/>
      <c r="G9" s="535">
        <v>2500</v>
      </c>
      <c r="H9" s="203"/>
    </row>
    <row r="10" spans="1:9" ht="15.75" x14ac:dyDescent="0.25">
      <c r="A10" s="203" t="s">
        <v>974</v>
      </c>
      <c r="B10" s="203"/>
      <c r="C10" s="203"/>
      <c r="D10" s="203"/>
      <c r="E10" s="203"/>
      <c r="F10" s="203"/>
      <c r="G10" s="535">
        <v>580</v>
      </c>
      <c r="H10" s="203"/>
    </row>
    <row r="11" spans="1:9" ht="15.75" x14ac:dyDescent="0.25">
      <c r="A11" s="536" t="s">
        <v>975</v>
      </c>
      <c r="B11" s="203"/>
      <c r="C11" s="203"/>
      <c r="D11" s="203"/>
      <c r="E11" s="203"/>
      <c r="F11" s="203"/>
      <c r="G11" s="535"/>
      <c r="H11" s="203"/>
    </row>
    <row r="12" spans="1:9" ht="15.75" x14ac:dyDescent="0.25">
      <c r="A12" s="203" t="s">
        <v>976</v>
      </c>
      <c r="B12" s="203"/>
      <c r="C12" s="203"/>
      <c r="D12" s="203"/>
      <c r="E12" s="203"/>
      <c r="F12" s="203"/>
      <c r="G12" s="535">
        <v>10014</v>
      </c>
      <c r="H12" s="203"/>
    </row>
    <row r="13" spans="1:9" ht="15.75" x14ac:dyDescent="0.25">
      <c r="A13" s="203" t="s">
        <v>977</v>
      </c>
      <c r="B13" s="203"/>
      <c r="C13" s="203"/>
      <c r="D13" s="203"/>
      <c r="E13" s="203"/>
      <c r="F13" s="203"/>
      <c r="G13" s="535">
        <v>1043</v>
      </c>
      <c r="H13" s="203"/>
    </row>
    <row r="14" spans="1:9" ht="15.75" x14ac:dyDescent="0.25">
      <c r="A14" s="203"/>
      <c r="B14" s="203"/>
      <c r="C14" s="203"/>
      <c r="D14" s="203"/>
      <c r="E14" s="203"/>
      <c r="F14" s="203"/>
      <c r="G14" s="535"/>
      <c r="H14" s="203"/>
    </row>
    <row r="15" spans="1:9" ht="15.75" x14ac:dyDescent="0.25">
      <c r="A15" s="532" t="s">
        <v>30</v>
      </c>
      <c r="B15" s="203"/>
      <c r="C15" s="203"/>
      <c r="D15" s="203"/>
      <c r="E15" s="203"/>
      <c r="F15" s="203"/>
      <c r="G15" s="537">
        <f>G7+G8+G9+G10+G12+G13</f>
        <v>15124</v>
      </c>
      <c r="H15" s="203"/>
    </row>
    <row r="16" spans="1:9" ht="15.75" x14ac:dyDescent="0.25">
      <c r="A16" s="203"/>
      <c r="B16" s="203"/>
      <c r="C16" s="203"/>
      <c r="D16" s="203"/>
      <c r="E16" s="203"/>
      <c r="F16" s="203"/>
      <c r="G16" s="535"/>
      <c r="H16" s="203"/>
    </row>
    <row r="17" spans="1:10" ht="15.75" x14ac:dyDescent="0.25">
      <c r="A17" s="203"/>
      <c r="B17" s="203"/>
      <c r="C17" s="203"/>
      <c r="D17" s="203"/>
      <c r="E17" s="203"/>
      <c r="F17" s="203"/>
      <c r="G17" s="535"/>
      <c r="H17" s="203"/>
    </row>
    <row r="18" spans="1:10" ht="15.75" x14ac:dyDescent="0.25">
      <c r="A18" s="203" t="s">
        <v>978</v>
      </c>
      <c r="B18" s="203"/>
      <c r="C18" s="203"/>
      <c r="D18" s="203"/>
      <c r="E18" s="203"/>
      <c r="F18" s="203"/>
      <c r="G18" s="538">
        <v>3501</v>
      </c>
      <c r="H18" s="203"/>
      <c r="J18" s="203"/>
    </row>
    <row r="19" spans="1:10" ht="15.75" x14ac:dyDescent="0.25">
      <c r="A19" s="203"/>
      <c r="B19" s="203"/>
      <c r="C19" s="203"/>
      <c r="D19" s="203"/>
      <c r="E19" s="203"/>
      <c r="F19" s="203"/>
      <c r="G19" s="535"/>
      <c r="H19" s="203"/>
    </row>
    <row r="20" spans="1:10" ht="15.75" x14ac:dyDescent="0.25">
      <c r="A20" s="203" t="s">
        <v>979</v>
      </c>
      <c r="B20" s="203"/>
      <c r="C20" s="203"/>
      <c r="D20" s="203"/>
      <c r="E20" s="203"/>
      <c r="F20" s="203"/>
      <c r="G20" s="535">
        <v>1600</v>
      </c>
      <c r="H20" s="203"/>
    </row>
    <row r="21" spans="1:10" ht="15.75" x14ac:dyDescent="0.25">
      <c r="A21" s="203"/>
      <c r="B21" s="203"/>
      <c r="C21" s="203"/>
      <c r="D21" s="203"/>
      <c r="E21" s="203"/>
      <c r="F21" s="203"/>
      <c r="G21" s="535"/>
      <c r="H21" s="203"/>
    </row>
    <row r="22" spans="1:10" ht="15.75" x14ac:dyDescent="0.25">
      <c r="A22" s="203" t="s">
        <v>991</v>
      </c>
      <c r="B22" s="203"/>
      <c r="C22" s="203"/>
      <c r="D22" s="203"/>
      <c r="E22" s="203"/>
      <c r="F22" s="203"/>
      <c r="G22" s="535"/>
      <c r="H22" s="203"/>
    </row>
    <row r="23" spans="1:10" ht="15.75" x14ac:dyDescent="0.25">
      <c r="A23" s="539" t="s">
        <v>992</v>
      </c>
      <c r="G23" s="427"/>
    </row>
    <row r="24" spans="1:10" ht="15.75" x14ac:dyDescent="0.25">
      <c r="A24" s="539" t="s">
        <v>980</v>
      </c>
      <c r="G24" s="427"/>
    </row>
    <row r="25" spans="1:10" x14ac:dyDescent="0.2">
      <c r="G25" s="427"/>
    </row>
    <row r="26" spans="1:10" x14ac:dyDescent="0.2">
      <c r="G26" s="427"/>
    </row>
    <row r="27" spans="1:10" x14ac:dyDescent="0.2">
      <c r="G27" s="427"/>
    </row>
    <row r="28" spans="1:10" x14ac:dyDescent="0.2">
      <c r="G28" s="427"/>
    </row>
    <row r="29" spans="1:10" x14ac:dyDescent="0.2">
      <c r="G29" s="427"/>
    </row>
    <row r="30" spans="1:10" x14ac:dyDescent="0.2">
      <c r="G30" s="427"/>
    </row>
    <row r="31" spans="1:10" x14ac:dyDescent="0.2">
      <c r="G31" s="427"/>
    </row>
  </sheetData>
  <mergeCells count="3">
    <mergeCell ref="A1:I1"/>
    <mergeCell ref="A3:H3"/>
    <mergeCell ref="A4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4"/>
  <sheetViews>
    <sheetView zoomScaleNormal="100" workbookViewId="0">
      <selection activeCell="A2" sqref="A2"/>
    </sheetView>
  </sheetViews>
  <sheetFormatPr defaultRowHeight="12.75" x14ac:dyDescent="0.2"/>
  <cols>
    <col min="1" max="1" width="6.7109375" style="127" customWidth="1"/>
    <col min="2" max="2" width="33.7109375" style="127" customWidth="1"/>
    <col min="3" max="3" width="45.7109375" style="127" customWidth="1"/>
    <col min="4" max="4" width="12.42578125" style="127" customWidth="1"/>
    <col min="5" max="5" width="12.42578125" style="127" bestFit="1" customWidth="1"/>
    <col min="6" max="6" width="11.5703125" style="127" customWidth="1"/>
    <col min="7" max="7" width="16.140625" style="127" customWidth="1"/>
    <col min="8" max="16384" width="9.140625" style="195"/>
  </cols>
  <sheetData>
    <row r="1" spans="1:7" ht="12.75" customHeight="1" x14ac:dyDescent="0.25">
      <c r="A1" s="577" t="s">
        <v>1018</v>
      </c>
      <c r="B1" s="577"/>
      <c r="C1" s="577"/>
      <c r="D1" s="577"/>
      <c r="E1" s="577"/>
      <c r="F1" s="577"/>
      <c r="G1" s="577"/>
    </row>
    <row r="2" spans="1:7" ht="15" x14ac:dyDescent="0.25">
      <c r="A2" s="261"/>
      <c r="B2" s="306"/>
      <c r="C2" s="306"/>
      <c r="D2" s="306"/>
      <c r="E2" s="306"/>
      <c r="F2" s="306"/>
      <c r="G2" s="208"/>
    </row>
    <row r="3" spans="1:7" ht="13.5" x14ac:dyDescent="0.25">
      <c r="A3" s="642" t="s">
        <v>280</v>
      </c>
      <c r="B3" s="642"/>
      <c r="C3" s="642"/>
      <c r="D3" s="642"/>
      <c r="E3" s="642"/>
      <c r="F3" s="642"/>
      <c r="G3" s="642"/>
    </row>
    <row r="4" spans="1:7" ht="13.5" x14ac:dyDescent="0.25">
      <c r="A4" s="261"/>
      <c r="B4" s="262"/>
      <c r="C4" s="261"/>
      <c r="D4" s="264"/>
      <c r="E4" s="263"/>
      <c r="F4" s="264"/>
      <c r="G4" s="264"/>
    </row>
    <row r="5" spans="1:7" ht="13.5" x14ac:dyDescent="0.25">
      <c r="A5" s="265"/>
      <c r="B5" s="302"/>
      <c r="C5" s="266"/>
      <c r="D5" s="268"/>
      <c r="E5" s="267"/>
      <c r="F5" s="268"/>
      <c r="G5" s="269"/>
    </row>
    <row r="6" spans="1:7" ht="15.75" x14ac:dyDescent="0.25">
      <c r="A6" s="643" t="s">
        <v>206</v>
      </c>
      <c r="B6" s="643"/>
      <c r="C6" s="643"/>
      <c r="D6" s="643"/>
      <c r="E6" s="643"/>
      <c r="F6" s="643"/>
      <c r="G6" s="643"/>
    </row>
    <row r="7" spans="1:7" ht="13.5" x14ac:dyDescent="0.2">
      <c r="A7" s="265"/>
      <c r="B7" s="270"/>
      <c r="C7" s="271"/>
      <c r="D7" s="270"/>
      <c r="E7" s="263"/>
      <c r="F7" s="270"/>
      <c r="G7" s="272" t="s">
        <v>203</v>
      </c>
    </row>
    <row r="8" spans="1:7" ht="13.5" x14ac:dyDescent="0.2">
      <c r="A8" s="273" t="s">
        <v>281</v>
      </c>
      <c r="B8" s="266" t="s">
        <v>282</v>
      </c>
      <c r="C8" s="266" t="s">
        <v>283</v>
      </c>
      <c r="D8" s="266" t="s">
        <v>536</v>
      </c>
      <c r="E8" s="266" t="s">
        <v>204</v>
      </c>
      <c r="F8" s="266" t="s">
        <v>537</v>
      </c>
      <c r="G8" s="274" t="s">
        <v>164</v>
      </c>
    </row>
    <row r="9" spans="1:7" ht="13.5" x14ac:dyDescent="0.2">
      <c r="A9" s="273"/>
      <c r="B9" s="266"/>
      <c r="C9" s="266"/>
      <c r="D9" s="266"/>
      <c r="E9" s="266"/>
      <c r="F9" s="266"/>
      <c r="G9" s="274"/>
    </row>
    <row r="10" spans="1:7" ht="25.5" x14ac:dyDescent="0.2">
      <c r="A10" s="275">
        <v>1</v>
      </c>
      <c r="B10" s="276" t="s">
        <v>284</v>
      </c>
      <c r="C10" s="277" t="s">
        <v>285</v>
      </c>
      <c r="D10" s="266"/>
      <c r="E10" s="266"/>
      <c r="F10" s="266"/>
      <c r="G10" s="274"/>
    </row>
    <row r="11" spans="1:7" ht="13.5" x14ac:dyDescent="0.2">
      <c r="A11" s="273"/>
      <c r="B11" s="278" t="s">
        <v>38</v>
      </c>
      <c r="C11" s="266"/>
      <c r="D11" s="266"/>
      <c r="E11" s="266"/>
      <c r="F11" s="266"/>
      <c r="G11" s="274"/>
    </row>
    <row r="12" spans="1:7" ht="13.5" x14ac:dyDescent="0.2">
      <c r="A12" s="273"/>
      <c r="B12" s="279" t="s">
        <v>286</v>
      </c>
      <c r="C12" s="280"/>
      <c r="D12" s="281">
        <v>8963736</v>
      </c>
      <c r="E12" s="281">
        <v>0</v>
      </c>
      <c r="F12" s="281">
        <v>0</v>
      </c>
      <c r="G12" s="264">
        <f>SUM(D12:F12)</f>
        <v>8963736</v>
      </c>
    </row>
    <row r="13" spans="1:7" ht="13.5" x14ac:dyDescent="0.25">
      <c r="A13" s="282"/>
      <c r="B13" s="283" t="s">
        <v>32</v>
      </c>
      <c r="C13" s="284"/>
      <c r="D13" s="285">
        <f>SUM(D12:D12)</f>
        <v>8963736</v>
      </c>
      <c r="E13" s="285">
        <f>SUM(E12:E12)</f>
        <v>0</v>
      </c>
      <c r="F13" s="285">
        <f>SUM(F12:F12)</f>
        <v>0</v>
      </c>
      <c r="G13" s="285">
        <f>SUM(G12:G12)</f>
        <v>8963736</v>
      </c>
    </row>
    <row r="14" spans="1:7" ht="13.5" x14ac:dyDescent="0.2">
      <c r="A14" s="273"/>
      <c r="B14" s="266"/>
      <c r="C14" s="266"/>
      <c r="D14" s="266"/>
      <c r="E14" s="266"/>
      <c r="F14" s="266"/>
      <c r="G14" s="274"/>
    </row>
    <row r="15" spans="1:7" ht="25.5" x14ac:dyDescent="0.2">
      <c r="A15" s="275">
        <v>2</v>
      </c>
      <c r="B15" s="276" t="s">
        <v>287</v>
      </c>
      <c r="C15" s="277" t="s">
        <v>288</v>
      </c>
      <c r="D15" s="266"/>
      <c r="E15" s="266"/>
      <c r="F15" s="266"/>
      <c r="G15" s="274"/>
    </row>
    <row r="16" spans="1:7" ht="13.5" x14ac:dyDescent="0.2">
      <c r="A16" s="273"/>
      <c r="B16" s="278" t="s">
        <v>38</v>
      </c>
      <c r="C16" s="266"/>
      <c r="D16" s="266"/>
      <c r="E16" s="266"/>
      <c r="F16" s="266"/>
      <c r="G16" s="274"/>
    </row>
    <row r="17" spans="1:7" ht="13.5" x14ac:dyDescent="0.2">
      <c r="A17" s="273"/>
      <c r="B17" s="279" t="s">
        <v>286</v>
      </c>
      <c r="C17" s="280"/>
      <c r="D17" s="281">
        <v>141990461</v>
      </c>
      <c r="E17" s="281">
        <v>1434246</v>
      </c>
      <c r="F17" s="281">
        <v>0</v>
      </c>
      <c r="G17" s="264">
        <f>SUM(D17:F17)</f>
        <v>143424707</v>
      </c>
    </row>
    <row r="18" spans="1:7" ht="13.5" x14ac:dyDescent="0.25">
      <c r="A18" s="282"/>
      <c r="B18" s="283" t="s">
        <v>32</v>
      </c>
      <c r="C18" s="284"/>
      <c r="D18" s="285">
        <f>SUM(D17:D17)</f>
        <v>141990461</v>
      </c>
      <c r="E18" s="285">
        <f>SUM(E17:E17)</f>
        <v>1434246</v>
      </c>
      <c r="F18" s="285">
        <f>SUM(F17:F17)</f>
        <v>0</v>
      </c>
      <c r="G18" s="285">
        <f>SUM(G17:G17)</f>
        <v>143424707</v>
      </c>
    </row>
    <row r="19" spans="1:7" ht="13.5" x14ac:dyDescent="0.2">
      <c r="A19" s="273"/>
      <c r="B19" s="266"/>
      <c r="C19" s="266"/>
      <c r="D19" s="266"/>
      <c r="E19" s="266"/>
      <c r="F19" s="266"/>
      <c r="G19" s="274"/>
    </row>
    <row r="20" spans="1:7" ht="25.5" x14ac:dyDescent="0.2">
      <c r="A20" s="275">
        <v>3</v>
      </c>
      <c r="B20" s="276" t="s">
        <v>289</v>
      </c>
      <c r="C20" s="277" t="s">
        <v>538</v>
      </c>
      <c r="D20" s="266"/>
      <c r="E20" s="266"/>
      <c r="F20" s="266"/>
      <c r="G20" s="274"/>
    </row>
    <row r="21" spans="1:7" ht="13.5" x14ac:dyDescent="0.2">
      <c r="A21" s="273"/>
      <c r="B21" s="278" t="s">
        <v>38</v>
      </c>
      <c r="C21" s="266"/>
      <c r="D21" s="266"/>
      <c r="E21" s="266"/>
      <c r="F21" s="266"/>
      <c r="G21" s="274"/>
    </row>
    <row r="22" spans="1:7" ht="13.5" x14ac:dyDescent="0.2">
      <c r="A22" s="273"/>
      <c r="B22" s="279" t="s">
        <v>286</v>
      </c>
      <c r="C22" s="280"/>
      <c r="D22" s="281">
        <v>66918831</v>
      </c>
      <c r="E22" s="281">
        <v>344948</v>
      </c>
      <c r="F22" s="281">
        <v>0</v>
      </c>
      <c r="G22" s="264">
        <f>SUM(D22:F22)</f>
        <v>67263779</v>
      </c>
    </row>
    <row r="23" spans="1:7" ht="13.5" x14ac:dyDescent="0.25">
      <c r="A23" s="282"/>
      <c r="B23" s="283" t="s">
        <v>32</v>
      </c>
      <c r="C23" s="284"/>
      <c r="D23" s="285">
        <f>SUM(D22:D22)</f>
        <v>66918831</v>
      </c>
      <c r="E23" s="285">
        <f>SUM(E22:E22)</f>
        <v>344948</v>
      </c>
      <c r="F23" s="285">
        <f>SUM(F22:F22)</f>
        <v>0</v>
      </c>
      <c r="G23" s="285">
        <f>SUM(G22:G22)</f>
        <v>67263779</v>
      </c>
    </row>
    <row r="24" spans="1:7" ht="13.5" x14ac:dyDescent="0.2">
      <c r="A24" s="273"/>
      <c r="B24" s="266"/>
      <c r="C24" s="266"/>
      <c r="D24" s="266"/>
      <c r="E24" s="266"/>
      <c r="F24" s="266"/>
      <c r="G24" s="274"/>
    </row>
    <row r="25" spans="1:7" ht="38.25" x14ac:dyDescent="0.2">
      <c r="A25" s="275">
        <v>4</v>
      </c>
      <c r="B25" s="276" t="s">
        <v>290</v>
      </c>
      <c r="C25" s="277" t="s">
        <v>291</v>
      </c>
      <c r="D25" s="266"/>
      <c r="E25" s="266"/>
      <c r="F25" s="266"/>
      <c r="G25" s="274"/>
    </row>
    <row r="26" spans="1:7" ht="13.5" x14ac:dyDescent="0.2">
      <c r="A26" s="273"/>
      <c r="B26" s="278" t="s">
        <v>38</v>
      </c>
      <c r="C26" s="266"/>
      <c r="D26" s="266"/>
      <c r="E26" s="266"/>
      <c r="F26" s="266"/>
      <c r="G26" s="274"/>
    </row>
    <row r="27" spans="1:7" ht="13.5" x14ac:dyDescent="0.2">
      <c r="A27" s="273"/>
      <c r="B27" s="279" t="s">
        <v>286</v>
      </c>
      <c r="C27" s="280"/>
      <c r="D27" s="281">
        <v>8474064</v>
      </c>
      <c r="E27" s="281">
        <v>0</v>
      </c>
      <c r="F27" s="281">
        <v>720596</v>
      </c>
      <c r="G27" s="264">
        <f>SUM(D27:F27)</f>
        <v>9194660</v>
      </c>
    </row>
    <row r="28" spans="1:7" s="307" customFormat="1" ht="13.5" x14ac:dyDescent="0.25">
      <c r="A28" s="314"/>
      <c r="B28" s="310" t="s">
        <v>32</v>
      </c>
      <c r="C28" s="309"/>
      <c r="D28" s="312">
        <f>SUM(D27:D27)</f>
        <v>8474064</v>
      </c>
      <c r="E28" s="312">
        <f>SUM(E27:E27)</f>
        <v>0</v>
      </c>
      <c r="F28" s="312">
        <f>SUM(F27:F27)</f>
        <v>720596</v>
      </c>
      <c r="G28" s="312">
        <f>SUM(G27:G27)</f>
        <v>9194660</v>
      </c>
    </row>
    <row r="29" spans="1:7" ht="13.5" x14ac:dyDescent="0.2">
      <c r="A29" s="273"/>
      <c r="B29" s="266"/>
      <c r="C29" s="266"/>
      <c r="D29" s="266"/>
      <c r="E29" s="266"/>
      <c r="F29" s="266"/>
      <c r="G29" s="274"/>
    </row>
    <row r="30" spans="1:7" ht="38.25" x14ac:dyDescent="0.2">
      <c r="A30" s="275">
        <v>5</v>
      </c>
      <c r="B30" s="276" t="s">
        <v>292</v>
      </c>
      <c r="C30" s="277" t="s">
        <v>293</v>
      </c>
      <c r="D30" s="266"/>
      <c r="E30" s="266"/>
      <c r="F30" s="266"/>
      <c r="G30" s="274"/>
    </row>
    <row r="31" spans="1:7" ht="13.5" x14ac:dyDescent="0.2">
      <c r="A31" s="273"/>
      <c r="B31" s="278" t="s">
        <v>38</v>
      </c>
      <c r="C31" s="266"/>
      <c r="D31" s="266"/>
      <c r="E31" s="266"/>
      <c r="F31" s="266"/>
      <c r="G31" s="274"/>
    </row>
    <row r="32" spans="1:7" ht="13.5" x14ac:dyDescent="0.2">
      <c r="A32" s="273"/>
      <c r="B32" s="279" t="s">
        <v>286</v>
      </c>
      <c r="C32" s="280"/>
      <c r="D32" s="281">
        <v>12798978</v>
      </c>
      <c r="E32" s="281">
        <v>0</v>
      </c>
      <c r="F32" s="281">
        <v>3939282</v>
      </c>
      <c r="G32" s="281">
        <f>SUM(D32:F32)</f>
        <v>16738260</v>
      </c>
    </row>
    <row r="33" spans="1:7" ht="13.5" x14ac:dyDescent="0.25">
      <c r="A33" s="314"/>
      <c r="B33" s="310" t="s">
        <v>32</v>
      </c>
      <c r="C33" s="309"/>
      <c r="D33" s="312">
        <f>SUM(D32:D32)</f>
        <v>12798978</v>
      </c>
      <c r="E33" s="312">
        <f>SUM(E32:E32)</f>
        <v>0</v>
      </c>
      <c r="F33" s="312">
        <f>SUM(F32:F32)</f>
        <v>3939282</v>
      </c>
      <c r="G33" s="312">
        <f>SUM(G32:G32)</f>
        <v>16738260</v>
      </c>
    </row>
    <row r="34" spans="1:7" ht="13.5" x14ac:dyDescent="0.2">
      <c r="A34" s="273"/>
      <c r="B34" s="266"/>
      <c r="C34" s="266"/>
      <c r="D34" s="266"/>
      <c r="E34" s="266"/>
      <c r="F34" s="266"/>
      <c r="G34" s="274"/>
    </row>
    <row r="35" spans="1:7" ht="38.25" x14ac:dyDescent="0.2">
      <c r="A35" s="275">
        <v>6</v>
      </c>
      <c r="B35" s="276" t="s">
        <v>294</v>
      </c>
      <c r="C35" s="277" t="s">
        <v>295</v>
      </c>
      <c r="D35" s="266"/>
      <c r="E35" s="266"/>
      <c r="F35" s="266"/>
      <c r="G35" s="274"/>
    </row>
    <row r="36" spans="1:7" ht="13.5" x14ac:dyDescent="0.2">
      <c r="A36" s="273"/>
      <c r="B36" s="278" t="s">
        <v>38</v>
      </c>
      <c r="C36" s="266"/>
      <c r="D36" s="266"/>
      <c r="E36" s="266"/>
      <c r="F36" s="266"/>
      <c r="G36" s="274"/>
    </row>
    <row r="37" spans="1:7" ht="13.5" x14ac:dyDescent="0.2">
      <c r="A37" s="273"/>
      <c r="B37" s="279" t="s">
        <v>286</v>
      </c>
      <c r="C37" s="280"/>
      <c r="D37" s="281">
        <v>6255276</v>
      </c>
      <c r="E37" s="281">
        <v>0</v>
      </c>
      <c r="F37" s="281">
        <v>1587184</v>
      </c>
      <c r="G37" s="264">
        <f>SUM(D37:F37)</f>
        <v>7842460</v>
      </c>
    </row>
    <row r="38" spans="1:7" ht="13.5" x14ac:dyDescent="0.25">
      <c r="A38" s="314"/>
      <c r="B38" s="310" t="s">
        <v>32</v>
      </c>
      <c r="C38" s="309"/>
      <c r="D38" s="312">
        <f>SUM(D37:D37)</f>
        <v>6255276</v>
      </c>
      <c r="E38" s="312">
        <f>SUM(E37:E37)</f>
        <v>0</v>
      </c>
      <c r="F38" s="312">
        <f>SUM(F37:F37)</f>
        <v>1587184</v>
      </c>
      <c r="G38" s="312">
        <f>SUM(G37:G37)</f>
        <v>7842460</v>
      </c>
    </row>
    <row r="39" spans="1:7" ht="13.5" x14ac:dyDescent="0.2">
      <c r="A39" s="273"/>
      <c r="B39" s="266"/>
      <c r="C39" s="266"/>
      <c r="D39" s="266"/>
      <c r="E39" s="266"/>
      <c r="F39" s="266"/>
      <c r="G39" s="274"/>
    </row>
    <row r="40" spans="1:7" ht="25.5" x14ac:dyDescent="0.2">
      <c r="A40" s="275">
        <v>7</v>
      </c>
      <c r="B40" s="276" t="s">
        <v>305</v>
      </c>
      <c r="C40" s="277" t="s">
        <v>306</v>
      </c>
      <c r="D40" s="266"/>
      <c r="E40" s="266"/>
      <c r="F40" s="266"/>
      <c r="G40" s="274"/>
    </row>
    <row r="41" spans="1:7" ht="13.5" x14ac:dyDescent="0.2">
      <c r="A41" s="273"/>
      <c r="B41" s="278" t="s">
        <v>38</v>
      </c>
      <c r="C41" s="266"/>
      <c r="D41" s="266"/>
      <c r="E41" s="266"/>
      <c r="F41" s="266"/>
      <c r="G41" s="274"/>
    </row>
    <row r="42" spans="1:7" ht="13.5" x14ac:dyDescent="0.2">
      <c r="A42" s="273"/>
      <c r="B42" s="279" t="s">
        <v>286</v>
      </c>
      <c r="C42" s="280"/>
      <c r="D42" s="281">
        <v>21453020</v>
      </c>
      <c r="E42" s="281">
        <v>0</v>
      </c>
      <c r="F42" s="281">
        <v>0</v>
      </c>
      <c r="G42" s="281">
        <f>SUM(D42:F42)</f>
        <v>21453020</v>
      </c>
    </row>
    <row r="43" spans="1:7" ht="13.5" x14ac:dyDescent="0.25">
      <c r="A43" s="314"/>
      <c r="B43" s="310" t="s">
        <v>32</v>
      </c>
      <c r="C43" s="309"/>
      <c r="D43" s="312">
        <f>SUM(D42:D42)</f>
        <v>21453020</v>
      </c>
      <c r="E43" s="312">
        <f>SUM(E42:E42)</f>
        <v>0</v>
      </c>
      <c r="F43" s="312">
        <f>SUM(F42:F42)</f>
        <v>0</v>
      </c>
      <c r="G43" s="312">
        <f>SUM(G42:G42)</f>
        <v>21453020</v>
      </c>
    </row>
    <row r="44" spans="1:7" ht="13.5" x14ac:dyDescent="0.2">
      <c r="A44" s="273"/>
      <c r="B44" s="266"/>
      <c r="C44" s="266"/>
      <c r="D44" s="266"/>
      <c r="E44" s="266"/>
      <c r="F44" s="266"/>
      <c r="G44" s="274"/>
    </row>
    <row r="45" spans="1:7" ht="15.75" x14ac:dyDescent="0.25">
      <c r="A45" s="286"/>
      <c r="B45" s="641" t="s">
        <v>296</v>
      </c>
      <c r="C45" s="641"/>
      <c r="D45" s="287">
        <f>+D13+D18+D23+D28+D33+D43+D38</f>
        <v>266854366</v>
      </c>
      <c r="E45" s="287">
        <f t="shared" ref="E45:G45" si="0">+E13+E18+E23+E28+E33+E43+E38</f>
        <v>1779194</v>
      </c>
      <c r="F45" s="287">
        <f t="shared" si="0"/>
        <v>6247062</v>
      </c>
      <c r="G45" s="287">
        <f t="shared" si="0"/>
        <v>274880622</v>
      </c>
    </row>
    <row r="46" spans="1:7" x14ac:dyDescent="0.2">
      <c r="A46" s="265"/>
      <c r="B46" s="288"/>
      <c r="C46" s="265"/>
      <c r="D46" s="289"/>
      <c r="E46" s="263"/>
      <c r="F46" s="289"/>
      <c r="G46" s="264"/>
    </row>
    <row r="47" spans="1:7" ht="15.75" x14ac:dyDescent="0.25">
      <c r="A47" s="643" t="s">
        <v>220</v>
      </c>
      <c r="B47" s="643"/>
      <c r="C47" s="643"/>
      <c r="D47" s="643"/>
      <c r="E47" s="643"/>
      <c r="F47" s="643"/>
      <c r="G47" s="643"/>
    </row>
    <row r="48" spans="1:7" ht="13.5" x14ac:dyDescent="0.25">
      <c r="A48" s="644" t="s">
        <v>203</v>
      </c>
      <c r="B48" s="644"/>
      <c r="C48" s="644"/>
      <c r="D48" s="644"/>
      <c r="E48" s="644"/>
      <c r="F48" s="644"/>
      <c r="G48" s="644"/>
    </row>
    <row r="49" spans="1:7" ht="13.5" x14ac:dyDescent="0.25">
      <c r="A49" s="273" t="s">
        <v>281</v>
      </c>
      <c r="B49" s="301" t="s">
        <v>282</v>
      </c>
      <c r="C49" s="266" t="s">
        <v>283</v>
      </c>
      <c r="D49" s="266" t="s">
        <v>536</v>
      </c>
      <c r="E49" s="266" t="s">
        <v>204</v>
      </c>
      <c r="F49" s="266" t="s">
        <v>537</v>
      </c>
      <c r="G49" s="274" t="s">
        <v>164</v>
      </c>
    </row>
    <row r="50" spans="1:7" x14ac:dyDescent="0.2">
      <c r="A50" s="265"/>
      <c r="B50" s="290"/>
      <c r="C50" s="265"/>
      <c r="D50" s="291"/>
      <c r="E50" s="263"/>
      <c r="F50" s="291"/>
      <c r="G50" s="264"/>
    </row>
    <row r="51" spans="1:7" ht="25.5" x14ac:dyDescent="0.25">
      <c r="A51" s="275">
        <v>1</v>
      </c>
      <c r="B51" s="276" t="s">
        <v>284</v>
      </c>
      <c r="C51" s="277" t="s">
        <v>285</v>
      </c>
      <c r="D51" s="268"/>
      <c r="E51" s="269"/>
      <c r="F51" s="268"/>
      <c r="G51" s="269"/>
    </row>
    <row r="52" spans="1:7" x14ac:dyDescent="0.2">
      <c r="A52" s="265"/>
      <c r="B52" s="278" t="s">
        <v>38</v>
      </c>
      <c r="C52" s="265"/>
      <c r="D52" s="281"/>
      <c r="E52" s="264"/>
      <c r="F52" s="281"/>
      <c r="G52" s="264"/>
    </row>
    <row r="53" spans="1:7" x14ac:dyDescent="0.2">
      <c r="A53" s="265"/>
      <c r="B53" s="279" t="s">
        <v>297</v>
      </c>
      <c r="C53" s="280" t="s">
        <v>298</v>
      </c>
      <c r="D53" s="281">
        <v>120000</v>
      </c>
      <c r="E53" s="264">
        <v>285376</v>
      </c>
      <c r="F53" s="281">
        <v>0</v>
      </c>
      <c r="G53" s="264">
        <f>SUM(D53:F53)</f>
        <v>405376</v>
      </c>
    </row>
    <row r="54" spans="1:7" x14ac:dyDescent="0.2">
      <c r="A54" s="265"/>
      <c r="B54" s="279"/>
      <c r="C54" s="280" t="s">
        <v>299</v>
      </c>
      <c r="D54" s="281">
        <v>23760</v>
      </c>
      <c r="E54" s="281">
        <v>56504</v>
      </c>
      <c r="F54" s="281">
        <v>0</v>
      </c>
      <c r="G54" s="264">
        <f t="shared" ref="G54:G56" si="1">SUM(D54:F54)</f>
        <v>80264</v>
      </c>
    </row>
    <row r="55" spans="1:7" x14ac:dyDescent="0.2">
      <c r="A55" s="265"/>
      <c r="B55" s="279"/>
      <c r="C55" s="280" t="s">
        <v>300</v>
      </c>
      <c r="D55" s="281">
        <v>0</v>
      </c>
      <c r="E55" s="264">
        <f>43000+269999+1440000+1799998+2609991+180000</f>
        <v>6342988</v>
      </c>
      <c r="F55" s="281">
        <v>0</v>
      </c>
      <c r="G55" s="264">
        <f t="shared" si="1"/>
        <v>6342988</v>
      </c>
    </row>
    <row r="56" spans="1:7" x14ac:dyDescent="0.2">
      <c r="A56" s="265"/>
      <c r="B56" s="279"/>
      <c r="C56" s="280" t="s">
        <v>301</v>
      </c>
      <c r="D56" s="281">
        <v>2135108</v>
      </c>
      <c r="E56" s="264">
        <v>0</v>
      </c>
      <c r="F56" s="281">
        <v>0</v>
      </c>
      <c r="G56" s="264">
        <f t="shared" si="1"/>
        <v>2135108</v>
      </c>
    </row>
    <row r="57" spans="1:7" ht="13.5" x14ac:dyDescent="0.25">
      <c r="A57" s="282"/>
      <c r="B57" s="283" t="s">
        <v>32</v>
      </c>
      <c r="C57" s="284"/>
      <c r="D57" s="285">
        <f>SUM(D53:D56)</f>
        <v>2278868</v>
      </c>
      <c r="E57" s="285">
        <f>SUM(E53:E56)</f>
        <v>6684868</v>
      </c>
      <c r="F57" s="285">
        <f>SUM(F53:F56)</f>
        <v>0</v>
      </c>
      <c r="G57" s="285">
        <f>SUM(G53:G56)</f>
        <v>8963736</v>
      </c>
    </row>
    <row r="58" spans="1:7" ht="13.5" x14ac:dyDescent="0.25">
      <c r="A58" s="265"/>
      <c r="B58" s="302"/>
      <c r="C58" s="266"/>
      <c r="D58" s="268"/>
      <c r="E58" s="268"/>
      <c r="F58" s="268"/>
      <c r="G58" s="268"/>
    </row>
    <row r="59" spans="1:7" ht="25.5" x14ac:dyDescent="0.25">
      <c r="A59" s="275">
        <v>2</v>
      </c>
      <c r="B59" s="276" t="s">
        <v>287</v>
      </c>
      <c r="C59" s="277" t="s">
        <v>288</v>
      </c>
      <c r="D59" s="268"/>
      <c r="E59" s="269"/>
      <c r="F59" s="268"/>
      <c r="G59" s="269"/>
    </row>
    <row r="60" spans="1:7" x14ac:dyDescent="0.2">
      <c r="A60" s="265"/>
      <c r="B60" s="278" t="s">
        <v>38</v>
      </c>
      <c r="C60" s="265"/>
      <c r="D60" s="281"/>
      <c r="E60" s="264"/>
      <c r="F60" s="281"/>
      <c r="G60" s="264"/>
    </row>
    <row r="61" spans="1:7" x14ac:dyDescent="0.2">
      <c r="A61" s="265"/>
      <c r="B61" s="279" t="s">
        <v>297</v>
      </c>
      <c r="C61" s="280" t="s">
        <v>302</v>
      </c>
      <c r="D61" s="281">
        <v>0</v>
      </c>
      <c r="E61" s="264">
        <f>21545550+96103821+23262336</f>
        <v>140911707</v>
      </c>
      <c r="F61" s="281">
        <v>0</v>
      </c>
      <c r="G61" s="264">
        <f>SUM(E61:F61)</f>
        <v>140911707</v>
      </c>
    </row>
    <row r="62" spans="1:7" x14ac:dyDescent="0.2">
      <c r="A62" s="265"/>
      <c r="B62" s="279"/>
      <c r="C62" s="280" t="s">
        <v>300</v>
      </c>
      <c r="D62" s="281">
        <v>0</v>
      </c>
      <c r="E62" s="264">
        <f>1524000+319000+543000+127000</f>
        <v>2513000</v>
      </c>
      <c r="F62" s="281">
        <v>0</v>
      </c>
      <c r="G62" s="264">
        <f>SUM(E62:F62)</f>
        <v>2513000</v>
      </c>
    </row>
    <row r="63" spans="1:7" ht="13.5" x14ac:dyDescent="0.25">
      <c r="A63" s="282"/>
      <c r="B63" s="283" t="s">
        <v>32</v>
      </c>
      <c r="C63" s="284"/>
      <c r="D63" s="285">
        <f>SUM(D61:D62)</f>
        <v>0</v>
      </c>
      <c r="E63" s="285">
        <f>SUM(E61:E62)</f>
        <v>143424707</v>
      </c>
      <c r="F63" s="285">
        <f>SUM(F61:F62)</f>
        <v>0</v>
      </c>
      <c r="G63" s="285">
        <f>SUM(G61:G62)</f>
        <v>143424707</v>
      </c>
    </row>
    <row r="64" spans="1:7" ht="13.5" x14ac:dyDescent="0.25">
      <c r="A64" s="265"/>
      <c r="B64" s="302"/>
      <c r="C64" s="266"/>
      <c r="D64" s="268"/>
      <c r="E64" s="268"/>
      <c r="F64" s="268"/>
      <c r="G64" s="268"/>
    </row>
    <row r="65" spans="1:7" ht="25.5" x14ac:dyDescent="0.25">
      <c r="A65" s="275">
        <v>3</v>
      </c>
      <c r="B65" s="276" t="s">
        <v>289</v>
      </c>
      <c r="C65" s="277" t="s">
        <v>538</v>
      </c>
      <c r="D65" s="268"/>
      <c r="E65" s="269"/>
      <c r="F65" s="268"/>
      <c r="G65" s="269"/>
    </row>
    <row r="66" spans="1:7" x14ac:dyDescent="0.2">
      <c r="A66" s="265"/>
      <c r="B66" s="278" t="s">
        <v>38</v>
      </c>
      <c r="C66" s="265"/>
      <c r="D66" s="281"/>
      <c r="E66" s="264"/>
      <c r="F66" s="281"/>
      <c r="G66" s="264"/>
    </row>
    <row r="67" spans="1:7" x14ac:dyDescent="0.2">
      <c r="A67" s="265"/>
      <c r="B67" s="279" t="s">
        <v>297</v>
      </c>
      <c r="C67" s="280" t="s">
        <v>302</v>
      </c>
      <c r="D67" s="281">
        <v>0</v>
      </c>
      <c r="E67" s="264">
        <v>66226779</v>
      </c>
      <c r="F67" s="281">
        <v>0</v>
      </c>
      <c r="G67" s="264">
        <f>SUM(E67:E67)</f>
        <v>66226779</v>
      </c>
    </row>
    <row r="68" spans="1:7" x14ac:dyDescent="0.2">
      <c r="A68" s="265"/>
      <c r="B68" s="279"/>
      <c r="C68" s="280" t="s">
        <v>300</v>
      </c>
      <c r="D68" s="281">
        <v>0</v>
      </c>
      <c r="E68" s="264">
        <f>210000+127000+700000</f>
        <v>1037000</v>
      </c>
      <c r="F68" s="281">
        <v>0</v>
      </c>
      <c r="G68" s="264">
        <f>SUM(E68:E68)</f>
        <v>1037000</v>
      </c>
    </row>
    <row r="69" spans="1:7" ht="13.5" x14ac:dyDescent="0.25">
      <c r="A69" s="282"/>
      <c r="B69" s="283" t="s">
        <v>32</v>
      </c>
      <c r="C69" s="284"/>
      <c r="D69" s="285">
        <f>SUM(D67:D68)</f>
        <v>0</v>
      </c>
      <c r="E69" s="285">
        <f>SUM(E67:E68)</f>
        <v>67263779</v>
      </c>
      <c r="F69" s="285">
        <f>SUM(F67:F68)</f>
        <v>0</v>
      </c>
      <c r="G69" s="285">
        <f>SUM(G67:G68)</f>
        <v>67263779</v>
      </c>
    </row>
    <row r="70" spans="1:7" ht="13.5" x14ac:dyDescent="0.25">
      <c r="A70" s="265"/>
      <c r="B70" s="302"/>
      <c r="C70" s="266"/>
      <c r="D70" s="268"/>
      <c r="E70" s="268"/>
      <c r="F70" s="268"/>
      <c r="G70" s="268"/>
    </row>
    <row r="71" spans="1:7" ht="38.25" x14ac:dyDescent="0.25">
      <c r="A71" s="275">
        <v>4</v>
      </c>
      <c r="B71" s="276" t="s">
        <v>290</v>
      </c>
      <c r="C71" s="277" t="s">
        <v>291</v>
      </c>
      <c r="D71" s="268"/>
      <c r="E71" s="269"/>
      <c r="F71" s="268"/>
      <c r="G71" s="269"/>
    </row>
    <row r="72" spans="1:7" x14ac:dyDescent="0.2">
      <c r="A72" s="265"/>
      <c r="B72" s="278" t="s">
        <v>38</v>
      </c>
      <c r="C72" s="265"/>
      <c r="D72" s="281"/>
      <c r="E72" s="264"/>
      <c r="F72" s="281"/>
      <c r="G72" s="264"/>
    </row>
    <row r="73" spans="1:7" x14ac:dyDescent="0.2">
      <c r="A73" s="265"/>
      <c r="B73" s="279" t="s">
        <v>297</v>
      </c>
      <c r="C73" s="280" t="s">
        <v>298</v>
      </c>
      <c r="D73" s="281">
        <v>0</v>
      </c>
      <c r="E73" s="264">
        <v>1399956</v>
      </c>
      <c r="F73" s="281">
        <v>1599956</v>
      </c>
      <c r="G73" s="264">
        <f>SUM(D73:F73)</f>
        <v>2999912</v>
      </c>
    </row>
    <row r="74" spans="1:7" x14ac:dyDescent="0.2">
      <c r="A74" s="265"/>
      <c r="B74" s="279"/>
      <c r="C74" s="280" t="s">
        <v>299</v>
      </c>
      <c r="D74" s="281">
        <v>0</v>
      </c>
      <c r="E74" s="264">
        <v>378044</v>
      </c>
      <c r="F74" s="281">
        <v>432044</v>
      </c>
      <c r="G74" s="264">
        <f t="shared" ref="G74:G77" si="2">SUM(D74:F74)</f>
        <v>810088</v>
      </c>
    </row>
    <row r="75" spans="1:7" x14ac:dyDescent="0.2">
      <c r="A75" s="265"/>
      <c r="B75" s="279"/>
      <c r="C75" s="280" t="s">
        <v>300</v>
      </c>
      <c r="D75" s="281">
        <v>0</v>
      </c>
      <c r="E75" s="264">
        <v>1511330</v>
      </c>
      <c r="F75" s="281">
        <v>1638330</v>
      </c>
      <c r="G75" s="264">
        <f t="shared" si="2"/>
        <v>3149660</v>
      </c>
    </row>
    <row r="76" spans="1:7" x14ac:dyDescent="0.2">
      <c r="A76" s="265"/>
      <c r="B76" s="279"/>
      <c r="C76" s="280" t="s">
        <v>301</v>
      </c>
      <c r="D76" s="281">
        <v>0</v>
      </c>
      <c r="E76" s="264">
        <v>800000</v>
      </c>
      <c r="F76" s="281">
        <v>800000</v>
      </c>
      <c r="G76" s="264">
        <f t="shared" si="2"/>
        <v>1600000</v>
      </c>
    </row>
    <row r="77" spans="1:7" s="308" customFormat="1" x14ac:dyDescent="0.2">
      <c r="A77" s="265"/>
      <c r="B77" s="315"/>
      <c r="C77" s="280" t="s">
        <v>303</v>
      </c>
      <c r="D77" s="281">
        <v>0</v>
      </c>
      <c r="E77" s="264">
        <v>0</v>
      </c>
      <c r="F77" s="281">
        <v>635000</v>
      </c>
      <c r="G77" s="264">
        <f t="shared" si="2"/>
        <v>635000</v>
      </c>
    </row>
    <row r="78" spans="1:7" s="313" customFormat="1" ht="13.5" x14ac:dyDescent="0.25">
      <c r="A78" s="309"/>
      <c r="B78" s="310" t="s">
        <v>32</v>
      </c>
      <c r="C78" s="311"/>
      <c r="D78" s="312">
        <f>SUM(D73:D77)</f>
        <v>0</v>
      </c>
      <c r="E78" s="312">
        <f>SUM(E73:E77)</f>
        <v>4089330</v>
      </c>
      <c r="F78" s="312">
        <f>SUM(F73:F77)</f>
        <v>5105330</v>
      </c>
      <c r="G78" s="312">
        <f>SUM(G73:G77)</f>
        <v>9194660</v>
      </c>
    </row>
    <row r="79" spans="1:7" ht="13.5" x14ac:dyDescent="0.25">
      <c r="A79" s="265"/>
      <c r="B79" s="302"/>
      <c r="C79" s="266"/>
      <c r="D79" s="268"/>
      <c r="E79" s="268"/>
      <c r="F79" s="268"/>
      <c r="G79" s="268"/>
    </row>
    <row r="80" spans="1:7" ht="38.25" x14ac:dyDescent="0.25">
      <c r="A80" s="275">
        <v>5</v>
      </c>
      <c r="B80" s="276" t="s">
        <v>292</v>
      </c>
      <c r="C80" s="277" t="s">
        <v>293</v>
      </c>
      <c r="D80" s="268"/>
      <c r="E80" s="269"/>
      <c r="F80" s="268"/>
      <c r="G80" s="269"/>
    </row>
    <row r="81" spans="1:7" x14ac:dyDescent="0.2">
      <c r="A81" s="265"/>
      <c r="B81" s="278" t="s">
        <v>38</v>
      </c>
      <c r="C81" s="265"/>
      <c r="D81" s="281"/>
      <c r="E81" s="264"/>
      <c r="F81" s="281"/>
      <c r="G81" s="264"/>
    </row>
    <row r="82" spans="1:7" x14ac:dyDescent="0.2">
      <c r="A82" s="265"/>
      <c r="B82" s="279" t="s">
        <v>297</v>
      </c>
      <c r="C82" s="280" t="s">
        <v>298</v>
      </c>
      <c r="D82" s="281">
        <v>0</v>
      </c>
      <c r="E82" s="264">
        <v>1325114</v>
      </c>
      <c r="F82" s="281">
        <v>1325114</v>
      </c>
      <c r="G82" s="264">
        <f>SUM(D82:F82)</f>
        <v>2650228</v>
      </c>
    </row>
    <row r="83" spans="1:7" x14ac:dyDescent="0.2">
      <c r="A83" s="265"/>
      <c r="B83" s="279"/>
      <c r="C83" s="280" t="s">
        <v>299</v>
      </c>
      <c r="D83" s="281">
        <v>0</v>
      </c>
      <c r="E83" s="264">
        <v>357886</v>
      </c>
      <c r="F83" s="281">
        <v>357886</v>
      </c>
      <c r="G83" s="264">
        <f t="shared" ref="G83:G85" si="3">SUM(D83:F83)</f>
        <v>715772</v>
      </c>
    </row>
    <row r="84" spans="1:7" x14ac:dyDescent="0.2">
      <c r="A84" s="265"/>
      <c r="B84" s="279"/>
      <c r="C84" s="280" t="s">
        <v>300</v>
      </c>
      <c r="D84" s="281">
        <v>0</v>
      </c>
      <c r="E84" s="264">
        <v>3781130</v>
      </c>
      <c r="F84" s="281">
        <v>5781130</v>
      </c>
      <c r="G84" s="264">
        <f t="shared" si="3"/>
        <v>9562260</v>
      </c>
    </row>
    <row r="85" spans="1:7" x14ac:dyDescent="0.2">
      <c r="A85" s="265"/>
      <c r="B85" s="279"/>
      <c r="C85" s="280" t="s">
        <v>303</v>
      </c>
      <c r="D85" s="281">
        <v>0</v>
      </c>
      <c r="E85" s="264">
        <v>0</v>
      </c>
      <c r="F85" s="281">
        <v>3810000</v>
      </c>
      <c r="G85" s="264">
        <f t="shared" si="3"/>
        <v>3810000</v>
      </c>
    </row>
    <row r="86" spans="1:7" ht="13.5" x14ac:dyDescent="0.25">
      <c r="A86" s="314"/>
      <c r="B86" s="310" t="s">
        <v>32</v>
      </c>
      <c r="C86" s="309"/>
      <c r="D86" s="312">
        <f>SUM(D82:D85)</f>
        <v>0</v>
      </c>
      <c r="E86" s="312">
        <f>SUM(E82:E85)</f>
        <v>5464130</v>
      </c>
      <c r="F86" s="312">
        <f>SUM(F82:F85)</f>
        <v>11274130</v>
      </c>
      <c r="G86" s="312">
        <f>SUM(G82:G85)</f>
        <v>16738260</v>
      </c>
    </row>
    <row r="87" spans="1:7" ht="13.5" x14ac:dyDescent="0.25">
      <c r="A87" s="265"/>
      <c r="B87" s="302"/>
      <c r="C87" s="266"/>
      <c r="D87" s="268"/>
      <c r="E87" s="268"/>
      <c r="F87" s="268"/>
      <c r="G87" s="268"/>
    </row>
    <row r="88" spans="1:7" ht="38.25" x14ac:dyDescent="0.25">
      <c r="A88" s="275">
        <v>6</v>
      </c>
      <c r="B88" s="276" t="s">
        <v>294</v>
      </c>
      <c r="C88" s="277" t="s">
        <v>295</v>
      </c>
      <c r="D88" s="268"/>
      <c r="E88" s="269"/>
      <c r="F88" s="268"/>
      <c r="G88" s="269"/>
    </row>
    <row r="89" spans="1:7" x14ac:dyDescent="0.2">
      <c r="A89" s="265"/>
      <c r="B89" s="278" t="s">
        <v>38</v>
      </c>
      <c r="C89" s="265"/>
      <c r="D89" s="281"/>
      <c r="E89" s="264"/>
      <c r="F89" s="281"/>
      <c r="G89" s="264"/>
    </row>
    <row r="90" spans="1:7" x14ac:dyDescent="0.2">
      <c r="A90" s="265"/>
      <c r="B90" s="279" t="s">
        <v>297</v>
      </c>
      <c r="C90" s="280" t="s">
        <v>298</v>
      </c>
      <c r="D90" s="281">
        <v>0</v>
      </c>
      <c r="E90" s="264">
        <v>1192834</v>
      </c>
      <c r="F90" s="281">
        <v>1192834</v>
      </c>
      <c r="G90" s="264">
        <f>SUM(D90:F90)</f>
        <v>2385668</v>
      </c>
    </row>
    <row r="91" spans="1:7" x14ac:dyDescent="0.2">
      <c r="A91" s="265"/>
      <c r="B91" s="279"/>
      <c r="C91" s="280" t="s">
        <v>299</v>
      </c>
      <c r="D91" s="281">
        <v>0</v>
      </c>
      <c r="E91" s="264">
        <v>322166</v>
      </c>
      <c r="F91" s="281">
        <v>322166</v>
      </c>
      <c r="G91" s="264">
        <f t="shared" ref="G91:G93" si="4">SUM(D91:F91)</f>
        <v>644332</v>
      </c>
    </row>
    <row r="92" spans="1:7" x14ac:dyDescent="0.2">
      <c r="A92" s="265"/>
      <c r="B92" s="279"/>
      <c r="C92" s="280" t="s">
        <v>300</v>
      </c>
      <c r="D92" s="281">
        <v>0</v>
      </c>
      <c r="E92" s="264">
        <v>1644230</v>
      </c>
      <c r="F92" s="281">
        <v>1644230</v>
      </c>
      <c r="G92" s="264">
        <f t="shared" si="4"/>
        <v>3288460</v>
      </c>
    </row>
    <row r="93" spans="1:7" x14ac:dyDescent="0.2">
      <c r="A93" s="265"/>
      <c r="B93" s="279"/>
      <c r="C93" s="280" t="s">
        <v>303</v>
      </c>
      <c r="D93" s="281">
        <v>0</v>
      </c>
      <c r="E93" s="264">
        <v>0</v>
      </c>
      <c r="F93" s="281">
        <v>1524000</v>
      </c>
      <c r="G93" s="264">
        <f t="shared" si="4"/>
        <v>1524000</v>
      </c>
    </row>
    <row r="94" spans="1:7" ht="13.5" x14ac:dyDescent="0.25">
      <c r="A94" s="314"/>
      <c r="B94" s="310" t="s">
        <v>32</v>
      </c>
      <c r="C94" s="309"/>
      <c r="D94" s="312">
        <f>SUM(D90:D93)</f>
        <v>0</v>
      </c>
      <c r="E94" s="312">
        <f>SUM(E90:E93)</f>
        <v>3159230</v>
      </c>
      <c r="F94" s="312">
        <f>SUM(F90:F93)</f>
        <v>4683230</v>
      </c>
      <c r="G94" s="312">
        <f>SUM(G90:G93)</f>
        <v>7842460</v>
      </c>
    </row>
    <row r="95" spans="1:7" ht="13.5" x14ac:dyDescent="0.25">
      <c r="A95" s="265"/>
      <c r="B95" s="302"/>
      <c r="C95" s="266"/>
      <c r="D95" s="268"/>
      <c r="E95" s="268"/>
      <c r="F95" s="268"/>
      <c r="G95" s="268"/>
    </row>
    <row r="96" spans="1:7" ht="25.5" x14ac:dyDescent="0.25">
      <c r="A96" s="275">
        <v>7</v>
      </c>
      <c r="B96" s="276" t="s">
        <v>305</v>
      </c>
      <c r="C96" s="277" t="s">
        <v>306</v>
      </c>
      <c r="D96" s="268"/>
      <c r="E96" s="269"/>
      <c r="F96" s="268"/>
      <c r="G96" s="269"/>
    </row>
    <row r="97" spans="1:7" x14ac:dyDescent="0.2">
      <c r="A97" s="265"/>
      <c r="B97" s="278" t="s">
        <v>38</v>
      </c>
      <c r="C97" s="265"/>
      <c r="D97" s="281"/>
      <c r="E97" s="264"/>
      <c r="F97" s="281"/>
      <c r="G97" s="264"/>
    </row>
    <row r="98" spans="1:7" x14ac:dyDescent="0.2">
      <c r="A98" s="265"/>
      <c r="B98" s="279" t="s">
        <v>297</v>
      </c>
      <c r="C98" s="280" t="s">
        <v>300</v>
      </c>
      <c r="D98" s="281">
        <v>14342895</v>
      </c>
      <c r="E98" s="264">
        <v>4679563</v>
      </c>
      <c r="F98" s="281">
        <v>2430562</v>
      </c>
      <c r="G98" s="264">
        <f>SUM(D98:F98)</f>
        <v>21453020</v>
      </c>
    </row>
    <row r="99" spans="1:7" ht="13.5" x14ac:dyDescent="0.25">
      <c r="A99" s="282"/>
      <c r="B99" s="283" t="s">
        <v>32</v>
      </c>
      <c r="C99" s="284"/>
      <c r="D99" s="285">
        <f>SUM(D98:D98)</f>
        <v>14342895</v>
      </c>
      <c r="E99" s="285">
        <f>SUM(E98:E98)</f>
        <v>4679563</v>
      </c>
      <c r="F99" s="285">
        <f>SUM(F98:F98)</f>
        <v>2430562</v>
      </c>
      <c r="G99" s="285">
        <f>SUM(G98:G98)</f>
        <v>21453020</v>
      </c>
    </row>
    <row r="100" spans="1:7" ht="13.5" x14ac:dyDescent="0.25">
      <c r="A100" s="265"/>
      <c r="B100" s="302"/>
      <c r="C100" s="266"/>
      <c r="D100" s="268"/>
      <c r="E100" s="268"/>
      <c r="F100" s="268"/>
      <c r="G100" s="268"/>
    </row>
    <row r="101" spans="1:7" ht="15.75" x14ac:dyDescent="0.25">
      <c r="A101" s="641" t="s">
        <v>233</v>
      </c>
      <c r="B101" s="641"/>
      <c r="C101" s="641"/>
      <c r="D101" s="287">
        <f>+D57+D63+D69+D94+D99+D78+D86</f>
        <v>16621763</v>
      </c>
      <c r="E101" s="287">
        <f t="shared" ref="E101:G101" si="5">+E57+E63+E69+E94+E99+E78+E86</f>
        <v>234765607</v>
      </c>
      <c r="F101" s="287">
        <f t="shared" si="5"/>
        <v>23493252</v>
      </c>
      <c r="G101" s="287">
        <f t="shared" si="5"/>
        <v>274880622</v>
      </c>
    </row>
    <row r="102" spans="1:7" x14ac:dyDescent="0.2">
      <c r="A102" s="261"/>
      <c r="B102" s="263"/>
      <c r="C102" s="261"/>
      <c r="D102" s="264"/>
      <c r="E102" s="263"/>
      <c r="F102" s="264"/>
      <c r="G102" s="264"/>
    </row>
    <row r="103" spans="1:7" x14ac:dyDescent="0.2">
      <c r="A103" s="261"/>
      <c r="B103" s="263"/>
      <c r="C103" s="261"/>
      <c r="D103" s="264"/>
      <c r="E103" s="263"/>
      <c r="F103" s="264"/>
      <c r="G103" s="264"/>
    </row>
    <row r="104" spans="1:7" x14ac:dyDescent="0.2">
      <c r="A104" s="261"/>
      <c r="B104" s="263"/>
      <c r="C104" s="261"/>
      <c r="D104" s="264"/>
      <c r="E104" s="263"/>
      <c r="F104" s="264"/>
      <c r="G104" s="264"/>
    </row>
  </sheetData>
  <mergeCells count="7">
    <mergeCell ref="A1:G1"/>
    <mergeCell ref="A101:C101"/>
    <mergeCell ref="A3:G3"/>
    <mergeCell ref="A6:G6"/>
    <mergeCell ref="B45:C45"/>
    <mergeCell ref="A47:G47"/>
    <mergeCell ref="A48:G48"/>
  </mergeCells>
  <pageMargins left="0.7" right="0.7" top="0.75" bottom="0.75" header="0.3" footer="0.3"/>
  <pageSetup paperSize="9" scale="98" fitToHeight="0" orientation="landscape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5"/>
  <sheetViews>
    <sheetView view="pageBreakPreview" zoomScale="85" zoomScaleNormal="80" zoomScaleSheetLayoutView="85" workbookViewId="0">
      <selection activeCell="A2" sqref="A2"/>
    </sheetView>
  </sheetViews>
  <sheetFormatPr defaultRowHeight="16.5" x14ac:dyDescent="0.25"/>
  <cols>
    <col min="1" max="1" width="5.85546875" style="58" customWidth="1"/>
    <col min="2" max="2" width="7.7109375" style="31" customWidth="1"/>
    <col min="3" max="3" width="65.42578125" style="31" customWidth="1"/>
    <col min="4" max="4" width="10" style="10" customWidth="1"/>
    <col min="5" max="5" width="11.42578125" style="10" customWidth="1"/>
    <col min="6" max="6" width="9.140625" style="10"/>
    <col min="7" max="7" width="10.7109375" style="10" bestFit="1" customWidth="1"/>
    <col min="8" max="16384" width="9.140625" style="9"/>
  </cols>
  <sheetData>
    <row r="1" spans="1:8" s="12" customFormat="1" x14ac:dyDescent="0.25">
      <c r="A1" s="577" t="s">
        <v>1019</v>
      </c>
      <c r="B1" s="577"/>
      <c r="C1" s="577"/>
      <c r="D1" s="577"/>
      <c r="E1" s="577"/>
      <c r="F1" s="577"/>
      <c r="G1" s="578"/>
    </row>
    <row r="2" spans="1:8" s="12" customFormat="1" x14ac:dyDescent="0.25">
      <c r="A2" s="210"/>
      <c r="B2" s="234"/>
      <c r="C2" s="234"/>
      <c r="D2" s="234"/>
      <c r="E2" s="234"/>
      <c r="F2" s="234"/>
      <c r="G2" s="234"/>
    </row>
    <row r="3" spans="1:8" s="10" customFormat="1" x14ac:dyDescent="0.25">
      <c r="A3" s="211"/>
      <c r="B3" s="211"/>
      <c r="C3" s="211" t="s">
        <v>38</v>
      </c>
      <c r="D3" s="209"/>
      <c r="E3" s="209"/>
      <c r="F3" s="209"/>
      <c r="G3" s="209"/>
    </row>
    <row r="4" spans="1:8" s="10" customFormat="1" ht="17.25" thickBot="1" x14ac:dyDescent="0.3">
      <c r="A4" s="235"/>
      <c r="B4" s="235"/>
      <c r="C4" s="235" t="s">
        <v>497</v>
      </c>
      <c r="D4" s="213"/>
      <c r="E4" s="213"/>
      <c r="F4" s="213"/>
      <c r="G4" s="213"/>
    </row>
    <row r="5" spans="1:8" s="10" customFormat="1" ht="33.75" customHeight="1" thickBot="1" x14ac:dyDescent="0.3">
      <c r="A5" s="236"/>
      <c r="B5" s="237"/>
      <c r="C5" s="238"/>
      <c r="D5" s="571" t="s">
        <v>156</v>
      </c>
      <c r="E5" s="572"/>
      <c r="F5" s="572"/>
      <c r="G5" s="573"/>
      <c r="H5" s="7"/>
    </row>
    <row r="6" spans="1:8" s="49" customFormat="1" ht="45.75" thickBot="1" x14ac:dyDescent="0.3">
      <c r="A6" s="239"/>
      <c r="B6" s="240"/>
      <c r="C6" s="241"/>
      <c r="D6" s="218" t="s">
        <v>31</v>
      </c>
      <c r="E6" s="219" t="s">
        <v>51</v>
      </c>
      <c r="F6" s="220" t="s">
        <v>52</v>
      </c>
      <c r="G6" s="221" t="s">
        <v>53</v>
      </c>
      <c r="H6" s="303"/>
    </row>
    <row r="7" spans="1:8" s="10" customFormat="1" x14ac:dyDescent="0.25">
      <c r="A7" s="242" t="s">
        <v>9</v>
      </c>
      <c r="B7" s="243" t="s">
        <v>10</v>
      </c>
      <c r="C7" s="244" t="s">
        <v>11</v>
      </c>
      <c r="D7" s="222"/>
      <c r="E7" s="245"/>
      <c r="F7" s="245"/>
      <c r="G7" s="246"/>
      <c r="H7" s="7"/>
    </row>
    <row r="8" spans="1:8" s="10" customFormat="1" x14ac:dyDescent="0.25">
      <c r="A8" s="228"/>
      <c r="B8" s="247"/>
      <c r="C8" s="66"/>
      <c r="D8" s="79"/>
      <c r="E8" s="33"/>
      <c r="F8" s="33"/>
      <c r="G8" s="99"/>
      <c r="H8" s="7"/>
    </row>
    <row r="9" spans="1:8" s="10" customFormat="1" x14ac:dyDescent="0.25">
      <c r="A9" s="228">
        <v>101</v>
      </c>
      <c r="B9" s="247"/>
      <c r="C9" s="293" t="s">
        <v>513</v>
      </c>
      <c r="D9" s="226"/>
      <c r="E9" s="33"/>
      <c r="F9" s="33"/>
      <c r="G9" s="99"/>
      <c r="H9" s="7"/>
    </row>
    <row r="10" spans="1:8" s="10" customFormat="1" x14ac:dyDescent="0.25">
      <c r="A10" s="248"/>
      <c r="B10" s="42" t="s">
        <v>12</v>
      </c>
      <c r="C10" s="65" t="s">
        <v>28</v>
      </c>
      <c r="D10" s="85">
        <v>211000</v>
      </c>
      <c r="E10" s="30">
        <v>211000</v>
      </c>
      <c r="F10" s="30"/>
      <c r="G10" s="100"/>
      <c r="H10" s="7"/>
    </row>
    <row r="11" spans="1:8" s="10" customFormat="1" x14ac:dyDescent="0.25">
      <c r="A11" s="248"/>
      <c r="B11" s="42" t="s">
        <v>17</v>
      </c>
      <c r="C11" s="65" t="s">
        <v>65</v>
      </c>
      <c r="D11" s="85">
        <v>40900</v>
      </c>
      <c r="E11" s="30">
        <v>40900</v>
      </c>
      <c r="F11" s="30"/>
      <c r="G11" s="100"/>
      <c r="H11" s="7"/>
    </row>
    <row r="12" spans="1:8" s="10" customFormat="1" x14ac:dyDescent="0.25">
      <c r="A12" s="248"/>
      <c r="B12" s="42" t="s">
        <v>18</v>
      </c>
      <c r="C12" s="65" t="s">
        <v>33</v>
      </c>
      <c r="D12" s="85">
        <v>26000</v>
      </c>
      <c r="E12" s="30">
        <v>26000</v>
      </c>
      <c r="F12" s="30"/>
      <c r="G12" s="100"/>
      <c r="H12" s="7"/>
    </row>
    <row r="13" spans="1:8" s="10" customFormat="1" x14ac:dyDescent="0.25">
      <c r="A13" s="248"/>
      <c r="B13" s="42" t="s">
        <v>25</v>
      </c>
      <c r="C13" s="65" t="s">
        <v>60</v>
      </c>
      <c r="D13" s="85"/>
      <c r="E13" s="30"/>
      <c r="F13" s="30"/>
      <c r="G13" s="100"/>
      <c r="H13" s="7"/>
    </row>
    <row r="14" spans="1:8" s="10" customFormat="1" x14ac:dyDescent="0.25">
      <c r="A14" s="248"/>
      <c r="B14" s="42"/>
      <c r="C14" s="65" t="s">
        <v>516</v>
      </c>
      <c r="D14" s="85">
        <v>1000</v>
      </c>
      <c r="E14" s="30">
        <v>1000</v>
      </c>
      <c r="F14" s="30"/>
      <c r="G14" s="100"/>
      <c r="H14" s="7"/>
    </row>
    <row r="15" spans="1:8" s="22" customFormat="1" x14ac:dyDescent="0.25">
      <c r="A15" s="249"/>
      <c r="B15" s="250"/>
      <c r="C15" s="251" t="s">
        <v>62</v>
      </c>
      <c r="D15" s="87">
        <f t="shared" ref="D15:G15" si="0">SUM(D14:D14)</f>
        <v>1000</v>
      </c>
      <c r="E15" s="40">
        <f t="shared" si="0"/>
        <v>1000</v>
      </c>
      <c r="F15" s="40">
        <f t="shared" si="0"/>
        <v>0</v>
      </c>
      <c r="G15" s="101">
        <f t="shared" si="0"/>
        <v>0</v>
      </c>
      <c r="H15" s="299"/>
    </row>
    <row r="16" spans="1:8" s="22" customFormat="1" x14ac:dyDescent="0.25">
      <c r="A16" s="249"/>
      <c r="B16" s="42" t="s">
        <v>27</v>
      </c>
      <c r="C16" s="65" t="s">
        <v>26</v>
      </c>
      <c r="D16" s="87"/>
      <c r="E16" s="40"/>
      <c r="F16" s="40"/>
      <c r="G16" s="104"/>
      <c r="H16" s="299"/>
    </row>
    <row r="17" spans="1:8" s="22" customFormat="1" x14ac:dyDescent="0.25">
      <c r="A17" s="249"/>
      <c r="B17" s="42"/>
      <c r="C17" s="65" t="s">
        <v>470</v>
      </c>
      <c r="D17" s="85">
        <v>1000</v>
      </c>
      <c r="E17" s="30">
        <v>1000</v>
      </c>
      <c r="F17" s="40"/>
      <c r="G17" s="104"/>
      <c r="H17" s="299"/>
    </row>
    <row r="18" spans="1:8" s="22" customFormat="1" x14ac:dyDescent="0.25">
      <c r="A18" s="249"/>
      <c r="B18" s="42"/>
      <c r="C18" s="251" t="s">
        <v>275</v>
      </c>
      <c r="D18" s="87">
        <f>SUM(D17)</f>
        <v>1000</v>
      </c>
      <c r="E18" s="40">
        <f>SUM(E17)</f>
        <v>1000</v>
      </c>
      <c r="F18" s="40"/>
      <c r="G18" s="104"/>
      <c r="H18" s="299"/>
    </row>
    <row r="19" spans="1:8" s="10" customFormat="1" x14ac:dyDescent="0.25">
      <c r="A19" s="248"/>
      <c r="B19" s="42"/>
      <c r="C19" s="66" t="s">
        <v>14</v>
      </c>
      <c r="D19" s="88">
        <f>D10+D11+D12+D15+D18</f>
        <v>279900</v>
      </c>
      <c r="E19" s="50">
        <f t="shared" ref="E19:G19" si="1">E10+E11+E12+E15+E18</f>
        <v>279900</v>
      </c>
      <c r="F19" s="50">
        <f t="shared" si="1"/>
        <v>0</v>
      </c>
      <c r="G19" s="102">
        <f t="shared" si="1"/>
        <v>0</v>
      </c>
      <c r="H19" s="7"/>
    </row>
    <row r="20" spans="1:8" s="10" customFormat="1" x14ac:dyDescent="0.25">
      <c r="A20" s="248"/>
      <c r="B20" s="42"/>
      <c r="C20" s="65"/>
      <c r="D20" s="65"/>
      <c r="E20" s="31"/>
      <c r="F20" s="31"/>
      <c r="G20" s="32"/>
      <c r="H20" s="7"/>
    </row>
    <row r="21" spans="1:8" s="10" customFormat="1" x14ac:dyDescent="0.25">
      <c r="A21" s="228">
        <v>102</v>
      </c>
      <c r="B21" s="247"/>
      <c r="C21" s="66" t="s">
        <v>55</v>
      </c>
      <c r="D21" s="27"/>
      <c r="E21" s="34"/>
      <c r="F21" s="34"/>
      <c r="G21" s="103"/>
      <c r="H21" s="7"/>
    </row>
    <row r="22" spans="1:8" s="10" customFormat="1" x14ac:dyDescent="0.25">
      <c r="A22" s="248"/>
      <c r="B22" s="42" t="s">
        <v>12</v>
      </c>
      <c r="C22" s="65" t="s">
        <v>28</v>
      </c>
      <c r="D22" s="85">
        <v>143000</v>
      </c>
      <c r="E22" s="30">
        <v>143000</v>
      </c>
      <c r="F22" s="30"/>
      <c r="G22" s="100"/>
      <c r="H22" s="7"/>
    </row>
    <row r="23" spans="1:8" s="10" customFormat="1" x14ac:dyDescent="0.25">
      <c r="A23" s="248"/>
      <c r="B23" s="42" t="s">
        <v>17</v>
      </c>
      <c r="C23" s="65" t="s">
        <v>65</v>
      </c>
      <c r="D23" s="85">
        <v>27000</v>
      </c>
      <c r="E23" s="30">
        <v>27000</v>
      </c>
      <c r="F23" s="30"/>
      <c r="G23" s="100"/>
      <c r="H23" s="7"/>
    </row>
    <row r="24" spans="1:8" s="10" customFormat="1" x14ac:dyDescent="0.25">
      <c r="A24" s="248"/>
      <c r="B24" s="42" t="s">
        <v>18</v>
      </c>
      <c r="C24" s="65" t="s">
        <v>33</v>
      </c>
      <c r="D24" s="85">
        <v>160000</v>
      </c>
      <c r="E24" s="30">
        <v>160000</v>
      </c>
      <c r="F24" s="30"/>
      <c r="G24" s="100"/>
      <c r="H24" s="7"/>
    </row>
    <row r="25" spans="1:8" s="10" customFormat="1" x14ac:dyDescent="0.25">
      <c r="A25" s="248"/>
      <c r="B25" s="42" t="s">
        <v>25</v>
      </c>
      <c r="C25" s="65" t="s">
        <v>60</v>
      </c>
      <c r="D25" s="85"/>
      <c r="E25" s="30"/>
      <c r="F25" s="30"/>
      <c r="G25" s="100"/>
      <c r="H25" s="7"/>
    </row>
    <row r="26" spans="1:8" s="10" customFormat="1" x14ac:dyDescent="0.25">
      <c r="A26" s="248"/>
      <c r="B26" s="42"/>
      <c r="C26" s="65" t="s">
        <v>516</v>
      </c>
      <c r="D26" s="85">
        <v>1500</v>
      </c>
      <c r="E26" s="30">
        <v>1500</v>
      </c>
      <c r="F26" s="30"/>
      <c r="G26" s="100"/>
      <c r="H26" s="7"/>
    </row>
    <row r="27" spans="1:8" s="10" customFormat="1" x14ac:dyDescent="0.25">
      <c r="A27" s="248"/>
      <c r="B27" s="42"/>
      <c r="C27" s="65" t="s">
        <v>469</v>
      </c>
      <c r="D27" s="85">
        <v>1500</v>
      </c>
      <c r="E27" s="30">
        <v>1500</v>
      </c>
      <c r="F27" s="30"/>
      <c r="G27" s="106"/>
      <c r="H27" s="7"/>
    </row>
    <row r="28" spans="1:8" s="22" customFormat="1" x14ac:dyDescent="0.25">
      <c r="A28" s="249"/>
      <c r="B28" s="250"/>
      <c r="C28" s="251" t="s">
        <v>62</v>
      </c>
      <c r="D28" s="87">
        <f>SUM(D26:D27)</f>
        <v>3000</v>
      </c>
      <c r="E28" s="40">
        <f>SUM(E26:E27)</f>
        <v>3000</v>
      </c>
      <c r="F28" s="40">
        <f>SUM(F26:F26)</f>
        <v>0</v>
      </c>
      <c r="G28" s="104">
        <f>SUM(G26:G26)</f>
        <v>0</v>
      </c>
      <c r="H28" s="299"/>
    </row>
    <row r="29" spans="1:8" s="10" customFormat="1" x14ac:dyDescent="0.25">
      <c r="A29" s="248"/>
      <c r="B29" s="42"/>
      <c r="C29" s="66" t="s">
        <v>36</v>
      </c>
      <c r="D29" s="252">
        <f>SUM(D22:D24)+D28</f>
        <v>333000</v>
      </c>
      <c r="E29" s="50">
        <f>SUM(E22:E24)+E28</f>
        <v>333000</v>
      </c>
      <c r="F29" s="50">
        <f>SUM(F22:F24)+F28</f>
        <v>0</v>
      </c>
      <c r="G29" s="253">
        <f>SUM(G22:G24)+G28</f>
        <v>0</v>
      </c>
      <c r="H29" s="7"/>
    </row>
    <row r="30" spans="1:8" s="10" customFormat="1" x14ac:dyDescent="0.25">
      <c r="A30" s="248"/>
      <c r="B30" s="42"/>
      <c r="C30" s="65"/>
      <c r="D30" s="24"/>
      <c r="E30" s="31"/>
      <c r="F30" s="31"/>
      <c r="G30" s="32"/>
      <c r="H30" s="7"/>
    </row>
    <row r="31" spans="1:8" s="10" customFormat="1" x14ac:dyDescent="0.25">
      <c r="A31" s="228">
        <v>103</v>
      </c>
      <c r="B31" s="42"/>
      <c r="C31" s="66" t="s">
        <v>269</v>
      </c>
      <c r="D31" s="27"/>
      <c r="E31" s="34"/>
      <c r="F31" s="34"/>
      <c r="G31" s="103"/>
      <c r="H31" s="7"/>
    </row>
    <row r="32" spans="1:8" s="10" customFormat="1" x14ac:dyDescent="0.25">
      <c r="A32" s="248"/>
      <c r="B32" s="42" t="s">
        <v>12</v>
      </c>
      <c r="C32" s="65" t="s">
        <v>28</v>
      </c>
      <c r="D32" s="85">
        <v>16485</v>
      </c>
      <c r="E32" s="30">
        <v>16485</v>
      </c>
      <c r="F32" s="30"/>
      <c r="G32" s="100"/>
      <c r="H32" s="7"/>
    </row>
    <row r="33" spans="1:8" s="10" customFormat="1" x14ac:dyDescent="0.25">
      <c r="A33" s="248"/>
      <c r="B33" s="42" t="s">
        <v>17</v>
      </c>
      <c r="C33" s="65" t="s">
        <v>65</v>
      </c>
      <c r="D33" s="85">
        <v>3215</v>
      </c>
      <c r="E33" s="30">
        <v>3215</v>
      </c>
      <c r="F33" s="30"/>
      <c r="G33" s="100"/>
      <c r="H33" s="7"/>
    </row>
    <row r="34" spans="1:8" s="10" customFormat="1" x14ac:dyDescent="0.25">
      <c r="A34" s="248"/>
      <c r="B34" s="42" t="s">
        <v>18</v>
      </c>
      <c r="C34" s="65" t="s">
        <v>33</v>
      </c>
      <c r="D34" s="85">
        <v>16000</v>
      </c>
      <c r="E34" s="30">
        <v>16000</v>
      </c>
      <c r="F34" s="30"/>
      <c r="G34" s="100"/>
      <c r="H34" s="7"/>
    </row>
    <row r="35" spans="1:8" s="10" customFormat="1" x14ac:dyDescent="0.25">
      <c r="A35" s="248"/>
      <c r="B35" s="42" t="s">
        <v>25</v>
      </c>
      <c r="C35" s="65" t="s">
        <v>60</v>
      </c>
      <c r="D35" s="85"/>
      <c r="E35" s="30"/>
      <c r="F35" s="30"/>
      <c r="G35" s="100"/>
      <c r="H35" s="7"/>
    </row>
    <row r="36" spans="1:8" s="10" customFormat="1" x14ac:dyDescent="0.25">
      <c r="A36" s="248"/>
      <c r="B36" s="42"/>
      <c r="C36" s="65" t="s">
        <v>516</v>
      </c>
      <c r="D36" s="85">
        <v>2500</v>
      </c>
      <c r="E36" s="30">
        <v>2500</v>
      </c>
      <c r="F36" s="30"/>
      <c r="G36" s="100"/>
      <c r="H36" s="7"/>
    </row>
    <row r="37" spans="1:8" s="22" customFormat="1" x14ac:dyDescent="0.25">
      <c r="A37" s="249"/>
      <c r="B37" s="250"/>
      <c r="C37" s="251" t="s">
        <v>62</v>
      </c>
      <c r="D37" s="87">
        <f>SUM(D36:D36)</f>
        <v>2500</v>
      </c>
      <c r="E37" s="40">
        <f>SUM(E36:E36)</f>
        <v>2500</v>
      </c>
      <c r="F37" s="40">
        <f>SUM(F36:F36)</f>
        <v>0</v>
      </c>
      <c r="G37" s="104">
        <f>SUM(G36:G36)</f>
        <v>0</v>
      </c>
      <c r="H37" s="299"/>
    </row>
    <row r="38" spans="1:8" s="10" customFormat="1" x14ac:dyDescent="0.25">
      <c r="A38" s="248"/>
      <c r="B38" s="42"/>
      <c r="C38" s="66" t="s">
        <v>514</v>
      </c>
      <c r="D38" s="252">
        <f>SUM(D32:D34)+D37</f>
        <v>38200</v>
      </c>
      <c r="E38" s="50">
        <f>SUM(E32:E34)+E37</f>
        <v>38200</v>
      </c>
      <c r="F38" s="50">
        <f>SUM(F32:F34)+F37</f>
        <v>0</v>
      </c>
      <c r="G38" s="253">
        <f>SUM(G32:G34)+G37</f>
        <v>0</v>
      </c>
      <c r="H38" s="7"/>
    </row>
    <row r="39" spans="1:8" s="10" customFormat="1" x14ac:dyDescent="0.25">
      <c r="A39" s="248"/>
      <c r="B39" s="42"/>
      <c r="C39" s="66"/>
      <c r="D39" s="27"/>
      <c r="E39" s="34"/>
      <c r="F39" s="34"/>
      <c r="G39" s="103"/>
      <c r="H39" s="7"/>
    </row>
    <row r="40" spans="1:8" s="10" customFormat="1" x14ac:dyDescent="0.25">
      <c r="A40" s="248"/>
      <c r="B40" s="42"/>
      <c r="C40" s="66" t="s">
        <v>515</v>
      </c>
      <c r="D40" s="88">
        <f>SUM(D19,D29,D38)</f>
        <v>651100</v>
      </c>
      <c r="E40" s="50">
        <f>SUM(E19,E29,E38)</f>
        <v>651100</v>
      </c>
      <c r="F40" s="50">
        <f>SUM(F19,F29,F38)</f>
        <v>0</v>
      </c>
      <c r="G40" s="102">
        <f>SUM(G19,G29,G38)</f>
        <v>0</v>
      </c>
      <c r="H40" s="7"/>
    </row>
    <row r="41" spans="1:8" s="10" customFormat="1" x14ac:dyDescent="0.25">
      <c r="A41" s="248"/>
      <c r="B41" s="42"/>
      <c r="C41" s="66"/>
      <c r="D41" s="27"/>
      <c r="E41" s="34"/>
      <c r="F41" s="34"/>
      <c r="G41" s="103"/>
      <c r="H41" s="7"/>
    </row>
    <row r="42" spans="1:8" s="10" customFormat="1" x14ac:dyDescent="0.25">
      <c r="A42" s="228">
        <v>104</v>
      </c>
      <c r="B42" s="42"/>
      <c r="C42" s="66" t="s">
        <v>56</v>
      </c>
      <c r="D42" s="66"/>
      <c r="E42" s="34"/>
      <c r="F42" s="34"/>
      <c r="G42" s="103"/>
      <c r="H42" s="7"/>
    </row>
    <row r="43" spans="1:8" s="10" customFormat="1" x14ac:dyDescent="0.25">
      <c r="A43" s="248"/>
      <c r="B43" s="42" t="s">
        <v>12</v>
      </c>
      <c r="C43" s="65" t="s">
        <v>28</v>
      </c>
      <c r="D43" s="85">
        <v>261168</v>
      </c>
      <c r="E43" s="30">
        <v>261168</v>
      </c>
      <c r="F43" s="30"/>
      <c r="G43" s="100"/>
      <c r="H43" s="7"/>
    </row>
    <row r="44" spans="1:8" s="10" customFormat="1" x14ac:dyDescent="0.25">
      <c r="A44" s="248"/>
      <c r="B44" s="42" t="s">
        <v>17</v>
      </c>
      <c r="C44" s="65" t="s">
        <v>65</v>
      </c>
      <c r="D44" s="85">
        <v>50859</v>
      </c>
      <c r="E44" s="30">
        <v>50859</v>
      </c>
      <c r="F44" s="30"/>
      <c r="G44" s="100"/>
      <c r="H44" s="7"/>
    </row>
    <row r="45" spans="1:8" s="10" customFormat="1" x14ac:dyDescent="0.25">
      <c r="A45" s="248"/>
      <c r="B45" s="42" t="s">
        <v>18</v>
      </c>
      <c r="C45" s="65" t="s">
        <v>33</v>
      </c>
      <c r="D45" s="85">
        <v>80000</v>
      </c>
      <c r="E45" s="30">
        <v>80000</v>
      </c>
      <c r="F45" s="30"/>
      <c r="G45" s="100"/>
      <c r="H45" s="7"/>
    </row>
    <row r="46" spans="1:8" s="10" customFormat="1" x14ac:dyDescent="0.25">
      <c r="A46" s="248"/>
      <c r="B46" s="42" t="s">
        <v>25</v>
      </c>
      <c r="C46" s="65" t="s">
        <v>60</v>
      </c>
      <c r="D46" s="85"/>
      <c r="E46" s="30"/>
      <c r="F46" s="30"/>
      <c r="G46" s="100"/>
      <c r="H46" s="7"/>
    </row>
    <row r="47" spans="1:8" s="10" customFormat="1" x14ac:dyDescent="0.25">
      <c r="A47" s="248"/>
      <c r="B47" s="42"/>
      <c r="C47" s="65" t="s">
        <v>0</v>
      </c>
      <c r="D47" s="85">
        <v>5000</v>
      </c>
      <c r="E47" s="30">
        <v>5000</v>
      </c>
      <c r="F47" s="30"/>
      <c r="G47" s="100"/>
      <c r="H47" s="7"/>
    </row>
    <row r="48" spans="1:8" s="10" customFormat="1" x14ac:dyDescent="0.25">
      <c r="A48" s="248"/>
      <c r="B48" s="42"/>
      <c r="C48" s="65" t="s">
        <v>95</v>
      </c>
      <c r="D48" s="85">
        <v>600</v>
      </c>
      <c r="E48" s="30">
        <v>600</v>
      </c>
      <c r="F48" s="30"/>
      <c r="G48" s="100"/>
      <c r="H48" s="7"/>
    </row>
    <row r="49" spans="1:8" s="10" customFormat="1" x14ac:dyDescent="0.25">
      <c r="A49" s="248"/>
      <c r="B49" s="42"/>
      <c r="C49" s="65" t="s">
        <v>517</v>
      </c>
      <c r="D49" s="85">
        <v>5000</v>
      </c>
      <c r="E49" s="30">
        <v>5000</v>
      </c>
      <c r="F49" s="30"/>
      <c r="G49" s="100"/>
      <c r="H49" s="7"/>
    </row>
    <row r="50" spans="1:8" s="10" customFormat="1" x14ac:dyDescent="0.25">
      <c r="A50" s="248"/>
      <c r="B50" s="42"/>
      <c r="C50" s="65" t="s">
        <v>155</v>
      </c>
      <c r="D50" s="85">
        <v>4700</v>
      </c>
      <c r="E50" s="30">
        <v>4700</v>
      </c>
      <c r="F50" s="30"/>
      <c r="G50" s="100"/>
      <c r="H50" s="7"/>
    </row>
    <row r="51" spans="1:8" s="10" customFormat="1" x14ac:dyDescent="0.25">
      <c r="A51" s="248"/>
      <c r="B51" s="42"/>
      <c r="C51" s="61" t="s">
        <v>317</v>
      </c>
      <c r="D51" s="85">
        <v>3000</v>
      </c>
      <c r="E51" s="30">
        <v>3000</v>
      </c>
      <c r="F51" s="30"/>
      <c r="G51" s="106"/>
      <c r="H51" s="7"/>
    </row>
    <row r="52" spans="1:8" s="10" customFormat="1" x14ac:dyDescent="0.25">
      <c r="A52" s="249"/>
      <c r="B52" s="250"/>
      <c r="C52" s="251" t="s">
        <v>62</v>
      </c>
      <c r="D52" s="87">
        <f>SUM(D47:D51)</f>
        <v>18300</v>
      </c>
      <c r="E52" s="40">
        <f>SUM(E47:E51)</f>
        <v>18300</v>
      </c>
      <c r="F52" s="40">
        <f>SUM(F47:F51)</f>
        <v>0</v>
      </c>
      <c r="G52" s="104">
        <f>SUM(G47:G51)</f>
        <v>0</v>
      </c>
      <c r="H52" s="7"/>
    </row>
    <row r="53" spans="1:8" s="10" customFormat="1" x14ac:dyDescent="0.25">
      <c r="A53" s="248"/>
      <c r="B53" s="42"/>
      <c r="C53" s="66" t="s">
        <v>15</v>
      </c>
      <c r="D53" s="226">
        <f>D43+D44+D45+D52</f>
        <v>410327</v>
      </c>
      <c r="E53" s="33">
        <f>E43+E44+E45+E52</f>
        <v>410327</v>
      </c>
      <c r="F53" s="33">
        <f>F43+F44+F45+F52</f>
        <v>0</v>
      </c>
      <c r="G53" s="227">
        <f>G43+G44+G45+G52</f>
        <v>0</v>
      </c>
      <c r="H53" s="7"/>
    </row>
    <row r="54" spans="1:8" s="10" customFormat="1" x14ac:dyDescent="0.25">
      <c r="A54" s="248"/>
      <c r="B54" s="42"/>
      <c r="C54" s="82"/>
      <c r="D54" s="41"/>
      <c r="E54" s="71"/>
      <c r="F54" s="71"/>
      <c r="G54" s="105"/>
      <c r="H54" s="7"/>
    </row>
    <row r="55" spans="1:8" s="10" customFormat="1" x14ac:dyDescent="0.25">
      <c r="A55" s="228">
        <v>105</v>
      </c>
      <c r="B55" s="42"/>
      <c r="C55" s="66" t="s">
        <v>38</v>
      </c>
      <c r="D55" s="27"/>
      <c r="E55" s="34"/>
      <c r="F55" s="34"/>
      <c r="G55" s="103"/>
      <c r="H55" s="7"/>
    </row>
    <row r="56" spans="1:8" s="10" customFormat="1" x14ac:dyDescent="0.25">
      <c r="A56" s="248"/>
      <c r="B56" s="42" t="s">
        <v>12</v>
      </c>
      <c r="C56" s="65" t="s">
        <v>28</v>
      </c>
      <c r="D56" s="254"/>
      <c r="E56" s="44"/>
      <c r="F56" s="44"/>
      <c r="G56" s="255"/>
      <c r="H56" s="7"/>
    </row>
    <row r="57" spans="1:8" s="10" customFormat="1" x14ac:dyDescent="0.25">
      <c r="A57" s="248"/>
      <c r="B57" s="42"/>
      <c r="C57" s="65" t="s">
        <v>318</v>
      </c>
      <c r="D57" s="35">
        <v>15402</v>
      </c>
      <c r="E57" s="30"/>
      <c r="F57" s="30">
        <v>15402</v>
      </c>
      <c r="G57" s="100"/>
      <c r="H57" s="7"/>
    </row>
    <row r="58" spans="1:8" s="10" customFormat="1" x14ac:dyDescent="0.25">
      <c r="A58" s="248"/>
      <c r="B58" s="42"/>
      <c r="C58" s="65" t="s">
        <v>319</v>
      </c>
      <c r="D58" s="35">
        <v>29770</v>
      </c>
      <c r="E58" s="30">
        <v>29770</v>
      </c>
      <c r="F58" s="30"/>
      <c r="G58" s="100"/>
      <c r="H58" s="7"/>
    </row>
    <row r="59" spans="1:8" s="10" customFormat="1" ht="15.75" customHeight="1" x14ac:dyDescent="0.25">
      <c r="A59" s="248"/>
      <c r="B59" s="42"/>
      <c r="C59" s="65" t="s">
        <v>320</v>
      </c>
      <c r="D59" s="35">
        <v>11549</v>
      </c>
      <c r="E59" s="30">
        <v>11549</v>
      </c>
      <c r="F59" s="30"/>
      <c r="G59" s="100"/>
      <c r="H59" s="7"/>
    </row>
    <row r="60" spans="1:8" s="10" customFormat="1" x14ac:dyDescent="0.25">
      <c r="A60" s="248"/>
      <c r="B60" s="42"/>
      <c r="C60" s="61" t="s">
        <v>321</v>
      </c>
      <c r="D60" s="85">
        <v>16346</v>
      </c>
      <c r="E60" s="30">
        <v>16346</v>
      </c>
      <c r="F60" s="30"/>
      <c r="G60" s="106"/>
      <c r="H60" s="7"/>
    </row>
    <row r="61" spans="1:8" s="10" customFormat="1" x14ac:dyDescent="0.25">
      <c r="A61" s="248"/>
      <c r="B61" s="42"/>
      <c r="C61" s="61" t="s">
        <v>322</v>
      </c>
      <c r="D61" s="85">
        <v>3386</v>
      </c>
      <c r="E61" s="30"/>
      <c r="F61" s="30">
        <v>3386</v>
      </c>
      <c r="G61" s="106"/>
      <c r="H61" s="7"/>
    </row>
    <row r="62" spans="1:8" s="10" customFormat="1" x14ac:dyDescent="0.25">
      <c r="A62" s="248"/>
      <c r="B62" s="42"/>
      <c r="C62" s="61" t="s">
        <v>323</v>
      </c>
      <c r="D62" s="85">
        <v>2361</v>
      </c>
      <c r="E62" s="30">
        <v>2361</v>
      </c>
      <c r="F62" s="30"/>
      <c r="G62" s="106"/>
      <c r="H62" s="7"/>
    </row>
    <row r="63" spans="1:8" s="10" customFormat="1" ht="30" x14ac:dyDescent="0.25">
      <c r="A63" s="248"/>
      <c r="B63" s="42"/>
      <c r="C63" s="61" t="s">
        <v>324</v>
      </c>
      <c r="D63" s="85">
        <v>285</v>
      </c>
      <c r="E63" s="30">
        <v>285</v>
      </c>
      <c r="F63" s="30"/>
      <c r="G63" s="106"/>
      <c r="H63" s="7"/>
    </row>
    <row r="64" spans="1:8" s="10" customFormat="1" ht="28.5" customHeight="1" x14ac:dyDescent="0.25">
      <c r="A64" s="248"/>
      <c r="B64" s="42"/>
      <c r="C64" s="61" t="s">
        <v>325</v>
      </c>
      <c r="D64" s="85">
        <v>1400</v>
      </c>
      <c r="E64" s="30">
        <v>1400</v>
      </c>
      <c r="F64" s="30"/>
      <c r="G64" s="106"/>
      <c r="H64" s="7"/>
    </row>
    <row r="65" spans="1:8" s="10" customFormat="1" ht="30" customHeight="1" x14ac:dyDescent="0.25">
      <c r="A65" s="248"/>
      <c r="B65" s="42"/>
      <c r="C65" s="61" t="s">
        <v>326</v>
      </c>
      <c r="D65" s="85">
        <v>1193</v>
      </c>
      <c r="E65" s="30">
        <v>1193</v>
      </c>
      <c r="F65" s="30"/>
      <c r="G65" s="106"/>
      <c r="H65" s="7"/>
    </row>
    <row r="66" spans="1:8" s="10" customFormat="1" ht="45" x14ac:dyDescent="0.25">
      <c r="A66" s="248"/>
      <c r="B66" s="42"/>
      <c r="C66" s="61" t="s">
        <v>327</v>
      </c>
      <c r="D66" s="85">
        <v>1325</v>
      </c>
      <c r="E66" s="30">
        <v>1325</v>
      </c>
      <c r="F66" s="30"/>
      <c r="G66" s="106"/>
      <c r="H66" s="7"/>
    </row>
    <row r="67" spans="1:8" s="10" customFormat="1" x14ac:dyDescent="0.25">
      <c r="A67" s="248"/>
      <c r="B67" s="42"/>
      <c r="C67" s="61" t="s">
        <v>328</v>
      </c>
      <c r="D67" s="85">
        <v>4244</v>
      </c>
      <c r="E67" s="30">
        <v>4244</v>
      </c>
      <c r="F67" s="30"/>
      <c r="G67" s="106"/>
      <c r="H67" s="7"/>
    </row>
    <row r="68" spans="1:8" s="10" customFormat="1" x14ac:dyDescent="0.25">
      <c r="A68" s="248"/>
      <c r="B68" s="42"/>
      <c r="C68" s="61"/>
      <c r="D68" s="85"/>
      <c r="E68" s="30"/>
      <c r="F68" s="30"/>
      <c r="G68" s="106"/>
      <c r="H68" s="7"/>
    </row>
    <row r="69" spans="1:8" s="10" customFormat="1" x14ac:dyDescent="0.25">
      <c r="A69" s="248"/>
      <c r="B69" s="42"/>
      <c r="C69" s="82" t="s">
        <v>43</v>
      </c>
      <c r="D69" s="89">
        <f>SUM(D57:D67)</f>
        <v>87261</v>
      </c>
      <c r="E69" s="44">
        <f>SUM(E57:E67)</f>
        <v>68473</v>
      </c>
      <c r="F69" s="44">
        <f>SUM(F57:F67)</f>
        <v>18788</v>
      </c>
      <c r="G69" s="114">
        <f>SUM(G57:G67)</f>
        <v>0</v>
      </c>
      <c r="H69" s="7"/>
    </row>
    <row r="70" spans="1:8" s="10" customFormat="1" x14ac:dyDescent="0.25">
      <c r="A70" s="248"/>
      <c r="B70" s="42"/>
      <c r="C70" s="82"/>
      <c r="D70" s="254"/>
      <c r="E70" s="44"/>
      <c r="F70" s="44"/>
      <c r="G70" s="255"/>
      <c r="H70" s="7"/>
    </row>
    <row r="71" spans="1:8" s="10" customFormat="1" x14ac:dyDescent="0.25">
      <c r="A71" s="248"/>
      <c r="B71" s="42" t="s">
        <v>17</v>
      </c>
      <c r="C71" s="65" t="s">
        <v>65</v>
      </c>
      <c r="D71" s="254"/>
      <c r="E71" s="44"/>
      <c r="F71" s="44"/>
      <c r="G71" s="255"/>
      <c r="H71" s="7"/>
    </row>
    <row r="72" spans="1:8" s="22" customFormat="1" x14ac:dyDescent="0.25">
      <c r="A72" s="249"/>
      <c r="B72" s="250"/>
      <c r="C72" s="65" t="s">
        <v>318</v>
      </c>
      <c r="D72" s="85">
        <v>1502</v>
      </c>
      <c r="E72" s="30"/>
      <c r="F72" s="30">
        <v>1502</v>
      </c>
      <c r="G72" s="100"/>
      <c r="H72" s="299"/>
    </row>
    <row r="73" spans="1:8" s="10" customFormat="1" x14ac:dyDescent="0.25">
      <c r="A73" s="248"/>
      <c r="B73" s="42"/>
      <c r="C73" s="65" t="s">
        <v>319</v>
      </c>
      <c r="D73" s="85">
        <v>5556</v>
      </c>
      <c r="E73" s="30">
        <v>5556</v>
      </c>
      <c r="F73" s="30"/>
      <c r="G73" s="100"/>
      <c r="H73" s="7"/>
    </row>
    <row r="74" spans="1:8" s="10" customFormat="1" x14ac:dyDescent="0.25">
      <c r="A74" s="248"/>
      <c r="B74" s="42"/>
      <c r="C74" s="65" t="s">
        <v>320</v>
      </c>
      <c r="D74" s="85">
        <v>2592</v>
      </c>
      <c r="E74" s="30">
        <v>2592</v>
      </c>
      <c r="F74" s="30"/>
      <c r="G74" s="100"/>
      <c r="H74" s="7"/>
    </row>
    <row r="75" spans="1:8" s="10" customFormat="1" x14ac:dyDescent="0.25">
      <c r="A75" s="248"/>
      <c r="B75" s="42"/>
      <c r="C75" s="61" t="s">
        <v>321</v>
      </c>
      <c r="D75" s="85">
        <v>3250</v>
      </c>
      <c r="E75" s="30">
        <v>3250</v>
      </c>
      <c r="F75" s="30"/>
      <c r="G75" s="100"/>
      <c r="H75" s="7"/>
    </row>
    <row r="76" spans="1:8" s="10" customFormat="1" x14ac:dyDescent="0.25">
      <c r="A76" s="248"/>
      <c r="B76" s="42"/>
      <c r="C76" s="61" t="s">
        <v>322</v>
      </c>
      <c r="D76" s="85">
        <v>496</v>
      </c>
      <c r="E76" s="30"/>
      <c r="F76" s="30">
        <v>496</v>
      </c>
      <c r="G76" s="100"/>
      <c r="H76" s="7"/>
    </row>
    <row r="77" spans="1:8" s="10" customFormat="1" x14ac:dyDescent="0.25">
      <c r="A77" s="248"/>
      <c r="B77" s="42"/>
      <c r="C77" s="61" t="s">
        <v>323</v>
      </c>
      <c r="D77" s="85">
        <v>472</v>
      </c>
      <c r="E77" s="30">
        <v>472</v>
      </c>
      <c r="F77" s="30"/>
      <c r="G77" s="106"/>
      <c r="H77" s="7"/>
    </row>
    <row r="78" spans="1:8" s="10" customFormat="1" ht="30" x14ac:dyDescent="0.25">
      <c r="A78" s="248"/>
      <c r="B78" s="42"/>
      <c r="C78" s="61" t="s">
        <v>276</v>
      </c>
      <c r="D78" s="85">
        <v>57</v>
      </c>
      <c r="E78" s="30">
        <v>57</v>
      </c>
      <c r="F78" s="30"/>
      <c r="G78" s="106"/>
      <c r="H78" s="7"/>
    </row>
    <row r="79" spans="1:8" s="10" customFormat="1" ht="45" x14ac:dyDescent="0.25">
      <c r="A79" s="248"/>
      <c r="B79" s="42"/>
      <c r="C79" s="61" t="s">
        <v>277</v>
      </c>
      <c r="D79" s="85">
        <v>378</v>
      </c>
      <c r="E79" s="30">
        <v>378</v>
      </c>
      <c r="F79" s="30"/>
      <c r="G79" s="106"/>
      <c r="H79" s="7"/>
    </row>
    <row r="80" spans="1:8" s="10" customFormat="1" ht="45" x14ac:dyDescent="0.25">
      <c r="A80" s="248"/>
      <c r="B80" s="42"/>
      <c r="C80" s="61" t="s">
        <v>278</v>
      </c>
      <c r="D80" s="85">
        <v>322</v>
      </c>
      <c r="E80" s="30">
        <v>322</v>
      </c>
      <c r="F80" s="30"/>
      <c r="G80" s="106"/>
      <c r="H80" s="7"/>
    </row>
    <row r="81" spans="1:8" s="10" customFormat="1" ht="45" x14ac:dyDescent="0.25">
      <c r="A81" s="248"/>
      <c r="B81" s="42"/>
      <c r="C81" s="61" t="s">
        <v>279</v>
      </c>
      <c r="D81" s="85">
        <v>358</v>
      </c>
      <c r="E81" s="30">
        <v>358</v>
      </c>
      <c r="F81" s="30"/>
      <c r="G81" s="106"/>
      <c r="H81" s="7"/>
    </row>
    <row r="82" spans="1:8" s="10" customFormat="1" x14ac:dyDescent="0.25">
      <c r="A82" s="248"/>
      <c r="B82" s="42"/>
      <c r="C82" s="61" t="s">
        <v>307</v>
      </c>
      <c r="D82" s="85">
        <v>828</v>
      </c>
      <c r="E82" s="30">
        <v>828</v>
      </c>
      <c r="F82" s="30"/>
      <c r="G82" s="106"/>
      <c r="H82" s="7"/>
    </row>
    <row r="83" spans="1:8" s="10" customFormat="1" x14ac:dyDescent="0.25">
      <c r="A83" s="248"/>
      <c r="B83" s="42"/>
      <c r="C83" s="61"/>
      <c r="D83" s="85"/>
      <c r="E83" s="30"/>
      <c r="F83" s="30"/>
      <c r="G83" s="106"/>
      <c r="H83" s="7"/>
    </row>
    <row r="84" spans="1:8" s="10" customFormat="1" x14ac:dyDescent="0.25">
      <c r="A84" s="248"/>
      <c r="B84" s="42"/>
      <c r="C84" s="82" t="s">
        <v>44</v>
      </c>
      <c r="D84" s="89">
        <f>SUM(D72:D82)</f>
        <v>15811</v>
      </c>
      <c r="E84" s="44">
        <f>SUM(E72:E82)</f>
        <v>13813</v>
      </c>
      <c r="F84" s="44">
        <f>SUM(F72:F82)</f>
        <v>1998</v>
      </c>
      <c r="G84" s="114">
        <f>SUM(G72:G82)</f>
        <v>0</v>
      </c>
      <c r="H84" s="7"/>
    </row>
    <row r="85" spans="1:8" s="10" customFormat="1" x14ac:dyDescent="0.25">
      <c r="A85" s="248"/>
      <c r="B85" s="42"/>
      <c r="C85" s="82"/>
      <c r="D85" s="41"/>
      <c r="E85" s="71"/>
      <c r="F85" s="71"/>
      <c r="G85" s="105"/>
      <c r="H85" s="7"/>
    </row>
    <row r="86" spans="1:8" s="10" customFormat="1" x14ac:dyDescent="0.25">
      <c r="A86" s="248"/>
      <c r="B86" s="42" t="s">
        <v>18</v>
      </c>
      <c r="C86" s="65" t="s">
        <v>33</v>
      </c>
      <c r="D86" s="254"/>
      <c r="E86" s="44"/>
      <c r="F86" s="44"/>
      <c r="G86" s="255"/>
      <c r="H86" s="7"/>
    </row>
    <row r="87" spans="1:8" s="10" customFormat="1" x14ac:dyDescent="0.25">
      <c r="A87" s="248"/>
      <c r="B87" s="31"/>
      <c r="C87" s="65" t="s">
        <v>39</v>
      </c>
      <c r="D87" s="35">
        <v>2000</v>
      </c>
      <c r="E87" s="30"/>
      <c r="F87" s="30">
        <v>2000</v>
      </c>
      <c r="G87" s="100"/>
      <c r="H87" s="7"/>
    </row>
    <row r="88" spans="1:8" s="10" customFormat="1" x14ac:dyDescent="0.25">
      <c r="A88" s="248"/>
      <c r="B88" s="42"/>
      <c r="C88" s="65" t="s">
        <v>113</v>
      </c>
      <c r="D88" s="35">
        <v>2400</v>
      </c>
      <c r="E88" s="30">
        <v>2400</v>
      </c>
      <c r="F88" s="30"/>
      <c r="G88" s="100"/>
      <c r="H88" s="7"/>
    </row>
    <row r="89" spans="1:8" s="10" customFormat="1" x14ac:dyDescent="0.25">
      <c r="A89" s="248"/>
      <c r="B89" s="42"/>
      <c r="C89" s="65" t="s">
        <v>329</v>
      </c>
      <c r="D89" s="35">
        <v>1400</v>
      </c>
      <c r="E89" s="30">
        <v>1400</v>
      </c>
      <c r="F89" s="30"/>
      <c r="G89" s="100"/>
      <c r="H89" s="7"/>
    </row>
    <row r="90" spans="1:8" s="10" customFormat="1" x14ac:dyDescent="0.25">
      <c r="A90" s="248"/>
      <c r="B90" s="42"/>
      <c r="C90" s="65" t="s">
        <v>330</v>
      </c>
      <c r="D90" s="35">
        <v>2300</v>
      </c>
      <c r="E90" s="30">
        <v>2300</v>
      </c>
      <c r="F90" s="30"/>
      <c r="G90" s="100"/>
      <c r="H90" s="7"/>
    </row>
    <row r="91" spans="1:8" s="10" customFormat="1" x14ac:dyDescent="0.25">
      <c r="A91" s="248"/>
      <c r="B91" s="42"/>
      <c r="C91" s="65" t="s">
        <v>331</v>
      </c>
      <c r="D91" s="35">
        <v>30000</v>
      </c>
      <c r="E91" s="30">
        <v>30000</v>
      </c>
      <c r="F91" s="30"/>
      <c r="G91" s="100"/>
      <c r="H91" s="7"/>
    </row>
    <row r="92" spans="1:8" s="10" customFormat="1" x14ac:dyDescent="0.25">
      <c r="A92" s="248"/>
      <c r="B92" s="42"/>
      <c r="C92" s="65" t="s">
        <v>332</v>
      </c>
      <c r="D92" s="35">
        <v>2000</v>
      </c>
      <c r="E92" s="30">
        <v>2000</v>
      </c>
      <c r="F92" s="30"/>
      <c r="G92" s="100"/>
      <c r="H92" s="7"/>
    </row>
    <row r="93" spans="1:8" s="10" customFormat="1" x14ac:dyDescent="0.25">
      <c r="A93" s="248"/>
      <c r="B93" s="42"/>
      <c r="C93" s="65" t="s">
        <v>333</v>
      </c>
      <c r="D93" s="35">
        <v>25000</v>
      </c>
      <c r="E93" s="30">
        <v>25000</v>
      </c>
      <c r="F93" s="30"/>
      <c r="G93" s="100"/>
      <c r="H93" s="7"/>
    </row>
    <row r="94" spans="1:8" s="10" customFormat="1" x14ac:dyDescent="0.25">
      <c r="A94" s="248"/>
      <c r="B94" s="42"/>
      <c r="C94" s="65" t="s">
        <v>334</v>
      </c>
      <c r="D94" s="35">
        <v>4000</v>
      </c>
      <c r="E94" s="30">
        <v>4000</v>
      </c>
      <c r="F94" s="30"/>
      <c r="G94" s="100"/>
      <c r="H94" s="7"/>
    </row>
    <row r="95" spans="1:8" s="10" customFormat="1" x14ac:dyDescent="0.25">
      <c r="A95" s="248"/>
      <c r="B95" s="42"/>
      <c r="C95" s="65" t="s">
        <v>335</v>
      </c>
      <c r="D95" s="35">
        <v>6000</v>
      </c>
      <c r="E95" s="30">
        <v>6000</v>
      </c>
      <c r="F95" s="30"/>
      <c r="G95" s="100"/>
      <c r="H95" s="7"/>
    </row>
    <row r="96" spans="1:8" s="10" customFormat="1" ht="32.25" customHeight="1" x14ac:dyDescent="0.25">
      <c r="A96" s="248"/>
      <c r="B96" s="42"/>
      <c r="C96" s="65" t="s">
        <v>336</v>
      </c>
      <c r="D96" s="35">
        <v>25000</v>
      </c>
      <c r="E96" s="30">
        <v>25000</v>
      </c>
      <c r="F96" s="30"/>
      <c r="G96" s="100"/>
      <c r="H96" s="7"/>
    </row>
    <row r="97" spans="1:8" s="10" customFormat="1" x14ac:dyDescent="0.25">
      <c r="A97" s="248"/>
      <c r="B97" s="42"/>
      <c r="C97" s="65" t="s">
        <v>337</v>
      </c>
      <c r="D97" s="35"/>
      <c r="E97" s="30"/>
      <c r="F97" s="30"/>
      <c r="G97" s="100"/>
      <c r="H97" s="7"/>
    </row>
    <row r="98" spans="1:8" s="10" customFormat="1" ht="30" x14ac:dyDescent="0.25">
      <c r="A98" s="248"/>
      <c r="B98" s="42"/>
      <c r="C98" s="61" t="s">
        <v>338</v>
      </c>
      <c r="D98" s="35">
        <v>78000</v>
      </c>
      <c r="E98" s="30">
        <v>78000</v>
      </c>
      <c r="F98" s="30"/>
      <c r="G98" s="100"/>
      <c r="H98" s="7"/>
    </row>
    <row r="99" spans="1:8" s="10" customFormat="1" ht="30" x14ac:dyDescent="0.25">
      <c r="A99" s="248"/>
      <c r="B99" s="42"/>
      <c r="C99" s="61" t="s">
        <v>339</v>
      </c>
      <c r="D99" s="35">
        <v>12000</v>
      </c>
      <c r="E99" s="30">
        <v>12000</v>
      </c>
      <c r="F99" s="30"/>
      <c r="G99" s="100"/>
      <c r="H99" s="7"/>
    </row>
    <row r="100" spans="1:8" s="10" customFormat="1" x14ac:dyDescent="0.25">
      <c r="A100" s="248"/>
      <c r="B100" s="42"/>
      <c r="C100" s="65" t="s">
        <v>340</v>
      </c>
      <c r="D100" s="35">
        <v>35000</v>
      </c>
      <c r="E100" s="30">
        <v>35000</v>
      </c>
      <c r="F100" s="30"/>
      <c r="G100" s="100"/>
      <c r="H100" s="7"/>
    </row>
    <row r="101" spans="1:8" s="10" customFormat="1" ht="30" x14ac:dyDescent="0.25">
      <c r="A101" s="248"/>
      <c r="B101" s="42"/>
      <c r="C101" s="61" t="s">
        <v>341</v>
      </c>
      <c r="D101" s="35"/>
      <c r="E101" s="30"/>
      <c r="F101" s="30"/>
      <c r="G101" s="100"/>
      <c r="H101" s="7"/>
    </row>
    <row r="102" spans="1:8" s="10" customFormat="1" x14ac:dyDescent="0.25">
      <c r="A102" s="248"/>
      <c r="B102" s="42"/>
      <c r="C102" s="65" t="s">
        <v>342</v>
      </c>
      <c r="D102" s="35">
        <v>1500</v>
      </c>
      <c r="E102" s="30">
        <v>1500</v>
      </c>
      <c r="F102" s="30"/>
      <c r="G102" s="100"/>
      <c r="H102" s="7"/>
    </row>
    <row r="103" spans="1:8" s="10" customFormat="1" x14ac:dyDescent="0.25">
      <c r="A103" s="248"/>
      <c r="B103" s="42"/>
      <c r="C103" s="65" t="s">
        <v>343</v>
      </c>
      <c r="D103" s="35">
        <v>2000</v>
      </c>
      <c r="E103" s="30">
        <v>2000</v>
      </c>
      <c r="F103" s="30"/>
      <c r="G103" s="100"/>
      <c r="H103" s="7"/>
    </row>
    <row r="104" spans="1:8" s="10" customFormat="1" x14ac:dyDescent="0.25">
      <c r="A104" s="248"/>
      <c r="B104" s="42"/>
      <c r="C104" s="65" t="s">
        <v>344</v>
      </c>
      <c r="D104" s="35">
        <v>3000</v>
      </c>
      <c r="E104" s="30">
        <v>3000</v>
      </c>
      <c r="F104" s="30"/>
      <c r="G104" s="100"/>
      <c r="H104" s="7"/>
    </row>
    <row r="105" spans="1:8" s="10" customFormat="1" x14ac:dyDescent="0.25">
      <c r="A105" s="248"/>
      <c r="B105" s="42"/>
      <c r="C105" s="65" t="s">
        <v>345</v>
      </c>
      <c r="D105" s="35">
        <v>7085</v>
      </c>
      <c r="E105" s="30">
        <v>7085</v>
      </c>
      <c r="F105" s="30"/>
      <c r="G105" s="100"/>
      <c r="H105" s="7"/>
    </row>
    <row r="106" spans="1:8" s="10" customFormat="1" x14ac:dyDescent="0.25">
      <c r="A106" s="248"/>
      <c r="B106" s="42"/>
      <c r="C106" s="65" t="s">
        <v>346</v>
      </c>
      <c r="D106" s="35">
        <v>300</v>
      </c>
      <c r="E106" s="30">
        <v>300</v>
      </c>
      <c r="F106" s="30"/>
      <c r="G106" s="100"/>
      <c r="H106" s="7"/>
    </row>
    <row r="107" spans="1:8" s="10" customFormat="1" x14ac:dyDescent="0.25">
      <c r="A107" s="248"/>
      <c r="B107" s="42"/>
      <c r="C107" s="65" t="s">
        <v>510</v>
      </c>
      <c r="D107" s="35">
        <v>54880</v>
      </c>
      <c r="E107" s="30">
        <v>54880</v>
      </c>
      <c r="F107" s="30"/>
      <c r="G107" s="100"/>
      <c r="H107" s="7"/>
    </row>
    <row r="108" spans="1:8" s="10" customFormat="1" x14ac:dyDescent="0.25">
      <c r="A108" s="248"/>
      <c r="B108" s="42"/>
      <c r="C108" s="65" t="s">
        <v>347</v>
      </c>
      <c r="D108" s="35">
        <v>500</v>
      </c>
      <c r="E108" s="30">
        <v>500</v>
      </c>
      <c r="F108" s="30"/>
      <c r="G108" s="100"/>
      <c r="H108" s="7"/>
    </row>
    <row r="109" spans="1:8" s="10" customFormat="1" x14ac:dyDescent="0.25">
      <c r="A109" s="248"/>
      <c r="B109" s="42"/>
      <c r="C109" s="65" t="s">
        <v>348</v>
      </c>
      <c r="D109" s="35">
        <v>500</v>
      </c>
      <c r="E109" s="30">
        <v>500</v>
      </c>
      <c r="F109" s="30"/>
      <c r="G109" s="100"/>
      <c r="H109" s="7"/>
    </row>
    <row r="110" spans="1:8" s="10" customFormat="1" ht="17.25" customHeight="1" x14ac:dyDescent="0.25">
      <c r="A110" s="248"/>
      <c r="B110" s="42"/>
      <c r="C110" s="65" t="s">
        <v>349</v>
      </c>
      <c r="D110" s="35">
        <v>2000</v>
      </c>
      <c r="E110" s="30">
        <v>2000</v>
      </c>
      <c r="F110" s="30"/>
      <c r="G110" s="100"/>
      <c r="H110" s="7"/>
    </row>
    <row r="111" spans="1:8" s="10" customFormat="1" x14ac:dyDescent="0.25">
      <c r="A111" s="248"/>
      <c r="B111" s="42"/>
      <c r="C111" s="65" t="s">
        <v>350</v>
      </c>
      <c r="D111" s="35"/>
      <c r="E111" s="30"/>
      <c r="F111" s="30"/>
      <c r="G111" s="100"/>
      <c r="H111" s="7"/>
    </row>
    <row r="112" spans="1:8" s="10" customFormat="1" x14ac:dyDescent="0.25">
      <c r="A112" s="248"/>
      <c r="B112" s="42"/>
      <c r="C112" s="65" t="s">
        <v>351</v>
      </c>
      <c r="D112" s="35">
        <v>4000</v>
      </c>
      <c r="E112" s="30">
        <v>4000</v>
      </c>
      <c r="F112" s="30"/>
      <c r="G112" s="100"/>
      <c r="H112" s="7"/>
    </row>
    <row r="113" spans="1:8" s="10" customFormat="1" x14ac:dyDescent="0.25">
      <c r="A113" s="248"/>
      <c r="B113" s="42"/>
      <c r="C113" s="65" t="s">
        <v>352</v>
      </c>
      <c r="D113" s="35">
        <v>5000</v>
      </c>
      <c r="E113" s="30">
        <v>5000</v>
      </c>
      <c r="F113" s="30"/>
      <c r="G113" s="100"/>
      <c r="H113" s="7"/>
    </row>
    <row r="114" spans="1:8" s="10" customFormat="1" ht="18.75" customHeight="1" x14ac:dyDescent="0.25">
      <c r="A114" s="248"/>
      <c r="B114" s="42"/>
      <c r="C114" s="65" t="s">
        <v>353</v>
      </c>
      <c r="D114" s="35">
        <v>3000</v>
      </c>
      <c r="E114" s="30">
        <v>3000</v>
      </c>
      <c r="F114" s="30"/>
      <c r="G114" s="100"/>
      <c r="H114" s="7"/>
    </row>
    <row r="115" spans="1:8" s="10" customFormat="1" x14ac:dyDescent="0.25">
      <c r="A115" s="248"/>
      <c r="B115" s="42"/>
      <c r="C115" s="61" t="s">
        <v>354</v>
      </c>
      <c r="D115" s="80">
        <v>250</v>
      </c>
      <c r="E115" s="53"/>
      <c r="F115" s="53">
        <v>250</v>
      </c>
      <c r="G115" s="107"/>
      <c r="H115" s="7"/>
    </row>
    <row r="116" spans="1:8" s="10" customFormat="1" ht="16.5" customHeight="1" x14ac:dyDescent="0.25">
      <c r="A116" s="248"/>
      <c r="B116" s="42"/>
      <c r="C116" s="61" t="s">
        <v>355</v>
      </c>
      <c r="D116" s="80">
        <v>9500</v>
      </c>
      <c r="E116" s="53"/>
      <c r="F116" s="53">
        <v>9500</v>
      </c>
      <c r="G116" s="107"/>
      <c r="H116" s="7"/>
    </row>
    <row r="117" spans="1:8" s="10" customFormat="1" ht="18.75" customHeight="1" x14ac:dyDescent="0.25">
      <c r="A117" s="248"/>
      <c r="B117" s="42"/>
      <c r="C117" s="61" t="s">
        <v>356</v>
      </c>
      <c r="D117" s="80">
        <v>10000</v>
      </c>
      <c r="E117" s="53"/>
      <c r="F117" s="53">
        <v>10000</v>
      </c>
      <c r="G117" s="107"/>
      <c r="H117" s="7"/>
    </row>
    <row r="118" spans="1:8" s="10" customFormat="1" x14ac:dyDescent="0.25">
      <c r="A118" s="248"/>
      <c r="B118" s="42"/>
      <c r="C118" s="61" t="s">
        <v>357</v>
      </c>
      <c r="D118" s="80">
        <v>1500</v>
      </c>
      <c r="E118" s="53"/>
      <c r="F118" s="53">
        <v>1500</v>
      </c>
      <c r="G118" s="107"/>
      <c r="H118" s="7"/>
    </row>
    <row r="119" spans="1:8" s="10" customFormat="1" ht="18" customHeight="1" x14ac:dyDescent="0.25">
      <c r="A119" s="248"/>
      <c r="B119" s="42"/>
      <c r="C119" s="61" t="s">
        <v>358</v>
      </c>
      <c r="D119" s="80">
        <v>25000</v>
      </c>
      <c r="E119" s="53">
        <v>25000</v>
      </c>
      <c r="F119" s="53"/>
      <c r="G119" s="107"/>
      <c r="H119" s="7"/>
    </row>
    <row r="120" spans="1:8" s="10" customFormat="1" x14ac:dyDescent="0.25">
      <c r="A120" s="248"/>
      <c r="B120" s="42"/>
      <c r="C120" s="61" t="s">
        <v>359</v>
      </c>
      <c r="D120" s="80">
        <v>55000</v>
      </c>
      <c r="E120" s="53"/>
      <c r="F120" s="53">
        <v>55000</v>
      </c>
      <c r="G120" s="107"/>
      <c r="H120" s="7"/>
    </row>
    <row r="121" spans="1:8" s="10" customFormat="1" x14ac:dyDescent="0.25">
      <c r="A121" s="248"/>
      <c r="B121" s="42"/>
      <c r="C121" s="61" t="s">
        <v>360</v>
      </c>
      <c r="D121" s="80">
        <v>31000</v>
      </c>
      <c r="E121" s="53"/>
      <c r="F121" s="53">
        <v>31000</v>
      </c>
      <c r="G121" s="107"/>
      <c r="H121" s="7"/>
    </row>
    <row r="122" spans="1:8" s="10" customFormat="1" x14ac:dyDescent="0.25">
      <c r="A122" s="248"/>
      <c r="B122" s="42"/>
      <c r="C122" s="61" t="s">
        <v>361</v>
      </c>
      <c r="D122" s="80">
        <v>6096</v>
      </c>
      <c r="E122" s="53">
        <v>6096</v>
      </c>
      <c r="F122" s="53"/>
      <c r="G122" s="107"/>
      <c r="H122" s="7"/>
    </row>
    <row r="123" spans="1:8" s="10" customFormat="1" ht="30" x14ac:dyDescent="0.25">
      <c r="A123" s="248"/>
      <c r="B123" s="42"/>
      <c r="C123" s="61" t="s">
        <v>362</v>
      </c>
      <c r="D123" s="35">
        <v>2000</v>
      </c>
      <c r="E123" s="30">
        <v>2000</v>
      </c>
      <c r="F123" s="30"/>
      <c r="G123" s="100"/>
      <c r="H123" s="7"/>
    </row>
    <row r="124" spans="1:8" s="10" customFormat="1" x14ac:dyDescent="0.25">
      <c r="A124" s="248"/>
      <c r="B124" s="42"/>
      <c r="C124" s="61" t="s">
        <v>363</v>
      </c>
      <c r="D124" s="86">
        <v>1120</v>
      </c>
      <c r="E124" s="53">
        <v>1120</v>
      </c>
      <c r="F124" s="53"/>
      <c r="G124" s="107"/>
      <c r="H124" s="7"/>
    </row>
    <row r="125" spans="1:8" s="10" customFormat="1" x14ac:dyDescent="0.25">
      <c r="A125" s="248"/>
      <c r="B125" s="42"/>
      <c r="C125" s="61" t="s">
        <v>364</v>
      </c>
      <c r="D125" s="86"/>
      <c r="E125" s="53"/>
      <c r="F125" s="53"/>
      <c r="G125" s="108"/>
      <c r="H125" s="7"/>
    </row>
    <row r="126" spans="1:8" s="10" customFormat="1" x14ac:dyDescent="0.25">
      <c r="A126" s="248"/>
      <c r="B126" s="42"/>
      <c r="C126" s="61" t="s">
        <v>365</v>
      </c>
      <c r="D126" s="86">
        <v>10000</v>
      </c>
      <c r="E126" s="53"/>
      <c r="F126" s="53">
        <v>10000</v>
      </c>
      <c r="G126" s="108"/>
      <c r="H126" s="7"/>
    </row>
    <row r="127" spans="1:8" s="10" customFormat="1" x14ac:dyDescent="0.25">
      <c r="A127" s="248"/>
      <c r="B127" s="42"/>
      <c r="C127" s="61" t="s">
        <v>366</v>
      </c>
      <c r="D127" s="86">
        <v>400</v>
      </c>
      <c r="E127" s="53"/>
      <c r="F127" s="53">
        <v>400</v>
      </c>
      <c r="G127" s="108"/>
      <c r="H127" s="7"/>
    </row>
    <row r="128" spans="1:8" s="10" customFormat="1" x14ac:dyDescent="0.25">
      <c r="A128" s="248"/>
      <c r="B128" s="42"/>
      <c r="C128" s="61" t="s">
        <v>367</v>
      </c>
      <c r="D128" s="86">
        <v>1000</v>
      </c>
      <c r="E128" s="53">
        <v>1000</v>
      </c>
      <c r="F128" s="53"/>
      <c r="G128" s="108"/>
      <c r="H128" s="7"/>
    </row>
    <row r="129" spans="1:8" s="10" customFormat="1" x14ac:dyDescent="0.25">
      <c r="A129" s="248"/>
      <c r="B129" s="42"/>
      <c r="C129" s="61" t="s">
        <v>368</v>
      </c>
      <c r="D129" s="86">
        <v>2000</v>
      </c>
      <c r="E129" s="53">
        <v>2000</v>
      </c>
      <c r="F129" s="53"/>
      <c r="G129" s="108"/>
      <c r="H129" s="7"/>
    </row>
    <row r="130" spans="1:8" s="10" customFormat="1" x14ac:dyDescent="0.25">
      <c r="A130" s="248"/>
      <c r="B130" s="42"/>
      <c r="C130" s="61" t="s">
        <v>369</v>
      </c>
      <c r="D130" s="86">
        <v>20000</v>
      </c>
      <c r="E130" s="53">
        <v>20000</v>
      </c>
      <c r="F130" s="53"/>
      <c r="G130" s="108"/>
      <c r="H130" s="7"/>
    </row>
    <row r="131" spans="1:8" s="10" customFormat="1" x14ac:dyDescent="0.25">
      <c r="A131" s="248"/>
      <c r="B131" s="42"/>
      <c r="C131" s="61" t="s">
        <v>370</v>
      </c>
      <c r="D131" s="86"/>
      <c r="E131" s="53"/>
      <c r="F131" s="53"/>
      <c r="G131" s="108"/>
      <c r="H131" s="7"/>
    </row>
    <row r="132" spans="1:8" s="10" customFormat="1" ht="18.75" customHeight="1" x14ac:dyDescent="0.25">
      <c r="A132" s="248"/>
      <c r="B132" s="42"/>
      <c r="C132" s="61" t="s">
        <v>371</v>
      </c>
      <c r="D132" s="86">
        <v>25000</v>
      </c>
      <c r="E132" s="53">
        <v>25000</v>
      </c>
      <c r="F132" s="53"/>
      <c r="G132" s="108"/>
      <c r="H132" s="7"/>
    </row>
    <row r="133" spans="1:8" s="10" customFormat="1" x14ac:dyDescent="0.25">
      <c r="A133" s="248"/>
      <c r="B133" s="42"/>
      <c r="C133" s="61" t="s">
        <v>372</v>
      </c>
      <c r="D133" s="86">
        <v>2000</v>
      </c>
      <c r="E133" s="53">
        <v>2000</v>
      </c>
      <c r="F133" s="53"/>
      <c r="G133" s="108"/>
      <c r="H133" s="7"/>
    </row>
    <row r="134" spans="1:8" s="10" customFormat="1" x14ac:dyDescent="0.25">
      <c r="A134" s="248"/>
      <c r="B134" s="42"/>
      <c r="C134" s="61" t="s">
        <v>373</v>
      </c>
      <c r="D134" s="86">
        <v>1000</v>
      </c>
      <c r="E134" s="53"/>
      <c r="F134" s="53">
        <v>1000</v>
      </c>
      <c r="G134" s="108"/>
      <c r="H134" s="7"/>
    </row>
    <row r="135" spans="1:8" s="10" customFormat="1" x14ac:dyDescent="0.25">
      <c r="A135" s="248"/>
      <c r="B135" s="42"/>
      <c r="C135" s="61" t="s">
        <v>374</v>
      </c>
      <c r="D135" s="86">
        <v>2000</v>
      </c>
      <c r="E135" s="53">
        <v>2000</v>
      </c>
      <c r="F135" s="53"/>
      <c r="G135" s="108"/>
      <c r="H135" s="7"/>
    </row>
    <row r="136" spans="1:8" s="10" customFormat="1" x14ac:dyDescent="0.25">
      <c r="A136" s="248"/>
      <c r="B136" s="42"/>
      <c r="C136" s="61" t="s">
        <v>375</v>
      </c>
      <c r="D136" s="86">
        <v>500</v>
      </c>
      <c r="E136" s="53"/>
      <c r="F136" s="53">
        <v>500</v>
      </c>
      <c r="G136" s="108"/>
      <c r="H136" s="7"/>
    </row>
    <row r="137" spans="1:8" s="10" customFormat="1" x14ac:dyDescent="0.25">
      <c r="A137" s="248"/>
      <c r="B137" s="42"/>
      <c r="C137" s="61" t="s">
        <v>376</v>
      </c>
      <c r="D137" s="86">
        <v>2000</v>
      </c>
      <c r="E137" s="53">
        <v>2000</v>
      </c>
      <c r="F137" s="53"/>
      <c r="G137" s="108"/>
      <c r="H137" s="7"/>
    </row>
    <row r="138" spans="1:8" s="10" customFormat="1" x14ac:dyDescent="0.25">
      <c r="A138" s="248"/>
      <c r="B138" s="42"/>
      <c r="C138" s="61" t="s">
        <v>377</v>
      </c>
      <c r="D138" s="86">
        <v>2500</v>
      </c>
      <c r="E138" s="53">
        <v>2500</v>
      </c>
      <c r="F138" s="53"/>
      <c r="G138" s="108"/>
      <c r="H138" s="7"/>
    </row>
    <row r="139" spans="1:8" s="10" customFormat="1" ht="30" x14ac:dyDescent="0.25">
      <c r="A139" s="248"/>
      <c r="B139" s="42"/>
      <c r="C139" s="61" t="s">
        <v>378</v>
      </c>
      <c r="D139" s="86">
        <v>500</v>
      </c>
      <c r="E139" s="53">
        <v>500</v>
      </c>
      <c r="F139" s="53"/>
      <c r="G139" s="108"/>
      <c r="H139" s="7"/>
    </row>
    <row r="140" spans="1:8" s="10" customFormat="1" x14ac:dyDescent="0.25">
      <c r="A140" s="248"/>
      <c r="B140" s="42"/>
      <c r="C140" s="61" t="s">
        <v>379</v>
      </c>
      <c r="D140" s="86">
        <v>2000</v>
      </c>
      <c r="E140" s="53">
        <v>2000</v>
      </c>
      <c r="F140" s="53"/>
      <c r="G140" s="108"/>
      <c r="H140" s="7"/>
    </row>
    <row r="141" spans="1:8" s="10" customFormat="1" x14ac:dyDescent="0.25">
      <c r="A141" s="248"/>
      <c r="B141" s="42"/>
      <c r="C141" s="61" t="s">
        <v>380</v>
      </c>
      <c r="D141" s="86">
        <v>3000</v>
      </c>
      <c r="E141" s="53">
        <v>3000</v>
      </c>
      <c r="F141" s="53"/>
      <c r="G141" s="108"/>
      <c r="H141" s="7"/>
    </row>
    <row r="142" spans="1:8" s="10" customFormat="1" x14ac:dyDescent="0.25">
      <c r="A142" s="248"/>
      <c r="B142" s="42"/>
      <c r="C142" s="61" t="s">
        <v>381</v>
      </c>
      <c r="D142" s="86">
        <v>2200</v>
      </c>
      <c r="E142" s="53">
        <v>2200</v>
      </c>
      <c r="F142" s="53"/>
      <c r="G142" s="108"/>
      <c r="H142" s="7"/>
    </row>
    <row r="143" spans="1:8" s="10" customFormat="1" x14ac:dyDescent="0.25">
      <c r="A143" s="248"/>
      <c r="B143" s="42"/>
      <c r="C143" s="61" t="s">
        <v>382</v>
      </c>
      <c r="D143" s="86">
        <v>180</v>
      </c>
      <c r="E143" s="53">
        <v>180</v>
      </c>
      <c r="F143" s="53"/>
      <c r="G143" s="108"/>
      <c r="H143" s="7"/>
    </row>
    <row r="144" spans="1:8" s="10" customFormat="1" x14ac:dyDescent="0.25">
      <c r="A144" s="248"/>
      <c r="B144" s="42"/>
      <c r="C144" s="61" t="s">
        <v>383</v>
      </c>
      <c r="D144" s="86">
        <v>500</v>
      </c>
      <c r="E144" s="53">
        <v>500</v>
      </c>
      <c r="F144" s="53"/>
      <c r="G144" s="108"/>
      <c r="H144" s="7"/>
    </row>
    <row r="145" spans="1:8" s="10" customFormat="1" x14ac:dyDescent="0.25">
      <c r="A145" s="248"/>
      <c r="B145" s="42"/>
      <c r="C145" s="61" t="s">
        <v>384</v>
      </c>
      <c r="D145" s="86">
        <v>500</v>
      </c>
      <c r="E145" s="53">
        <v>500</v>
      </c>
      <c r="F145" s="53"/>
      <c r="G145" s="108"/>
      <c r="H145" s="7"/>
    </row>
    <row r="146" spans="1:8" s="10" customFormat="1" ht="30" x14ac:dyDescent="0.25">
      <c r="A146" s="248"/>
      <c r="B146" s="42"/>
      <c r="C146" s="61" t="s">
        <v>385</v>
      </c>
      <c r="D146" s="86">
        <v>6343</v>
      </c>
      <c r="E146" s="53">
        <v>6343</v>
      </c>
      <c r="F146" s="53"/>
      <c r="G146" s="108"/>
      <c r="H146" s="7"/>
    </row>
    <row r="147" spans="1:8" s="10" customFormat="1" ht="30" x14ac:dyDescent="0.25">
      <c r="A147" s="248"/>
      <c r="B147" s="42"/>
      <c r="C147" s="61" t="s">
        <v>386</v>
      </c>
      <c r="D147" s="86">
        <v>2513</v>
      </c>
      <c r="E147" s="53">
        <v>2513</v>
      </c>
      <c r="F147" s="53"/>
      <c r="G147" s="108"/>
      <c r="H147" s="7"/>
    </row>
    <row r="148" spans="1:8" s="10" customFormat="1" ht="30" x14ac:dyDescent="0.25">
      <c r="A148" s="248"/>
      <c r="B148" s="42"/>
      <c r="C148" s="61" t="s">
        <v>387</v>
      </c>
      <c r="D148" s="86">
        <v>1037</v>
      </c>
      <c r="E148" s="53">
        <v>1037</v>
      </c>
      <c r="F148" s="53"/>
      <c r="G148" s="108"/>
      <c r="H148" s="7"/>
    </row>
    <row r="149" spans="1:8" s="10" customFormat="1" ht="30" customHeight="1" x14ac:dyDescent="0.25">
      <c r="A149" s="248"/>
      <c r="B149" s="42"/>
      <c r="C149" s="61" t="s">
        <v>388</v>
      </c>
      <c r="D149" s="86">
        <v>1511</v>
      </c>
      <c r="E149" s="53">
        <v>1511</v>
      </c>
      <c r="F149" s="53"/>
      <c r="G149" s="108"/>
      <c r="H149" s="7"/>
    </row>
    <row r="150" spans="1:8" s="10" customFormat="1" ht="30.75" customHeight="1" x14ac:dyDescent="0.25">
      <c r="A150" s="248"/>
      <c r="B150" s="42"/>
      <c r="C150" s="61" t="s">
        <v>389</v>
      </c>
      <c r="D150" s="86">
        <v>1644</v>
      </c>
      <c r="E150" s="53">
        <v>1644</v>
      </c>
      <c r="F150" s="53"/>
      <c r="G150" s="108"/>
      <c r="H150" s="7"/>
    </row>
    <row r="151" spans="1:8" s="10" customFormat="1" ht="45" x14ac:dyDescent="0.25">
      <c r="A151" s="248"/>
      <c r="B151" s="42"/>
      <c r="C151" s="61" t="s">
        <v>390</v>
      </c>
      <c r="D151" s="86">
        <v>3781</v>
      </c>
      <c r="E151" s="53">
        <v>3781</v>
      </c>
      <c r="F151" s="53"/>
      <c r="G151" s="108"/>
      <c r="H151" s="7"/>
    </row>
    <row r="152" spans="1:8" s="10" customFormat="1" ht="30" x14ac:dyDescent="0.25">
      <c r="A152" s="248"/>
      <c r="B152" s="42"/>
      <c r="C152" s="61" t="s">
        <v>391</v>
      </c>
      <c r="D152" s="86">
        <v>4680</v>
      </c>
      <c r="E152" s="53">
        <v>4680</v>
      </c>
      <c r="F152" s="53"/>
      <c r="G152" s="108"/>
      <c r="H152" s="7"/>
    </row>
    <row r="153" spans="1:8" s="10" customFormat="1" x14ac:dyDescent="0.25">
      <c r="A153" s="248"/>
      <c r="B153" s="42"/>
      <c r="C153" s="61" t="s">
        <v>392</v>
      </c>
      <c r="D153" s="86">
        <v>6858</v>
      </c>
      <c r="E153" s="53">
        <v>6858</v>
      </c>
      <c r="F153" s="53"/>
      <c r="G153" s="108"/>
      <c r="H153" s="7"/>
    </row>
    <row r="154" spans="1:8" s="10" customFormat="1" x14ac:dyDescent="0.25">
      <c r="A154" s="248"/>
      <c r="B154" s="42"/>
      <c r="C154" s="61" t="s">
        <v>393</v>
      </c>
      <c r="D154" s="86">
        <v>550</v>
      </c>
      <c r="E154" s="53">
        <v>550</v>
      </c>
      <c r="F154" s="53"/>
      <c r="G154" s="108"/>
      <c r="H154" s="7"/>
    </row>
    <row r="155" spans="1:8" s="10" customFormat="1" x14ac:dyDescent="0.25">
      <c r="A155" s="248"/>
      <c r="B155" s="42"/>
      <c r="C155" s="61" t="s">
        <v>394</v>
      </c>
      <c r="D155" s="86">
        <v>1820</v>
      </c>
      <c r="E155" s="53">
        <v>1820</v>
      </c>
      <c r="F155" s="53"/>
      <c r="G155" s="108"/>
      <c r="H155" s="7"/>
    </row>
    <row r="156" spans="1:8" s="10" customFormat="1" x14ac:dyDescent="0.25">
      <c r="A156" s="248"/>
      <c r="B156" s="42"/>
      <c r="C156" s="61" t="s">
        <v>395</v>
      </c>
      <c r="D156" s="86">
        <v>1000</v>
      </c>
      <c r="E156" s="53">
        <v>1000</v>
      </c>
      <c r="F156" s="53"/>
      <c r="G156" s="108"/>
      <c r="H156" s="7"/>
    </row>
    <row r="157" spans="1:8" s="10" customFormat="1" x14ac:dyDescent="0.25">
      <c r="A157" s="248"/>
      <c r="B157" s="42"/>
      <c r="C157" s="61" t="s">
        <v>396</v>
      </c>
      <c r="D157" s="86">
        <v>700</v>
      </c>
      <c r="E157" s="53">
        <v>700</v>
      </c>
      <c r="F157" s="53"/>
      <c r="G157" s="108"/>
      <c r="H157" s="7"/>
    </row>
    <row r="158" spans="1:8" s="10" customFormat="1" x14ac:dyDescent="0.25">
      <c r="A158" s="248"/>
      <c r="B158" s="42"/>
      <c r="C158" s="61" t="s">
        <v>397</v>
      </c>
      <c r="D158" s="86">
        <v>3100</v>
      </c>
      <c r="E158" s="53">
        <v>3100</v>
      </c>
      <c r="F158" s="53"/>
      <c r="G158" s="108"/>
      <c r="H158" s="7"/>
    </row>
    <row r="159" spans="1:8" s="10" customFormat="1" x14ac:dyDescent="0.25">
      <c r="A159" s="248"/>
      <c r="B159" s="42"/>
      <c r="C159" s="61" t="s">
        <v>398</v>
      </c>
      <c r="D159" s="86">
        <v>800</v>
      </c>
      <c r="E159" s="53">
        <v>800</v>
      </c>
      <c r="F159" s="53"/>
      <c r="G159" s="108"/>
      <c r="H159" s="7"/>
    </row>
    <row r="160" spans="1:8" s="10" customFormat="1" x14ac:dyDescent="0.25">
      <c r="A160" s="248"/>
      <c r="B160" s="42"/>
      <c r="C160" s="61" t="s">
        <v>399</v>
      </c>
      <c r="D160" s="86">
        <v>100</v>
      </c>
      <c r="E160" s="53">
        <v>100</v>
      </c>
      <c r="F160" s="53"/>
      <c r="G160" s="108"/>
      <c r="H160" s="7"/>
    </row>
    <row r="161" spans="1:9" s="10" customFormat="1" x14ac:dyDescent="0.25">
      <c r="A161" s="248"/>
      <c r="B161" s="42"/>
      <c r="C161" s="61" t="s">
        <v>400</v>
      </c>
      <c r="D161" s="86">
        <v>301</v>
      </c>
      <c r="E161" s="53">
        <v>301</v>
      </c>
      <c r="F161" s="53"/>
      <c r="G161" s="108"/>
      <c r="H161" s="7"/>
    </row>
    <row r="162" spans="1:9" s="10" customFormat="1" x14ac:dyDescent="0.25">
      <c r="A162" s="248"/>
      <c r="B162" s="42"/>
      <c r="C162" s="61" t="s">
        <v>401</v>
      </c>
      <c r="D162" s="86">
        <v>550</v>
      </c>
      <c r="E162" s="53">
        <v>550</v>
      </c>
      <c r="F162" s="53"/>
      <c r="G162" s="108"/>
      <c r="H162" s="7"/>
    </row>
    <row r="163" spans="1:9" s="10" customFormat="1" x14ac:dyDescent="0.25">
      <c r="A163" s="248"/>
      <c r="B163" s="42"/>
      <c r="C163" s="61" t="s">
        <v>402</v>
      </c>
      <c r="D163" s="86">
        <v>250</v>
      </c>
      <c r="E163" s="53">
        <v>250</v>
      </c>
      <c r="F163" s="53"/>
      <c r="G163" s="108"/>
      <c r="H163" s="7"/>
    </row>
    <row r="164" spans="1:9" s="10" customFormat="1" ht="30" x14ac:dyDescent="0.25">
      <c r="A164" s="248"/>
      <c r="B164" s="42"/>
      <c r="C164" s="61" t="s">
        <v>403</v>
      </c>
      <c r="D164" s="86">
        <v>1000</v>
      </c>
      <c r="E164" s="53">
        <v>1000</v>
      </c>
      <c r="F164" s="53"/>
      <c r="G164" s="108"/>
      <c r="H164" s="7"/>
    </row>
    <row r="165" spans="1:9" s="10" customFormat="1" x14ac:dyDescent="0.25">
      <c r="A165" s="248"/>
      <c r="B165" s="42"/>
      <c r="C165" s="61" t="s">
        <v>404</v>
      </c>
      <c r="D165" s="86">
        <v>1000</v>
      </c>
      <c r="E165" s="53">
        <v>1000</v>
      </c>
      <c r="F165" s="53"/>
      <c r="G165" s="108"/>
      <c r="H165" s="7"/>
    </row>
    <row r="166" spans="1:9" s="10" customFormat="1" x14ac:dyDescent="0.25">
      <c r="A166" s="248"/>
      <c r="B166" s="42"/>
      <c r="C166" s="61"/>
      <c r="D166" s="86"/>
      <c r="E166" s="53"/>
      <c r="F166" s="53"/>
      <c r="G166" s="108"/>
      <c r="H166" s="7"/>
    </row>
    <row r="167" spans="1:9" s="10" customFormat="1" x14ac:dyDescent="0.25">
      <c r="A167" s="248"/>
      <c r="B167" s="42"/>
      <c r="C167" s="82" t="s">
        <v>45</v>
      </c>
      <c r="D167" s="89">
        <f>SUM(D87:D165)</f>
        <v>567149</v>
      </c>
      <c r="E167" s="44">
        <f>SUM(E87:E165)</f>
        <v>445999</v>
      </c>
      <c r="F167" s="44">
        <f>SUM(F87:F165)</f>
        <v>121150</v>
      </c>
      <c r="G167" s="114">
        <f>SUM(G87:G165)</f>
        <v>0</v>
      </c>
      <c r="H167" s="7"/>
    </row>
    <row r="168" spans="1:9" s="10" customFormat="1" x14ac:dyDescent="0.25">
      <c r="A168" s="248"/>
      <c r="B168" s="42"/>
      <c r="C168" s="82"/>
      <c r="D168" s="256"/>
      <c r="E168" s="81"/>
      <c r="F168" s="81"/>
      <c r="G168" s="109"/>
      <c r="H168" s="7"/>
      <c r="I168" s="81"/>
    </row>
    <row r="169" spans="1:9" s="10" customFormat="1" x14ac:dyDescent="0.25">
      <c r="A169" s="248"/>
      <c r="B169" s="42" t="s">
        <v>13</v>
      </c>
      <c r="C169" s="65" t="s">
        <v>58</v>
      </c>
      <c r="D169" s="78"/>
      <c r="E169" s="81"/>
      <c r="F169" s="81"/>
      <c r="G169" s="109"/>
      <c r="H169" s="7"/>
      <c r="I169" s="81"/>
    </row>
    <row r="170" spans="1:9" s="113" customFormat="1" x14ac:dyDescent="0.25">
      <c r="A170" s="257"/>
      <c r="B170" s="42"/>
      <c r="C170" s="61" t="s">
        <v>115</v>
      </c>
      <c r="D170" s="35"/>
      <c r="E170" s="30"/>
      <c r="F170" s="30"/>
      <c r="G170" s="100"/>
      <c r="H170" s="7"/>
      <c r="I170" s="81"/>
    </row>
    <row r="171" spans="1:9" s="113" customFormat="1" x14ac:dyDescent="0.25">
      <c r="A171" s="257"/>
      <c r="B171" s="42"/>
      <c r="C171" s="61" t="s">
        <v>116</v>
      </c>
      <c r="D171" s="35">
        <v>10000</v>
      </c>
      <c r="E171" s="30"/>
      <c r="F171" s="30"/>
      <c r="G171" s="106">
        <v>10000</v>
      </c>
      <c r="H171" s="7"/>
      <c r="I171" s="81"/>
    </row>
    <row r="172" spans="1:9" s="113" customFormat="1" ht="30" x14ac:dyDescent="0.25">
      <c r="A172" s="257"/>
      <c r="B172" s="42"/>
      <c r="C172" s="61" t="s">
        <v>117</v>
      </c>
      <c r="D172" s="35">
        <v>1000</v>
      </c>
      <c r="E172" s="30"/>
      <c r="F172" s="30"/>
      <c r="G172" s="106">
        <v>1000</v>
      </c>
      <c r="H172" s="7"/>
      <c r="I172" s="81"/>
    </row>
    <row r="173" spans="1:9" s="113" customFormat="1" x14ac:dyDescent="0.25">
      <c r="A173" s="257"/>
      <c r="B173" s="42"/>
      <c r="C173" s="61" t="s">
        <v>118</v>
      </c>
      <c r="D173" s="35">
        <v>1500</v>
      </c>
      <c r="E173" s="30"/>
      <c r="F173" s="30"/>
      <c r="G173" s="106">
        <v>1500</v>
      </c>
      <c r="H173" s="7"/>
      <c r="I173" s="81"/>
    </row>
    <row r="174" spans="1:9" s="113" customFormat="1" x14ac:dyDescent="0.25">
      <c r="A174" s="257"/>
      <c r="B174" s="42"/>
      <c r="C174" s="61" t="s">
        <v>119</v>
      </c>
      <c r="D174" s="35">
        <v>7500</v>
      </c>
      <c r="E174" s="30"/>
      <c r="F174" s="30"/>
      <c r="G174" s="106">
        <v>7500</v>
      </c>
      <c r="H174" s="7"/>
      <c r="I174" s="81"/>
    </row>
    <row r="175" spans="1:9" s="113" customFormat="1" ht="30" customHeight="1" x14ac:dyDescent="0.25">
      <c r="A175" s="257"/>
      <c r="B175" s="42"/>
      <c r="C175" s="61" t="s">
        <v>120</v>
      </c>
      <c r="D175" s="35">
        <v>100</v>
      </c>
      <c r="E175" s="30"/>
      <c r="F175" s="30"/>
      <c r="G175" s="106">
        <v>100</v>
      </c>
      <c r="H175" s="7"/>
      <c r="I175" s="81"/>
    </row>
    <row r="176" spans="1:9" s="113" customFormat="1" x14ac:dyDescent="0.25">
      <c r="A176" s="257"/>
      <c r="B176" s="42"/>
      <c r="C176" s="61" t="s">
        <v>121</v>
      </c>
      <c r="D176" s="35">
        <v>200</v>
      </c>
      <c r="E176" s="30"/>
      <c r="F176" s="30"/>
      <c r="G176" s="106">
        <v>200</v>
      </c>
      <c r="H176" s="7"/>
      <c r="I176" s="81"/>
    </row>
    <row r="177" spans="1:9" s="113" customFormat="1" x14ac:dyDescent="0.25">
      <c r="A177" s="257"/>
      <c r="B177" s="42"/>
      <c r="C177" s="61" t="s">
        <v>122</v>
      </c>
      <c r="D177" s="35">
        <v>100</v>
      </c>
      <c r="E177" s="30"/>
      <c r="F177" s="30"/>
      <c r="G177" s="106">
        <v>100</v>
      </c>
      <c r="H177" s="7"/>
      <c r="I177" s="81"/>
    </row>
    <row r="178" spans="1:9" s="113" customFormat="1" x14ac:dyDescent="0.25">
      <c r="A178" s="257"/>
      <c r="B178" s="42"/>
      <c r="C178" s="61" t="s">
        <v>150</v>
      </c>
      <c r="D178" s="35">
        <v>1000</v>
      </c>
      <c r="E178" s="30"/>
      <c r="F178" s="30"/>
      <c r="G178" s="106">
        <v>1000</v>
      </c>
      <c r="H178" s="7"/>
      <c r="I178" s="81"/>
    </row>
    <row r="179" spans="1:9" s="113" customFormat="1" x14ac:dyDescent="0.25">
      <c r="A179" s="257"/>
      <c r="B179" s="42"/>
      <c r="C179" s="61" t="s">
        <v>151</v>
      </c>
      <c r="D179" s="35">
        <v>6000</v>
      </c>
      <c r="E179" s="30"/>
      <c r="F179" s="30"/>
      <c r="G179" s="106">
        <v>6000</v>
      </c>
      <c r="H179" s="7"/>
      <c r="I179" s="81"/>
    </row>
    <row r="180" spans="1:9" s="113" customFormat="1" x14ac:dyDescent="0.25">
      <c r="A180" s="257"/>
      <c r="B180" s="42"/>
      <c r="C180" s="258" t="s">
        <v>273</v>
      </c>
      <c r="D180" s="35">
        <v>500</v>
      </c>
      <c r="E180" s="30"/>
      <c r="F180" s="30"/>
      <c r="G180" s="106">
        <v>500</v>
      </c>
      <c r="H180" s="7"/>
      <c r="I180" s="81"/>
    </row>
    <row r="181" spans="1:9" s="113" customFormat="1" x14ac:dyDescent="0.25">
      <c r="A181" s="257"/>
      <c r="B181" s="42"/>
      <c r="C181" s="258" t="s">
        <v>272</v>
      </c>
      <c r="D181" s="35">
        <v>2500</v>
      </c>
      <c r="E181" s="30"/>
      <c r="F181" s="30"/>
      <c r="G181" s="106">
        <v>2500</v>
      </c>
      <c r="H181" s="7"/>
      <c r="I181" s="81"/>
    </row>
    <row r="182" spans="1:9" s="113" customFormat="1" x14ac:dyDescent="0.25">
      <c r="A182" s="257"/>
      <c r="B182" s="42"/>
      <c r="C182" s="258" t="s">
        <v>271</v>
      </c>
      <c r="D182" s="35">
        <v>3500</v>
      </c>
      <c r="E182" s="30"/>
      <c r="F182" s="30"/>
      <c r="G182" s="106">
        <v>3500</v>
      </c>
      <c r="H182" s="7"/>
      <c r="I182" s="81"/>
    </row>
    <row r="183" spans="1:9" s="113" customFormat="1" x14ac:dyDescent="0.25">
      <c r="A183" s="257"/>
      <c r="B183" s="42"/>
      <c r="C183" s="61" t="s">
        <v>270</v>
      </c>
      <c r="D183" s="35">
        <v>1000</v>
      </c>
      <c r="E183" s="30"/>
      <c r="F183" s="30"/>
      <c r="G183" s="106">
        <v>1000</v>
      </c>
      <c r="H183" s="7"/>
      <c r="I183" s="81"/>
    </row>
    <row r="184" spans="1:9" s="113" customFormat="1" x14ac:dyDescent="0.25">
      <c r="A184" s="257"/>
      <c r="B184" s="42"/>
      <c r="C184" s="61" t="s">
        <v>1002</v>
      </c>
      <c r="D184" s="35">
        <v>1500</v>
      </c>
      <c r="E184" s="30"/>
      <c r="F184" s="30"/>
      <c r="G184" s="106">
        <v>1500</v>
      </c>
      <c r="H184" s="7"/>
      <c r="I184" s="81"/>
    </row>
    <row r="185" spans="1:9" s="113" customFormat="1" x14ac:dyDescent="0.25">
      <c r="A185" s="257"/>
      <c r="B185" s="42"/>
      <c r="C185" s="61" t="s">
        <v>123</v>
      </c>
      <c r="D185" s="35">
        <v>2500</v>
      </c>
      <c r="E185" s="30"/>
      <c r="F185" s="30"/>
      <c r="G185" s="106">
        <v>2500</v>
      </c>
      <c r="H185" s="7"/>
      <c r="I185" s="81"/>
    </row>
    <row r="186" spans="1:9" s="113" customFormat="1" x14ac:dyDescent="0.25">
      <c r="A186" s="257"/>
      <c r="B186" s="42"/>
      <c r="C186" s="61" t="s">
        <v>124</v>
      </c>
      <c r="D186" s="35">
        <v>100</v>
      </c>
      <c r="E186" s="30"/>
      <c r="F186" s="30"/>
      <c r="G186" s="106">
        <v>100</v>
      </c>
      <c r="H186" s="7"/>
      <c r="I186" s="81"/>
    </row>
    <row r="187" spans="1:9" s="113" customFormat="1" x14ac:dyDescent="0.25">
      <c r="A187" s="257"/>
      <c r="B187" s="42"/>
      <c r="C187" s="61"/>
      <c r="D187" s="35"/>
      <c r="E187" s="30"/>
      <c r="F187" s="30"/>
      <c r="G187" s="106"/>
      <c r="H187" s="7"/>
      <c r="I187" s="81"/>
    </row>
    <row r="188" spans="1:9" s="10" customFormat="1" x14ac:dyDescent="0.25">
      <c r="A188" s="248"/>
      <c r="B188" s="51"/>
      <c r="C188" s="82" t="s">
        <v>46</v>
      </c>
      <c r="D188" s="254">
        <f>SUM(D170:D186)</f>
        <v>39000</v>
      </c>
      <c r="E188" s="44">
        <f>SUM(E170:E185)</f>
        <v>0</v>
      </c>
      <c r="F188" s="44">
        <f>SUM(F170:F185)</f>
        <v>0</v>
      </c>
      <c r="G188" s="255">
        <f>SUM(G170:G186)</f>
        <v>39000</v>
      </c>
      <c r="H188" s="7"/>
      <c r="I188" s="81"/>
    </row>
    <row r="189" spans="1:9" s="10" customFormat="1" x14ac:dyDescent="0.25">
      <c r="A189" s="248"/>
      <c r="B189" s="42"/>
      <c r="C189" s="82"/>
      <c r="D189" s="78"/>
      <c r="E189" s="81"/>
      <c r="F189" s="81"/>
      <c r="G189" s="109"/>
      <c r="H189" s="7"/>
      <c r="I189" s="81"/>
    </row>
    <row r="190" spans="1:9" s="10" customFormat="1" x14ac:dyDescent="0.25">
      <c r="A190" s="248"/>
      <c r="B190" s="42" t="s">
        <v>20</v>
      </c>
      <c r="C190" s="65" t="s">
        <v>59</v>
      </c>
      <c r="D190" s="78"/>
      <c r="E190" s="81"/>
      <c r="F190" s="81"/>
      <c r="G190" s="109"/>
      <c r="H190" s="7"/>
      <c r="I190" s="81"/>
    </row>
    <row r="191" spans="1:9" s="10" customFormat="1" x14ac:dyDescent="0.25">
      <c r="A191" s="248"/>
      <c r="B191" s="42"/>
      <c r="C191" s="65" t="s">
        <v>63</v>
      </c>
      <c r="D191" s="78"/>
      <c r="E191" s="81"/>
      <c r="F191" s="81"/>
      <c r="G191" s="109"/>
      <c r="H191" s="7"/>
      <c r="I191" s="81"/>
    </row>
    <row r="192" spans="1:9" s="10" customFormat="1" ht="16.5" customHeight="1" x14ac:dyDescent="0.25">
      <c r="A192" s="248"/>
      <c r="B192" s="42"/>
      <c r="C192" s="65" t="s">
        <v>40</v>
      </c>
      <c r="D192" s="35">
        <v>600</v>
      </c>
      <c r="E192" s="30">
        <v>600</v>
      </c>
      <c r="F192" s="30"/>
      <c r="G192" s="100"/>
      <c r="H192" s="7"/>
      <c r="I192" s="81"/>
    </row>
    <row r="193" spans="1:9" s="10" customFormat="1" ht="16.5" customHeight="1" x14ac:dyDescent="0.25">
      <c r="A193" s="248"/>
      <c r="B193" s="42"/>
      <c r="C193" s="65" t="s">
        <v>68</v>
      </c>
      <c r="D193" s="35">
        <v>3500</v>
      </c>
      <c r="E193" s="30"/>
      <c r="F193" s="30">
        <v>3500</v>
      </c>
      <c r="G193" s="100"/>
      <c r="H193" s="7"/>
      <c r="I193" s="81"/>
    </row>
    <row r="194" spans="1:9" s="10" customFormat="1" ht="30" x14ac:dyDescent="0.25">
      <c r="A194" s="248"/>
      <c r="B194" s="42"/>
      <c r="C194" s="61" t="s">
        <v>102</v>
      </c>
      <c r="D194" s="80">
        <v>333530</v>
      </c>
      <c r="E194" s="53">
        <v>169753</v>
      </c>
      <c r="F194" s="30">
        <v>163777</v>
      </c>
      <c r="G194" s="107"/>
      <c r="H194" s="7"/>
      <c r="I194" s="81"/>
    </row>
    <row r="195" spans="1:9" s="10" customFormat="1" ht="15" customHeight="1" x14ac:dyDescent="0.25">
      <c r="A195" s="248"/>
      <c r="B195" s="42"/>
      <c r="C195" s="61" t="s">
        <v>152</v>
      </c>
      <c r="D195" s="86">
        <v>400</v>
      </c>
      <c r="E195" s="53"/>
      <c r="F195" s="53">
        <v>400</v>
      </c>
      <c r="G195" s="108"/>
      <c r="H195" s="7"/>
      <c r="I195" s="81"/>
    </row>
    <row r="196" spans="1:9" s="10" customFormat="1" ht="45" x14ac:dyDescent="0.25">
      <c r="A196" s="248"/>
      <c r="B196" s="42"/>
      <c r="C196" s="259" t="s">
        <v>405</v>
      </c>
      <c r="D196" s="86">
        <v>953</v>
      </c>
      <c r="E196" s="53">
        <v>953</v>
      </c>
      <c r="F196" s="53"/>
      <c r="G196" s="108"/>
      <c r="H196" s="7"/>
      <c r="I196" s="81"/>
    </row>
    <row r="197" spans="1:9" s="10" customFormat="1" x14ac:dyDescent="0.25">
      <c r="A197" s="248"/>
      <c r="B197" s="42"/>
      <c r="C197" s="259" t="s">
        <v>406</v>
      </c>
      <c r="D197" s="86">
        <v>461</v>
      </c>
      <c r="E197" s="53">
        <v>461</v>
      </c>
      <c r="F197" s="53"/>
      <c r="G197" s="108"/>
      <c r="H197" s="7"/>
      <c r="I197" s="81"/>
    </row>
    <row r="198" spans="1:9" s="10" customFormat="1" x14ac:dyDescent="0.25">
      <c r="A198" s="248"/>
      <c r="B198" s="42"/>
      <c r="C198" s="259" t="s">
        <v>407</v>
      </c>
      <c r="D198" s="86">
        <v>287</v>
      </c>
      <c r="E198" s="53"/>
      <c r="F198" s="53">
        <v>287</v>
      </c>
      <c r="G198" s="108"/>
      <c r="H198" s="7"/>
      <c r="I198" s="81"/>
    </row>
    <row r="199" spans="1:9" s="10" customFormat="1" x14ac:dyDescent="0.25">
      <c r="A199" s="248"/>
      <c r="B199" s="42"/>
      <c r="C199" s="251" t="s">
        <v>30</v>
      </c>
      <c r="D199" s="87">
        <f>SUM(D192:D198)</f>
        <v>339731</v>
      </c>
      <c r="E199" s="40">
        <f>SUM(E192:E198)</f>
        <v>171767</v>
      </c>
      <c r="F199" s="40">
        <f>SUM(F192:F198)</f>
        <v>167964</v>
      </c>
      <c r="G199" s="104">
        <f>SUM(G192:G198)</f>
        <v>0</v>
      </c>
      <c r="H199" s="7"/>
      <c r="I199" s="81"/>
    </row>
    <row r="200" spans="1:9" s="10" customFormat="1" x14ac:dyDescent="0.25">
      <c r="A200" s="248"/>
      <c r="B200" s="42"/>
      <c r="C200" s="251"/>
      <c r="D200" s="78"/>
      <c r="E200" s="81"/>
      <c r="F200" s="81"/>
      <c r="G200" s="109"/>
      <c r="H200" s="7"/>
      <c r="I200" s="81"/>
    </row>
    <row r="201" spans="1:9" s="10" customFormat="1" x14ac:dyDescent="0.25">
      <c r="A201" s="248"/>
      <c r="B201" s="42"/>
      <c r="C201" s="65" t="s">
        <v>64</v>
      </c>
      <c r="D201" s="78"/>
      <c r="E201" s="81"/>
      <c r="F201" s="81"/>
      <c r="G201" s="109"/>
      <c r="H201" s="7"/>
      <c r="I201" s="81"/>
    </row>
    <row r="202" spans="1:9" s="10" customFormat="1" x14ac:dyDescent="0.25">
      <c r="A202" s="248"/>
      <c r="B202" s="42"/>
      <c r="C202" s="65" t="s">
        <v>114</v>
      </c>
      <c r="D202" s="35">
        <v>38400</v>
      </c>
      <c r="E202" s="30">
        <v>38400</v>
      </c>
      <c r="F202" s="30"/>
      <c r="G202" s="100"/>
      <c r="H202" s="7"/>
      <c r="I202" s="81"/>
    </row>
    <row r="203" spans="1:9" s="10" customFormat="1" x14ac:dyDescent="0.25">
      <c r="A203" s="248"/>
      <c r="B203" s="42"/>
      <c r="C203" s="65" t="s">
        <v>1003</v>
      </c>
      <c r="D203" s="35">
        <v>24000</v>
      </c>
      <c r="E203" s="30">
        <v>24000</v>
      </c>
      <c r="F203" s="30"/>
      <c r="G203" s="100"/>
      <c r="H203" s="7"/>
      <c r="I203" s="81"/>
    </row>
    <row r="204" spans="1:9" s="10" customFormat="1" x14ac:dyDescent="0.25">
      <c r="A204" s="248"/>
      <c r="B204" s="42"/>
      <c r="C204" s="65" t="s">
        <v>408</v>
      </c>
      <c r="D204" s="35">
        <v>4000</v>
      </c>
      <c r="E204" s="30"/>
      <c r="F204" s="30">
        <v>4000</v>
      </c>
      <c r="G204" s="100"/>
      <c r="H204" s="7"/>
      <c r="I204" s="81"/>
    </row>
    <row r="205" spans="1:9" s="10" customFormat="1" x14ac:dyDescent="0.25">
      <c r="A205" s="248"/>
      <c r="B205" s="42"/>
      <c r="C205" s="65" t="s">
        <v>409</v>
      </c>
      <c r="D205" s="35">
        <v>600</v>
      </c>
      <c r="E205" s="30">
        <v>600</v>
      </c>
      <c r="F205" s="30"/>
      <c r="G205" s="100"/>
      <c r="H205" s="7"/>
      <c r="I205" s="81"/>
    </row>
    <row r="206" spans="1:9" s="10" customFormat="1" x14ac:dyDescent="0.25">
      <c r="A206" s="248"/>
      <c r="B206" s="42"/>
      <c r="C206" s="65" t="s">
        <v>410</v>
      </c>
      <c r="D206" s="35">
        <v>14259</v>
      </c>
      <c r="E206" s="30">
        <v>14259</v>
      </c>
      <c r="F206" s="30"/>
      <c r="G206" s="100"/>
      <c r="H206" s="7"/>
      <c r="I206" s="81"/>
    </row>
    <row r="207" spans="1:9" s="10" customFormat="1" x14ac:dyDescent="0.25">
      <c r="A207" s="248"/>
      <c r="B207" s="42"/>
      <c r="C207" s="65" t="s">
        <v>411</v>
      </c>
      <c r="D207" s="35">
        <v>3280</v>
      </c>
      <c r="E207" s="30">
        <v>3280</v>
      </c>
      <c r="F207" s="30"/>
      <c r="G207" s="100"/>
      <c r="H207" s="7"/>
      <c r="I207" s="81"/>
    </row>
    <row r="208" spans="1:9" s="10" customFormat="1" x14ac:dyDescent="0.25">
      <c r="A208" s="248"/>
      <c r="B208" s="42"/>
      <c r="C208" s="61" t="s">
        <v>412</v>
      </c>
      <c r="D208" s="80">
        <v>4000</v>
      </c>
      <c r="E208" s="53"/>
      <c r="F208" s="53">
        <v>4000</v>
      </c>
      <c r="G208" s="107"/>
      <c r="H208" s="7"/>
      <c r="I208" s="81"/>
    </row>
    <row r="209" spans="1:9" s="22" customFormat="1" x14ac:dyDescent="0.25">
      <c r="A209" s="249"/>
      <c r="B209" s="42"/>
      <c r="C209" s="61" t="s">
        <v>413</v>
      </c>
      <c r="D209" s="80">
        <v>1000</v>
      </c>
      <c r="E209" s="53"/>
      <c r="F209" s="53">
        <v>1000</v>
      </c>
      <c r="G209" s="107"/>
      <c r="H209" s="7"/>
      <c r="I209" s="81"/>
    </row>
    <row r="210" spans="1:9" s="10" customFormat="1" x14ac:dyDescent="0.25">
      <c r="A210" s="248"/>
      <c r="B210" s="42"/>
      <c r="C210" s="61" t="s">
        <v>414</v>
      </c>
      <c r="D210" s="80">
        <v>200</v>
      </c>
      <c r="E210" s="53"/>
      <c r="F210" s="53">
        <v>200</v>
      </c>
      <c r="G210" s="107"/>
      <c r="H210" s="7"/>
      <c r="I210" s="81"/>
    </row>
    <row r="211" spans="1:9" s="10" customFormat="1" x14ac:dyDescent="0.25">
      <c r="A211" s="248"/>
      <c r="B211" s="42"/>
      <c r="C211" s="61" t="s">
        <v>415</v>
      </c>
      <c r="D211" s="80">
        <v>1000</v>
      </c>
      <c r="E211" s="53"/>
      <c r="F211" s="53">
        <v>1000</v>
      </c>
      <c r="G211" s="107"/>
      <c r="H211" s="7"/>
      <c r="I211" s="81"/>
    </row>
    <row r="212" spans="1:9" s="10" customFormat="1" x14ac:dyDescent="0.25">
      <c r="A212" s="248"/>
      <c r="B212" s="42"/>
      <c r="C212" s="61" t="s">
        <v>416</v>
      </c>
      <c r="D212" s="80">
        <v>100</v>
      </c>
      <c r="E212" s="53"/>
      <c r="F212" s="53">
        <v>100</v>
      </c>
      <c r="G212" s="107"/>
      <c r="H212" s="7"/>
      <c r="I212" s="81"/>
    </row>
    <row r="213" spans="1:9" s="10" customFormat="1" x14ac:dyDescent="0.25">
      <c r="A213" s="248"/>
      <c r="B213" s="42"/>
      <c r="C213" s="259" t="s">
        <v>417</v>
      </c>
      <c r="D213" s="86">
        <v>500</v>
      </c>
      <c r="E213" s="53">
        <v>500</v>
      </c>
      <c r="F213" s="53"/>
      <c r="G213" s="108"/>
      <c r="H213" s="7"/>
      <c r="I213" s="81"/>
    </row>
    <row r="214" spans="1:9" s="10" customFormat="1" x14ac:dyDescent="0.25">
      <c r="A214" s="248"/>
      <c r="B214" s="42"/>
      <c r="C214" s="259" t="s">
        <v>418</v>
      </c>
      <c r="D214" s="86">
        <v>1000</v>
      </c>
      <c r="E214" s="53"/>
      <c r="F214" s="53">
        <v>1000</v>
      </c>
      <c r="G214" s="108"/>
      <c r="H214" s="7"/>
      <c r="I214" s="81"/>
    </row>
    <row r="215" spans="1:9" s="10" customFormat="1" ht="30" x14ac:dyDescent="0.25">
      <c r="A215" s="248"/>
      <c r="B215" s="42"/>
      <c r="C215" s="259" t="s">
        <v>419</v>
      </c>
      <c r="D215" s="86">
        <v>44000</v>
      </c>
      <c r="E215" s="53">
        <v>44000</v>
      </c>
      <c r="F215" s="53"/>
      <c r="G215" s="108"/>
      <c r="H215" s="7"/>
      <c r="I215" s="81"/>
    </row>
    <row r="216" spans="1:9" s="10" customFormat="1" x14ac:dyDescent="0.25">
      <c r="A216" s="248"/>
      <c r="B216" s="42"/>
      <c r="C216" s="259" t="s">
        <v>420</v>
      </c>
      <c r="D216" s="86">
        <v>1200</v>
      </c>
      <c r="E216" s="53">
        <v>1200</v>
      </c>
      <c r="F216" s="53"/>
      <c r="G216" s="108"/>
      <c r="H216" s="7"/>
      <c r="I216" s="81"/>
    </row>
    <row r="217" spans="1:9" s="10" customFormat="1" ht="30" x14ac:dyDescent="0.25">
      <c r="A217" s="248"/>
      <c r="B217" s="42"/>
      <c r="C217" s="259" t="s">
        <v>421</v>
      </c>
      <c r="D217" s="86">
        <v>1787</v>
      </c>
      <c r="E217" s="53">
        <v>1787</v>
      </c>
      <c r="F217" s="53"/>
      <c r="G217" s="108"/>
      <c r="H217" s="7"/>
      <c r="I217" s="81"/>
    </row>
    <row r="218" spans="1:9" s="10" customFormat="1" ht="30" x14ac:dyDescent="0.25">
      <c r="A218" s="248"/>
      <c r="B218" s="42"/>
      <c r="C218" s="259" t="s">
        <v>422</v>
      </c>
      <c r="D218" s="86">
        <v>12036</v>
      </c>
      <c r="E218" s="53">
        <v>12036</v>
      </c>
      <c r="F218" s="53"/>
      <c r="G218" s="108"/>
      <c r="H218" s="7"/>
      <c r="I218" s="81"/>
    </row>
    <row r="219" spans="1:9" s="10" customFormat="1" x14ac:dyDescent="0.25">
      <c r="A219" s="248"/>
      <c r="B219" s="42"/>
      <c r="C219" s="251" t="s">
        <v>30</v>
      </c>
      <c r="D219" s="87">
        <f>SUM(D202:D218)</f>
        <v>151362</v>
      </c>
      <c r="E219" s="40">
        <f>SUM(E202:E218)</f>
        <v>140062</v>
      </c>
      <c r="F219" s="40">
        <f>SUM(F202:F218)</f>
        <v>11300</v>
      </c>
      <c r="G219" s="104">
        <f>SUM(G202:G218)</f>
        <v>0</v>
      </c>
      <c r="H219" s="7"/>
      <c r="I219" s="81"/>
    </row>
    <row r="220" spans="1:9" s="10" customFormat="1" x14ac:dyDescent="0.25">
      <c r="A220" s="248"/>
      <c r="B220" s="42"/>
      <c r="C220" s="82"/>
      <c r="D220" s="78"/>
      <c r="E220" s="81"/>
      <c r="F220" s="81"/>
      <c r="G220" s="109"/>
      <c r="H220" s="7"/>
      <c r="I220" s="81"/>
    </row>
    <row r="221" spans="1:9" s="10" customFormat="1" x14ac:dyDescent="0.25">
      <c r="A221" s="24"/>
      <c r="B221" s="51"/>
      <c r="C221" s="65" t="s">
        <v>85</v>
      </c>
      <c r="D221" s="78"/>
      <c r="E221" s="81"/>
      <c r="F221" s="81"/>
      <c r="G221" s="109"/>
      <c r="H221" s="7"/>
      <c r="I221" s="81"/>
    </row>
    <row r="222" spans="1:9" s="10" customFormat="1" ht="30" x14ac:dyDescent="0.25">
      <c r="A222" s="24"/>
      <c r="B222" s="51"/>
      <c r="C222" s="61" t="s">
        <v>423</v>
      </c>
      <c r="D222" s="80">
        <v>2431</v>
      </c>
      <c r="E222" s="53">
        <v>2431</v>
      </c>
      <c r="F222" s="53"/>
      <c r="G222" s="107"/>
      <c r="H222" s="7"/>
      <c r="I222" s="81"/>
    </row>
    <row r="223" spans="1:9" s="10" customFormat="1" x14ac:dyDescent="0.25">
      <c r="A223" s="24"/>
      <c r="B223" s="51"/>
      <c r="C223" s="61" t="s">
        <v>424</v>
      </c>
      <c r="D223" s="86">
        <v>1715</v>
      </c>
      <c r="E223" s="53">
        <v>1715</v>
      </c>
      <c r="F223" s="53"/>
      <c r="G223" s="108"/>
      <c r="H223" s="7"/>
      <c r="I223" s="81"/>
    </row>
    <row r="224" spans="1:9" s="10" customFormat="1" ht="45" x14ac:dyDescent="0.25">
      <c r="A224" s="24"/>
      <c r="B224" s="51"/>
      <c r="C224" s="61" t="s">
        <v>425</v>
      </c>
      <c r="D224" s="86">
        <v>4385</v>
      </c>
      <c r="E224" s="53">
        <v>4385</v>
      </c>
      <c r="F224" s="53"/>
      <c r="G224" s="108"/>
      <c r="H224" s="7"/>
      <c r="I224" s="81"/>
    </row>
    <row r="225" spans="1:9" s="10" customFormat="1" ht="45" x14ac:dyDescent="0.25">
      <c r="A225" s="24"/>
      <c r="B225" s="51"/>
      <c r="C225" s="61" t="s">
        <v>426</v>
      </c>
      <c r="D225" s="86">
        <v>3096</v>
      </c>
      <c r="E225" s="53">
        <v>3096</v>
      </c>
      <c r="F225" s="53"/>
      <c r="G225" s="108"/>
      <c r="H225" s="7"/>
      <c r="I225" s="81"/>
    </row>
    <row r="226" spans="1:9" s="10" customFormat="1" ht="45" x14ac:dyDescent="0.25">
      <c r="A226" s="24"/>
      <c r="B226" s="51"/>
      <c r="C226" s="61" t="s">
        <v>427</v>
      </c>
      <c r="D226" s="86">
        <v>7335</v>
      </c>
      <c r="E226" s="53">
        <v>7335</v>
      </c>
      <c r="F226" s="53"/>
      <c r="G226" s="108"/>
      <c r="H226" s="7"/>
      <c r="I226" s="81"/>
    </row>
    <row r="227" spans="1:9" s="10" customFormat="1" x14ac:dyDescent="0.25">
      <c r="A227" s="24"/>
      <c r="B227" s="42"/>
      <c r="C227" s="251" t="s">
        <v>30</v>
      </c>
      <c r="D227" s="89">
        <f>SUM(D222:D226)</f>
        <v>18962</v>
      </c>
      <c r="E227" s="44">
        <f>SUM(E222:E226)</f>
        <v>18962</v>
      </c>
      <c r="F227" s="44">
        <f>SUM(F222:F226)</f>
        <v>0</v>
      </c>
      <c r="G227" s="114">
        <f>SUM(G222:G226)</f>
        <v>0</v>
      </c>
      <c r="H227" s="7"/>
      <c r="I227" s="81"/>
    </row>
    <row r="228" spans="1:9" s="10" customFormat="1" x14ac:dyDescent="0.25">
      <c r="A228" s="24"/>
      <c r="B228" s="42"/>
      <c r="C228" s="82"/>
      <c r="D228" s="78"/>
      <c r="E228" s="81"/>
      <c r="F228" s="81"/>
      <c r="G228" s="109"/>
      <c r="H228" s="7"/>
      <c r="I228" s="81"/>
    </row>
    <row r="229" spans="1:9" s="10" customFormat="1" x14ac:dyDescent="0.25">
      <c r="A229" s="24"/>
      <c r="B229" s="51"/>
      <c r="C229" s="65" t="s">
        <v>69</v>
      </c>
      <c r="D229" s="35">
        <v>5000</v>
      </c>
      <c r="E229" s="30">
        <v>5000</v>
      </c>
      <c r="F229" s="30"/>
      <c r="G229" s="100"/>
      <c r="H229" s="7"/>
      <c r="I229" s="81"/>
    </row>
    <row r="230" spans="1:9" s="10" customFormat="1" x14ac:dyDescent="0.25">
      <c r="A230" s="24"/>
      <c r="B230" s="51"/>
      <c r="C230" s="65"/>
      <c r="D230" s="35"/>
      <c r="E230" s="30"/>
      <c r="F230" s="30"/>
      <c r="G230" s="100"/>
      <c r="H230" s="7"/>
      <c r="I230" s="81"/>
    </row>
    <row r="231" spans="1:9" s="10" customFormat="1" ht="30" x14ac:dyDescent="0.25">
      <c r="A231" s="24"/>
      <c r="B231" s="51"/>
      <c r="C231" s="61" t="s">
        <v>107</v>
      </c>
      <c r="D231" s="35"/>
      <c r="E231" s="30"/>
      <c r="F231" s="30"/>
      <c r="G231" s="100"/>
      <c r="H231" s="7"/>
      <c r="I231" s="81"/>
    </row>
    <row r="232" spans="1:9" s="10" customFormat="1" x14ac:dyDescent="0.25">
      <c r="A232" s="24"/>
      <c r="B232" s="51"/>
      <c r="C232" s="259" t="s">
        <v>153</v>
      </c>
      <c r="D232" s="86">
        <v>5000</v>
      </c>
      <c r="E232" s="53">
        <v>5000</v>
      </c>
      <c r="F232" s="53"/>
      <c r="G232" s="108"/>
      <c r="H232" s="7"/>
      <c r="I232" s="81"/>
    </row>
    <row r="233" spans="1:9" s="10" customFormat="1" x14ac:dyDescent="0.25">
      <c r="A233" s="24"/>
      <c r="B233" s="42"/>
      <c r="C233" s="251" t="s">
        <v>30</v>
      </c>
      <c r="D233" s="89">
        <f>SUM(D232:D232)</f>
        <v>5000</v>
      </c>
      <c r="E233" s="44">
        <f>SUM(E232:E232)</f>
        <v>5000</v>
      </c>
      <c r="F233" s="44">
        <f>SUM(F232:F232)</f>
        <v>0</v>
      </c>
      <c r="G233" s="114">
        <f>SUM(G232:G232)</f>
        <v>0</v>
      </c>
      <c r="H233" s="7"/>
      <c r="I233" s="81"/>
    </row>
    <row r="234" spans="1:9" s="10" customFormat="1" x14ac:dyDescent="0.25">
      <c r="A234" s="24"/>
      <c r="B234" s="42"/>
      <c r="C234" s="65"/>
      <c r="D234" s="78"/>
      <c r="E234" s="81"/>
      <c r="F234" s="81"/>
      <c r="G234" s="109"/>
      <c r="H234" s="7"/>
      <c r="I234" s="81"/>
    </row>
    <row r="235" spans="1:9" s="10" customFormat="1" x14ac:dyDescent="0.25">
      <c r="A235" s="24"/>
      <c r="B235" s="42"/>
      <c r="C235" s="82" t="s">
        <v>66</v>
      </c>
      <c r="D235" s="89">
        <f>D199+D219+D227+D229+D233</f>
        <v>520055</v>
      </c>
      <c r="E235" s="44">
        <f>E199+E219+E227+E229+E233</f>
        <v>340791</v>
      </c>
      <c r="F235" s="44">
        <f>F199+F219+F227+F229+F233</f>
        <v>179264</v>
      </c>
      <c r="G235" s="114">
        <f>G199+G219+G227+G229+G233</f>
        <v>0</v>
      </c>
      <c r="H235" s="7"/>
      <c r="I235" s="81"/>
    </row>
    <row r="236" spans="1:9" s="10" customFormat="1" x14ac:dyDescent="0.25">
      <c r="A236" s="248"/>
      <c r="B236" s="42"/>
      <c r="C236" s="82"/>
      <c r="D236" s="78"/>
      <c r="E236" s="81"/>
      <c r="F236" s="81"/>
      <c r="G236" s="109"/>
      <c r="H236" s="7"/>
      <c r="I236" s="81"/>
    </row>
    <row r="237" spans="1:9" s="10" customFormat="1" x14ac:dyDescent="0.25">
      <c r="A237" s="248"/>
      <c r="B237" s="42" t="s">
        <v>25</v>
      </c>
      <c r="C237" s="65" t="s">
        <v>60</v>
      </c>
      <c r="D237" s="78"/>
      <c r="E237" s="81"/>
      <c r="F237" s="81"/>
      <c r="G237" s="109"/>
      <c r="H237" s="7"/>
      <c r="I237" s="81"/>
    </row>
    <row r="238" spans="1:9" s="10" customFormat="1" x14ac:dyDescent="0.25">
      <c r="A238" s="248"/>
      <c r="B238" s="42"/>
      <c r="C238" s="65" t="s">
        <v>428</v>
      </c>
      <c r="D238" s="35">
        <v>10000</v>
      </c>
      <c r="E238" s="30">
        <v>10000</v>
      </c>
      <c r="F238" s="81"/>
      <c r="G238" s="109"/>
      <c r="H238" s="7"/>
      <c r="I238" s="81"/>
    </row>
    <row r="239" spans="1:9" s="10" customFormat="1" x14ac:dyDescent="0.25">
      <c r="A239" s="248"/>
      <c r="B239" s="42"/>
      <c r="C239" s="65" t="s">
        <v>429</v>
      </c>
      <c r="D239" s="35">
        <v>3000</v>
      </c>
      <c r="E239" s="30">
        <v>3000</v>
      </c>
      <c r="F239" s="81"/>
      <c r="G239" s="109"/>
      <c r="H239" s="7"/>
      <c r="I239" s="81"/>
    </row>
    <row r="240" spans="1:9" s="10" customFormat="1" x14ac:dyDescent="0.25">
      <c r="A240" s="248"/>
      <c r="B240" s="42"/>
      <c r="C240" s="65" t="s">
        <v>430</v>
      </c>
      <c r="D240" s="35">
        <v>5000</v>
      </c>
      <c r="E240" s="30">
        <v>5000</v>
      </c>
      <c r="F240" s="81"/>
      <c r="G240" s="109"/>
      <c r="H240" s="7"/>
      <c r="I240" s="81"/>
    </row>
    <row r="241" spans="1:9" s="10" customFormat="1" x14ac:dyDescent="0.25">
      <c r="A241" s="248"/>
      <c r="B241" s="42"/>
      <c r="C241" s="65" t="s">
        <v>431</v>
      </c>
      <c r="D241" s="35">
        <v>250</v>
      </c>
      <c r="E241" s="30">
        <v>250</v>
      </c>
      <c r="F241" s="81"/>
      <c r="G241" s="109"/>
      <c r="H241" s="7"/>
      <c r="I241" s="81"/>
    </row>
    <row r="242" spans="1:9" s="10" customFormat="1" x14ac:dyDescent="0.25">
      <c r="A242" s="248"/>
      <c r="B242" s="42"/>
      <c r="C242" s="65" t="s">
        <v>432</v>
      </c>
      <c r="D242" s="35">
        <v>2000</v>
      </c>
      <c r="E242" s="30">
        <v>2000</v>
      </c>
      <c r="F242" s="81"/>
      <c r="G242" s="109"/>
      <c r="H242" s="7"/>
      <c r="I242" s="81"/>
    </row>
    <row r="243" spans="1:9" s="10" customFormat="1" x14ac:dyDescent="0.25">
      <c r="A243" s="248"/>
      <c r="B243" s="42"/>
      <c r="C243" s="65" t="s">
        <v>433</v>
      </c>
      <c r="D243" s="35">
        <v>4000</v>
      </c>
      <c r="E243" s="30">
        <v>4000</v>
      </c>
      <c r="F243" s="81"/>
      <c r="G243" s="109"/>
      <c r="H243" s="7"/>
      <c r="I243" s="81"/>
    </row>
    <row r="244" spans="1:9" s="10" customFormat="1" x14ac:dyDescent="0.25">
      <c r="A244" s="248"/>
      <c r="B244" s="42"/>
      <c r="C244" s="65" t="s">
        <v>434</v>
      </c>
      <c r="D244" s="35">
        <v>2500</v>
      </c>
      <c r="E244" s="30">
        <v>2500</v>
      </c>
      <c r="F244" s="81"/>
      <c r="G244" s="109"/>
      <c r="H244" s="7"/>
      <c r="I244" s="81"/>
    </row>
    <row r="245" spans="1:9" s="10" customFormat="1" ht="15" customHeight="1" x14ac:dyDescent="0.25">
      <c r="A245" s="248"/>
      <c r="B245" s="42"/>
      <c r="C245" s="65" t="s">
        <v>435</v>
      </c>
      <c r="D245" s="35">
        <v>4946</v>
      </c>
      <c r="E245" s="30">
        <v>4946</v>
      </c>
      <c r="F245" s="81"/>
      <c r="G245" s="109"/>
      <c r="H245" s="305"/>
      <c r="I245" s="81"/>
    </row>
    <row r="246" spans="1:9" s="10" customFormat="1" x14ac:dyDescent="0.25">
      <c r="A246" s="248"/>
      <c r="B246" s="42"/>
      <c r="C246" s="65" t="s">
        <v>436</v>
      </c>
      <c r="D246" s="35">
        <v>468</v>
      </c>
      <c r="E246" s="30">
        <v>468</v>
      </c>
      <c r="F246" s="81"/>
      <c r="G246" s="109"/>
      <c r="H246" s="7"/>
      <c r="I246" s="81"/>
    </row>
    <row r="247" spans="1:9" s="10" customFormat="1" x14ac:dyDescent="0.25">
      <c r="A247" s="248"/>
      <c r="B247" s="42"/>
      <c r="C247" s="65" t="s">
        <v>437</v>
      </c>
      <c r="D247" s="35">
        <v>7000</v>
      </c>
      <c r="E247" s="30">
        <v>7000</v>
      </c>
      <c r="F247" s="30"/>
      <c r="G247" s="100"/>
      <c r="H247" s="7"/>
      <c r="I247" s="81"/>
    </row>
    <row r="248" spans="1:9" s="10" customFormat="1" x14ac:dyDescent="0.25">
      <c r="A248" s="248"/>
      <c r="B248" s="42"/>
      <c r="C248" s="61" t="s">
        <v>438</v>
      </c>
      <c r="D248" s="85">
        <v>8800</v>
      </c>
      <c r="E248" s="30">
        <v>8800</v>
      </c>
      <c r="F248" s="30"/>
      <c r="G248" s="100"/>
      <c r="H248" s="7"/>
      <c r="I248" s="81"/>
    </row>
    <row r="249" spans="1:9" s="10" customFormat="1" x14ac:dyDescent="0.25">
      <c r="A249" s="248"/>
      <c r="B249" s="42"/>
      <c r="C249" s="61" t="s">
        <v>439</v>
      </c>
      <c r="D249" s="85">
        <v>2886</v>
      </c>
      <c r="E249" s="30">
        <v>2886</v>
      </c>
      <c r="F249" s="30"/>
      <c r="G249" s="100"/>
      <c r="H249" s="7"/>
      <c r="I249" s="81"/>
    </row>
    <row r="250" spans="1:9" s="10" customFormat="1" x14ac:dyDescent="0.25">
      <c r="A250" s="248"/>
      <c r="B250" s="42"/>
      <c r="C250" s="61" t="s">
        <v>440</v>
      </c>
      <c r="D250" s="85">
        <v>5509</v>
      </c>
      <c r="E250" s="30">
        <v>5509</v>
      </c>
      <c r="F250" s="30"/>
      <c r="G250" s="100"/>
      <c r="H250" s="7"/>
      <c r="I250" s="81"/>
    </row>
    <row r="251" spans="1:9" s="10" customFormat="1" ht="16.5" customHeight="1" x14ac:dyDescent="0.25">
      <c r="A251" s="248"/>
      <c r="B251" s="42"/>
      <c r="C251" s="61" t="s">
        <v>518</v>
      </c>
      <c r="D251" s="85">
        <v>5000</v>
      </c>
      <c r="E251" s="30">
        <v>5000</v>
      </c>
      <c r="F251" s="30"/>
      <c r="G251" s="100"/>
      <c r="H251" s="7"/>
      <c r="I251" s="81"/>
    </row>
    <row r="252" spans="1:9" s="10" customFormat="1" x14ac:dyDescent="0.25">
      <c r="A252" s="248"/>
      <c r="B252" s="42"/>
      <c r="C252" s="61" t="s">
        <v>441</v>
      </c>
      <c r="D252" s="85">
        <v>2559</v>
      </c>
      <c r="E252" s="30">
        <v>2559</v>
      </c>
      <c r="F252" s="30"/>
      <c r="G252" s="100"/>
      <c r="H252" s="7"/>
      <c r="I252" s="81"/>
    </row>
    <row r="253" spans="1:9" s="10" customFormat="1" ht="30" x14ac:dyDescent="0.25">
      <c r="A253" s="248"/>
      <c r="B253" s="42"/>
      <c r="C253" s="61" t="s">
        <v>442</v>
      </c>
      <c r="D253" s="86">
        <v>1000</v>
      </c>
      <c r="E253" s="53">
        <v>1000</v>
      </c>
      <c r="F253" s="53"/>
      <c r="G253" s="108"/>
      <c r="H253" s="7"/>
      <c r="I253" s="81"/>
    </row>
    <row r="254" spans="1:9" s="10" customFormat="1" ht="30" x14ac:dyDescent="0.25">
      <c r="A254" s="248"/>
      <c r="B254" s="42"/>
      <c r="C254" s="61" t="s">
        <v>443</v>
      </c>
      <c r="D254" s="86">
        <v>500</v>
      </c>
      <c r="E254" s="53">
        <v>500</v>
      </c>
      <c r="F254" s="53"/>
      <c r="G254" s="108"/>
      <c r="H254" s="7"/>
      <c r="I254" s="81"/>
    </row>
    <row r="255" spans="1:9" s="10" customFormat="1" x14ac:dyDescent="0.25">
      <c r="A255" s="248"/>
      <c r="B255" s="42"/>
      <c r="C255" s="61" t="s">
        <v>444</v>
      </c>
      <c r="D255" s="86">
        <v>1500</v>
      </c>
      <c r="E255" s="53">
        <v>1500</v>
      </c>
      <c r="F255" s="53"/>
      <c r="G255" s="108"/>
      <c r="H255" s="7"/>
      <c r="I255" s="81"/>
    </row>
    <row r="256" spans="1:9" s="10" customFormat="1" x14ac:dyDescent="0.25">
      <c r="A256" s="248"/>
      <c r="B256" s="42"/>
      <c r="C256" s="61" t="s">
        <v>445</v>
      </c>
      <c r="D256" s="86">
        <v>1600</v>
      </c>
      <c r="E256" s="53">
        <v>1600</v>
      </c>
      <c r="F256" s="53"/>
      <c r="G256" s="108"/>
      <c r="H256" s="7"/>
      <c r="I256" s="81"/>
    </row>
    <row r="257" spans="1:9" s="10" customFormat="1" x14ac:dyDescent="0.25">
      <c r="A257" s="248"/>
      <c r="B257" s="42"/>
      <c r="C257" s="61" t="s">
        <v>446</v>
      </c>
      <c r="D257" s="86">
        <v>3600</v>
      </c>
      <c r="E257" s="53">
        <v>3600</v>
      </c>
      <c r="F257" s="53"/>
      <c r="G257" s="108"/>
      <c r="H257" s="7"/>
      <c r="I257" s="81"/>
    </row>
    <row r="258" spans="1:9" s="10" customFormat="1" ht="16.5" customHeight="1" x14ac:dyDescent="0.25">
      <c r="A258" s="248"/>
      <c r="B258" s="42"/>
      <c r="C258" s="61" t="s">
        <v>1001</v>
      </c>
      <c r="D258" s="86">
        <v>2200</v>
      </c>
      <c r="E258" s="53">
        <v>2200</v>
      </c>
      <c r="F258" s="53"/>
      <c r="G258" s="108"/>
      <c r="H258" s="7"/>
      <c r="I258" s="81"/>
    </row>
    <row r="259" spans="1:9" s="10" customFormat="1" x14ac:dyDescent="0.25">
      <c r="A259" s="248"/>
      <c r="B259" s="42"/>
      <c r="C259" s="61" t="s">
        <v>447</v>
      </c>
      <c r="D259" s="86">
        <v>4318</v>
      </c>
      <c r="E259" s="53">
        <v>4318</v>
      </c>
      <c r="F259" s="53"/>
      <c r="G259" s="108"/>
      <c r="H259" s="7"/>
      <c r="I259" s="81"/>
    </row>
    <row r="260" spans="1:9" s="10" customFormat="1" x14ac:dyDescent="0.25">
      <c r="A260" s="248"/>
      <c r="B260" s="42"/>
      <c r="C260" s="61" t="s">
        <v>448</v>
      </c>
      <c r="D260" s="86">
        <v>12850</v>
      </c>
      <c r="E260" s="53">
        <v>12850</v>
      </c>
      <c r="F260" s="53"/>
      <c r="G260" s="108"/>
      <c r="H260" s="7"/>
      <c r="I260" s="81"/>
    </row>
    <row r="261" spans="1:9" s="10" customFormat="1" ht="15" customHeight="1" x14ac:dyDescent="0.25">
      <c r="A261" s="248"/>
      <c r="B261" s="42"/>
      <c r="C261" s="61" t="s">
        <v>449</v>
      </c>
      <c r="D261" s="86">
        <v>10490</v>
      </c>
      <c r="E261" s="53">
        <v>10490</v>
      </c>
      <c r="F261" s="53"/>
      <c r="G261" s="108"/>
      <c r="H261" s="305"/>
      <c r="I261" s="81"/>
    </row>
    <row r="262" spans="1:9" s="10" customFormat="1" x14ac:dyDescent="0.25">
      <c r="A262" s="248"/>
      <c r="B262" s="42"/>
      <c r="C262" s="61" t="s">
        <v>308</v>
      </c>
      <c r="D262" s="86">
        <v>2000</v>
      </c>
      <c r="E262" s="53">
        <v>2000</v>
      </c>
      <c r="F262" s="53"/>
      <c r="G262" s="108"/>
      <c r="H262" s="7"/>
      <c r="I262" s="81"/>
    </row>
    <row r="263" spans="1:9" s="10" customFormat="1" x14ac:dyDescent="0.25">
      <c r="A263" s="248"/>
      <c r="B263" s="42"/>
      <c r="C263" s="61" t="s">
        <v>154</v>
      </c>
      <c r="D263" s="86">
        <v>2000</v>
      </c>
      <c r="E263" s="53">
        <v>2000</v>
      </c>
      <c r="F263" s="53"/>
      <c r="G263" s="108"/>
      <c r="H263" s="7"/>
      <c r="I263" s="81"/>
    </row>
    <row r="264" spans="1:9" s="10" customFormat="1" x14ac:dyDescent="0.25">
      <c r="A264" s="248"/>
      <c r="B264" s="42"/>
      <c r="C264" s="61" t="s">
        <v>450</v>
      </c>
      <c r="D264" s="86">
        <v>83683</v>
      </c>
      <c r="E264" s="53">
        <v>83683</v>
      </c>
      <c r="F264" s="53"/>
      <c r="G264" s="108"/>
      <c r="H264" s="7"/>
      <c r="I264" s="81"/>
    </row>
    <row r="265" spans="1:9" s="10" customFormat="1" x14ac:dyDescent="0.25">
      <c r="A265" s="248"/>
      <c r="B265" s="42"/>
      <c r="C265" s="61" t="s">
        <v>499</v>
      </c>
      <c r="D265" s="86"/>
      <c r="E265" s="53"/>
      <c r="F265" s="53"/>
      <c r="G265" s="108"/>
      <c r="H265" s="7"/>
      <c r="I265" s="81"/>
    </row>
    <row r="266" spans="1:9" s="10" customFormat="1" x14ac:dyDescent="0.25">
      <c r="A266" s="248"/>
      <c r="B266" s="42"/>
      <c r="C266" s="61" t="s">
        <v>500</v>
      </c>
      <c r="D266" s="86">
        <v>1000</v>
      </c>
      <c r="E266" s="53">
        <v>1000</v>
      </c>
      <c r="F266" s="53"/>
      <c r="G266" s="108"/>
      <c r="H266" s="7"/>
      <c r="I266" s="81"/>
    </row>
    <row r="267" spans="1:9" s="10" customFormat="1" x14ac:dyDescent="0.25">
      <c r="A267" s="248"/>
      <c r="B267" s="42"/>
      <c r="C267" s="61" t="s">
        <v>501</v>
      </c>
      <c r="D267" s="86">
        <v>750</v>
      </c>
      <c r="E267" s="53">
        <v>750</v>
      </c>
      <c r="F267" s="53"/>
      <c r="G267" s="108"/>
      <c r="H267" s="7"/>
      <c r="I267" s="81"/>
    </row>
    <row r="268" spans="1:9" s="10" customFormat="1" x14ac:dyDescent="0.25">
      <c r="A268" s="248"/>
      <c r="B268" s="42"/>
      <c r="C268" s="61" t="s">
        <v>502</v>
      </c>
      <c r="D268" s="86">
        <v>1000</v>
      </c>
      <c r="E268" s="53">
        <v>1000</v>
      </c>
      <c r="F268" s="53"/>
      <c r="G268" s="108"/>
      <c r="H268" s="7"/>
      <c r="I268" s="81"/>
    </row>
    <row r="269" spans="1:9" s="10" customFormat="1" x14ac:dyDescent="0.25">
      <c r="A269" s="248"/>
      <c r="B269" s="42"/>
      <c r="C269" s="61" t="s">
        <v>503</v>
      </c>
      <c r="D269" s="86">
        <v>1500</v>
      </c>
      <c r="E269" s="53">
        <v>1500</v>
      </c>
      <c r="F269" s="53"/>
      <c r="G269" s="108"/>
      <c r="H269" s="7"/>
      <c r="I269" s="81"/>
    </row>
    <row r="270" spans="1:9" s="10" customFormat="1" x14ac:dyDescent="0.25">
      <c r="A270" s="248"/>
      <c r="B270" s="42"/>
      <c r="C270" s="61" t="s">
        <v>504</v>
      </c>
      <c r="D270" s="86">
        <v>457</v>
      </c>
      <c r="E270" s="53">
        <v>457</v>
      </c>
      <c r="F270" s="53"/>
      <c r="G270" s="108"/>
      <c r="H270" s="7"/>
      <c r="I270" s="81"/>
    </row>
    <row r="271" spans="1:9" s="10" customFormat="1" x14ac:dyDescent="0.25">
      <c r="A271" s="248"/>
      <c r="B271" s="42"/>
      <c r="C271" s="61" t="s">
        <v>505</v>
      </c>
      <c r="D271" s="86">
        <v>1041</v>
      </c>
      <c r="E271" s="53">
        <v>1041</v>
      </c>
      <c r="F271" s="53"/>
      <c r="G271" s="108"/>
      <c r="H271" s="7"/>
      <c r="I271" s="81"/>
    </row>
    <row r="272" spans="1:9" s="10" customFormat="1" x14ac:dyDescent="0.25">
      <c r="A272" s="248"/>
      <c r="B272" s="42"/>
      <c r="C272" s="61" t="s">
        <v>506</v>
      </c>
      <c r="D272" s="86">
        <v>620</v>
      </c>
      <c r="E272" s="53">
        <v>620</v>
      </c>
      <c r="F272" s="53"/>
      <c r="G272" s="108"/>
      <c r="H272" s="7"/>
      <c r="I272" s="81"/>
    </row>
    <row r="273" spans="1:9" s="10" customFormat="1" x14ac:dyDescent="0.25">
      <c r="A273" s="248"/>
      <c r="B273" s="42"/>
      <c r="C273" s="61" t="s">
        <v>507</v>
      </c>
      <c r="D273" s="86">
        <v>857</v>
      </c>
      <c r="E273" s="53">
        <v>857</v>
      </c>
      <c r="F273" s="53"/>
      <c r="G273" s="108"/>
      <c r="H273" s="7"/>
      <c r="I273" s="81"/>
    </row>
    <row r="274" spans="1:9" s="10" customFormat="1" ht="29.25" customHeight="1" x14ac:dyDescent="0.25">
      <c r="A274" s="248"/>
      <c r="B274" s="42"/>
      <c r="C274" s="61" t="s">
        <v>509</v>
      </c>
      <c r="D274" s="86">
        <v>800</v>
      </c>
      <c r="E274" s="53">
        <v>800</v>
      </c>
      <c r="F274" s="53"/>
      <c r="G274" s="108"/>
      <c r="H274" s="7"/>
      <c r="I274" s="81"/>
    </row>
    <row r="275" spans="1:9" s="10" customFormat="1" ht="30" x14ac:dyDescent="0.25">
      <c r="A275" s="248"/>
      <c r="B275" s="42"/>
      <c r="C275" s="61" t="s">
        <v>511</v>
      </c>
      <c r="D275" s="86">
        <v>2250</v>
      </c>
      <c r="E275" s="53">
        <v>2250</v>
      </c>
      <c r="F275" s="53"/>
      <c r="G275" s="108"/>
      <c r="H275" s="7"/>
      <c r="I275" s="81"/>
    </row>
    <row r="276" spans="1:9" s="10" customFormat="1" x14ac:dyDescent="0.25">
      <c r="A276" s="248"/>
      <c r="B276" s="42"/>
      <c r="C276" s="61" t="s">
        <v>512</v>
      </c>
      <c r="D276" s="86">
        <v>4000</v>
      </c>
      <c r="E276" s="53">
        <v>4000</v>
      </c>
      <c r="F276" s="53"/>
      <c r="G276" s="108"/>
      <c r="H276" s="7"/>
      <c r="I276" s="81"/>
    </row>
    <row r="277" spans="1:9" s="10" customFormat="1" x14ac:dyDescent="0.25">
      <c r="A277" s="248"/>
      <c r="B277" s="42"/>
      <c r="C277" s="61" t="s">
        <v>1004</v>
      </c>
      <c r="D277" s="86">
        <v>4399</v>
      </c>
      <c r="E277" s="53">
        <v>4399</v>
      </c>
      <c r="F277" s="53"/>
      <c r="G277" s="108"/>
      <c r="H277" s="7"/>
      <c r="I277" s="81"/>
    </row>
    <row r="278" spans="1:9" s="10" customFormat="1" x14ac:dyDescent="0.25">
      <c r="A278" s="248"/>
      <c r="B278" s="42"/>
      <c r="C278" s="61"/>
      <c r="D278" s="86"/>
      <c r="E278" s="53"/>
      <c r="F278" s="53"/>
      <c r="G278" s="108"/>
      <c r="H278" s="7"/>
      <c r="I278" s="81"/>
    </row>
    <row r="279" spans="1:9" s="10" customFormat="1" x14ac:dyDescent="0.25">
      <c r="A279" s="248"/>
      <c r="B279" s="42"/>
      <c r="C279" s="82" t="s">
        <v>47</v>
      </c>
      <c r="D279" s="89">
        <f>SUM(D238:D278)</f>
        <v>208333</v>
      </c>
      <c r="E279" s="44">
        <f>SUM(E238:E278)</f>
        <v>208333</v>
      </c>
      <c r="F279" s="44">
        <f>SUM(F238:F276)</f>
        <v>0</v>
      </c>
      <c r="G279" s="114">
        <f>SUM(G238:G276)</f>
        <v>0</v>
      </c>
      <c r="H279" s="7"/>
      <c r="I279" s="81"/>
    </row>
    <row r="280" spans="1:9" s="10" customFormat="1" x14ac:dyDescent="0.25">
      <c r="A280" s="248"/>
      <c r="B280" s="42"/>
      <c r="C280" s="82"/>
      <c r="D280" s="78"/>
      <c r="E280" s="81"/>
      <c r="F280" s="81"/>
      <c r="G280" s="109"/>
      <c r="H280" s="7"/>
      <c r="I280" s="81"/>
    </row>
    <row r="281" spans="1:9" s="10" customFormat="1" x14ac:dyDescent="0.25">
      <c r="A281" s="248"/>
      <c r="B281" s="42" t="s">
        <v>27</v>
      </c>
      <c r="C281" s="65" t="s">
        <v>26</v>
      </c>
      <c r="D281" s="78"/>
      <c r="E281" s="81"/>
      <c r="F281" s="81"/>
      <c r="G281" s="109"/>
      <c r="H281" s="7"/>
      <c r="I281" s="81"/>
    </row>
    <row r="282" spans="1:9" s="10" customFormat="1" x14ac:dyDescent="0.25">
      <c r="A282" s="248"/>
      <c r="B282" s="42"/>
      <c r="C282" s="65" t="s">
        <v>1000</v>
      </c>
      <c r="D282" s="86">
        <v>2050</v>
      </c>
      <c r="E282" s="53">
        <v>2050</v>
      </c>
      <c r="F282" s="30"/>
      <c r="G282" s="100"/>
      <c r="H282" s="7"/>
      <c r="I282" s="81"/>
    </row>
    <row r="283" spans="1:9" s="10" customFormat="1" x14ac:dyDescent="0.25">
      <c r="A283" s="248"/>
      <c r="B283" s="42"/>
      <c r="C283" s="65" t="s">
        <v>451</v>
      </c>
      <c r="D283" s="85">
        <v>7050</v>
      </c>
      <c r="E283" s="30">
        <v>7050</v>
      </c>
      <c r="F283" s="30"/>
      <c r="G283" s="100"/>
      <c r="H283" s="7"/>
      <c r="I283" s="81"/>
    </row>
    <row r="284" spans="1:9" s="10" customFormat="1" x14ac:dyDescent="0.25">
      <c r="A284" s="248"/>
      <c r="B284" s="42"/>
      <c r="C284" s="65" t="s">
        <v>452</v>
      </c>
      <c r="D284" s="85">
        <v>3000</v>
      </c>
      <c r="E284" s="30">
        <v>3000</v>
      </c>
      <c r="F284" s="30"/>
      <c r="G284" s="100"/>
      <c r="H284" s="7"/>
      <c r="I284" s="81"/>
    </row>
    <row r="285" spans="1:9" s="10" customFormat="1" ht="30" x14ac:dyDescent="0.25">
      <c r="A285" s="248"/>
      <c r="B285" s="42"/>
      <c r="C285" s="61" t="s">
        <v>453</v>
      </c>
      <c r="D285" s="85">
        <v>2500</v>
      </c>
      <c r="E285" s="30">
        <v>2500</v>
      </c>
      <c r="F285" s="30"/>
      <c r="G285" s="100"/>
      <c r="H285" s="7"/>
      <c r="I285" s="81"/>
    </row>
    <row r="286" spans="1:9" s="10" customFormat="1" x14ac:dyDescent="0.25">
      <c r="A286" s="248"/>
      <c r="B286" s="42"/>
      <c r="C286" s="65" t="s">
        <v>454</v>
      </c>
      <c r="D286" s="85">
        <v>3000</v>
      </c>
      <c r="E286" s="30">
        <v>3000</v>
      </c>
      <c r="F286" s="30"/>
      <c r="G286" s="100"/>
      <c r="H286" s="7"/>
      <c r="I286" s="81"/>
    </row>
    <row r="287" spans="1:9" s="10" customFormat="1" x14ac:dyDescent="0.25">
      <c r="A287" s="248"/>
      <c r="B287" s="42"/>
      <c r="C287" s="65" t="s">
        <v>455</v>
      </c>
      <c r="D287" s="85">
        <v>1000</v>
      </c>
      <c r="E287" s="30">
        <v>1000</v>
      </c>
      <c r="F287" s="30"/>
      <c r="G287" s="100"/>
      <c r="H287" s="7"/>
      <c r="I287" s="81"/>
    </row>
    <row r="288" spans="1:9" s="10" customFormat="1" x14ac:dyDescent="0.25">
      <c r="A288" s="248"/>
      <c r="B288" s="42"/>
      <c r="C288" s="61" t="s">
        <v>456</v>
      </c>
      <c r="D288" s="85">
        <v>4500</v>
      </c>
      <c r="E288" s="30">
        <v>4500</v>
      </c>
      <c r="F288" s="30"/>
      <c r="G288" s="100"/>
      <c r="H288" s="7"/>
      <c r="I288" s="81"/>
    </row>
    <row r="289" spans="1:9" s="10" customFormat="1" x14ac:dyDescent="0.25">
      <c r="A289" s="248"/>
      <c r="B289" s="42"/>
      <c r="C289" s="61" t="s">
        <v>457</v>
      </c>
      <c r="D289" s="85">
        <v>3584</v>
      </c>
      <c r="E289" s="30">
        <v>3584</v>
      </c>
      <c r="F289" s="30"/>
      <c r="G289" s="100"/>
      <c r="H289" s="7"/>
      <c r="I289" s="81"/>
    </row>
    <row r="290" spans="1:9" s="10" customFormat="1" x14ac:dyDescent="0.25">
      <c r="A290" s="248"/>
      <c r="B290" s="42"/>
      <c r="C290" s="61" t="s">
        <v>458</v>
      </c>
      <c r="D290" s="85">
        <v>1000</v>
      </c>
      <c r="E290" s="30">
        <v>1000</v>
      </c>
      <c r="F290" s="30"/>
      <c r="G290" s="100"/>
      <c r="H290" s="7"/>
      <c r="I290" s="81"/>
    </row>
    <row r="291" spans="1:9" s="10" customFormat="1" x14ac:dyDescent="0.25">
      <c r="A291" s="248"/>
      <c r="B291" s="42"/>
      <c r="C291" s="61" t="s">
        <v>459</v>
      </c>
      <c r="D291" s="85">
        <v>3000</v>
      </c>
      <c r="E291" s="30">
        <v>3000</v>
      </c>
      <c r="F291" s="30"/>
      <c r="G291" s="100"/>
      <c r="H291" s="7"/>
      <c r="I291" s="81"/>
    </row>
    <row r="292" spans="1:9" s="10" customFormat="1" x14ac:dyDescent="0.25">
      <c r="A292" s="248"/>
      <c r="B292" s="42"/>
      <c r="C292" s="61" t="s">
        <v>460</v>
      </c>
      <c r="D292" s="85">
        <v>400</v>
      </c>
      <c r="E292" s="30">
        <v>400</v>
      </c>
      <c r="F292" s="30"/>
      <c r="G292" s="100"/>
      <c r="H292" s="7"/>
      <c r="I292" s="81"/>
    </row>
    <row r="293" spans="1:9" s="10" customFormat="1" ht="16.5" customHeight="1" x14ac:dyDescent="0.25">
      <c r="A293" s="248"/>
      <c r="B293" s="42"/>
      <c r="C293" s="61" t="s">
        <v>461</v>
      </c>
      <c r="D293" s="86">
        <v>25000</v>
      </c>
      <c r="E293" s="53">
        <v>25000</v>
      </c>
      <c r="F293" s="53"/>
      <c r="G293" s="107"/>
      <c r="H293" s="7"/>
      <c r="I293" s="81"/>
    </row>
    <row r="294" spans="1:9" s="10" customFormat="1" x14ac:dyDescent="0.25">
      <c r="A294" s="248"/>
      <c r="B294" s="42"/>
      <c r="C294" s="61" t="s">
        <v>462</v>
      </c>
      <c r="D294" s="86">
        <v>10000</v>
      </c>
      <c r="E294" s="53">
        <v>10000</v>
      </c>
      <c r="F294" s="53"/>
      <c r="G294" s="107"/>
      <c r="H294" s="7"/>
      <c r="I294" s="81"/>
    </row>
    <row r="295" spans="1:9" s="10" customFormat="1" x14ac:dyDescent="0.25">
      <c r="A295" s="248"/>
      <c r="B295" s="42"/>
      <c r="C295" s="61" t="s">
        <v>463</v>
      </c>
      <c r="D295" s="86">
        <v>1100</v>
      </c>
      <c r="E295" s="53">
        <v>1100</v>
      </c>
      <c r="F295" s="53"/>
      <c r="G295" s="107"/>
      <c r="H295" s="7"/>
      <c r="I295" s="81"/>
    </row>
    <row r="296" spans="1:9" s="10" customFormat="1" x14ac:dyDescent="0.25">
      <c r="A296" s="248"/>
      <c r="B296" s="42"/>
      <c r="C296" s="61" t="s">
        <v>464</v>
      </c>
      <c r="D296" s="86">
        <v>10000</v>
      </c>
      <c r="E296" s="53">
        <v>10000</v>
      </c>
      <c r="F296" s="53"/>
      <c r="G296" s="107"/>
      <c r="H296" s="7"/>
      <c r="I296" s="81"/>
    </row>
    <row r="297" spans="1:9" s="10" customFormat="1" x14ac:dyDescent="0.25">
      <c r="A297" s="248"/>
      <c r="B297" s="42"/>
      <c r="C297" s="61" t="s">
        <v>465</v>
      </c>
      <c r="D297" s="86">
        <v>3000</v>
      </c>
      <c r="E297" s="53">
        <v>3000</v>
      </c>
      <c r="F297" s="53"/>
      <c r="G297" s="107"/>
      <c r="H297" s="7"/>
      <c r="I297" s="81"/>
    </row>
    <row r="298" spans="1:9" s="10" customFormat="1" ht="30" x14ac:dyDescent="0.25">
      <c r="A298" s="248"/>
      <c r="B298" s="42"/>
      <c r="C298" s="61" t="s">
        <v>466</v>
      </c>
      <c r="D298" s="85">
        <v>3000</v>
      </c>
      <c r="E298" s="30">
        <v>3000</v>
      </c>
      <c r="F298" s="30"/>
      <c r="G298" s="100"/>
      <c r="H298" s="7"/>
      <c r="I298" s="81"/>
    </row>
    <row r="299" spans="1:9" s="10" customFormat="1" ht="30" x14ac:dyDescent="0.25">
      <c r="A299" s="248"/>
      <c r="B299" s="42"/>
      <c r="C299" s="259" t="s">
        <v>467</v>
      </c>
      <c r="D299" s="85">
        <v>140912</v>
      </c>
      <c r="E299" s="30">
        <v>140912</v>
      </c>
      <c r="F299" s="30"/>
      <c r="G299" s="106"/>
      <c r="H299" s="7"/>
      <c r="I299" s="81"/>
    </row>
    <row r="300" spans="1:9" s="10" customFormat="1" ht="30" x14ac:dyDescent="0.25">
      <c r="A300" s="248"/>
      <c r="B300" s="42"/>
      <c r="C300" s="259" t="s">
        <v>468</v>
      </c>
      <c r="D300" s="85">
        <v>66227</v>
      </c>
      <c r="E300" s="30">
        <v>66227</v>
      </c>
      <c r="F300" s="30"/>
      <c r="G300" s="106"/>
      <c r="H300" s="7"/>
      <c r="I300" s="81"/>
    </row>
    <row r="301" spans="1:9" s="10" customFormat="1" x14ac:dyDescent="0.25">
      <c r="A301" s="248"/>
      <c r="B301" s="42"/>
      <c r="C301" s="259" t="s">
        <v>997</v>
      </c>
      <c r="D301" s="85">
        <v>3000</v>
      </c>
      <c r="E301" s="30">
        <v>3000</v>
      </c>
      <c r="F301" s="30"/>
      <c r="G301" s="106"/>
      <c r="H301" s="7"/>
      <c r="I301" s="81"/>
    </row>
    <row r="302" spans="1:9" s="10" customFormat="1" x14ac:dyDescent="0.25">
      <c r="A302" s="248"/>
      <c r="B302" s="42"/>
      <c r="C302" s="259" t="s">
        <v>998</v>
      </c>
      <c r="D302" s="85">
        <v>6000</v>
      </c>
      <c r="E302" s="30">
        <v>6000</v>
      </c>
      <c r="F302" s="30"/>
      <c r="G302" s="106"/>
      <c r="H302" s="7"/>
      <c r="I302" s="81"/>
    </row>
    <row r="303" spans="1:9" s="10" customFormat="1" x14ac:dyDescent="0.25">
      <c r="A303" s="248"/>
      <c r="B303" s="42"/>
      <c r="C303" s="259" t="s">
        <v>999</v>
      </c>
      <c r="D303" s="85">
        <v>2000</v>
      </c>
      <c r="E303" s="30">
        <v>2000</v>
      </c>
      <c r="F303" s="30"/>
      <c r="G303" s="106"/>
      <c r="H303" s="7"/>
      <c r="I303" s="81"/>
    </row>
    <row r="304" spans="1:9" s="10" customFormat="1" x14ac:dyDescent="0.25">
      <c r="A304" s="248"/>
      <c r="B304" s="42"/>
      <c r="C304" s="259" t="s">
        <v>1005</v>
      </c>
      <c r="D304" s="85">
        <v>2500</v>
      </c>
      <c r="E304" s="30">
        <v>2500</v>
      </c>
      <c r="F304" s="30"/>
      <c r="G304" s="106"/>
      <c r="H304" s="7"/>
      <c r="I304" s="81"/>
    </row>
    <row r="305" spans="1:9" s="10" customFormat="1" x14ac:dyDescent="0.25">
      <c r="A305" s="248"/>
      <c r="B305" s="42"/>
      <c r="C305" s="259"/>
      <c r="D305" s="85"/>
      <c r="E305" s="30"/>
      <c r="F305" s="30"/>
      <c r="G305" s="106"/>
      <c r="H305" s="7"/>
      <c r="I305" s="81"/>
    </row>
    <row r="306" spans="1:9" s="10" customFormat="1" x14ac:dyDescent="0.25">
      <c r="A306" s="248"/>
      <c r="B306" s="42"/>
      <c r="C306" s="82" t="s">
        <v>48</v>
      </c>
      <c r="D306" s="89">
        <f>SUM(D282:D305)</f>
        <v>303823</v>
      </c>
      <c r="E306" s="44">
        <f>SUM(E282:E305)</f>
        <v>303823</v>
      </c>
      <c r="F306" s="44">
        <f>SUM(F282:F305)</f>
        <v>0</v>
      </c>
      <c r="G306" s="114">
        <f>SUM(G282:G305)</f>
        <v>0</v>
      </c>
      <c r="H306" s="7"/>
      <c r="I306" s="81"/>
    </row>
    <row r="307" spans="1:9" s="10" customFormat="1" x14ac:dyDescent="0.25">
      <c r="A307" s="248"/>
      <c r="B307" s="51"/>
      <c r="C307" s="82"/>
      <c r="D307" s="78"/>
      <c r="E307" s="81"/>
      <c r="F307" s="81"/>
      <c r="G307" s="109"/>
      <c r="H307" s="7"/>
      <c r="I307" s="81"/>
    </row>
    <row r="308" spans="1:9" s="10" customFormat="1" x14ac:dyDescent="0.25">
      <c r="A308" s="248"/>
      <c r="B308" s="42" t="s">
        <v>35</v>
      </c>
      <c r="C308" s="65" t="s">
        <v>61</v>
      </c>
      <c r="D308" s="78"/>
      <c r="E308" s="81"/>
      <c r="F308" s="81"/>
      <c r="G308" s="109"/>
      <c r="H308" s="7"/>
      <c r="I308" s="81"/>
    </row>
    <row r="309" spans="1:9" s="10" customFormat="1" x14ac:dyDescent="0.25">
      <c r="A309" s="248"/>
      <c r="B309" s="42"/>
      <c r="C309" s="65" t="s">
        <v>98</v>
      </c>
      <c r="D309" s="78"/>
      <c r="E309" s="81"/>
      <c r="F309" s="81"/>
      <c r="G309" s="109"/>
      <c r="H309" s="7"/>
      <c r="I309" s="81"/>
    </row>
    <row r="310" spans="1:9" s="10" customFormat="1" ht="30" x14ac:dyDescent="0.25">
      <c r="A310" s="248"/>
      <c r="B310" s="42"/>
      <c r="C310" s="61" t="s">
        <v>471</v>
      </c>
      <c r="D310" s="85">
        <v>300</v>
      </c>
      <c r="E310" s="30">
        <v>300</v>
      </c>
      <c r="F310" s="30"/>
      <c r="G310" s="106"/>
      <c r="H310" s="7"/>
      <c r="I310" s="81"/>
    </row>
    <row r="311" spans="1:9" s="10" customFormat="1" x14ac:dyDescent="0.25">
      <c r="A311" s="24"/>
      <c r="B311" s="42"/>
      <c r="C311" s="251" t="s">
        <v>30</v>
      </c>
      <c r="D311" s="87">
        <f>SUM(D310:D310)</f>
        <v>300</v>
      </c>
      <c r="E311" s="40">
        <f>SUM(E310:E310)</f>
        <v>300</v>
      </c>
      <c r="F311" s="40">
        <f>SUM(F310:F310)</f>
        <v>0</v>
      </c>
      <c r="G311" s="104">
        <f>SUM(G310:G310)</f>
        <v>0</v>
      </c>
      <c r="H311" s="7"/>
      <c r="I311" s="81"/>
    </row>
    <row r="312" spans="1:9" s="10" customFormat="1" x14ac:dyDescent="0.25">
      <c r="A312" s="24"/>
      <c r="B312" s="42"/>
      <c r="C312" s="251"/>
      <c r="D312" s="39"/>
      <c r="E312" s="40"/>
      <c r="F312" s="40"/>
      <c r="G312" s="101"/>
      <c r="H312" s="7"/>
      <c r="I312" s="81"/>
    </row>
    <row r="313" spans="1:9" s="10" customFormat="1" x14ac:dyDescent="0.25">
      <c r="A313" s="260"/>
      <c r="B313" s="52"/>
      <c r="C313" s="65" t="s">
        <v>99</v>
      </c>
      <c r="D313" s="35"/>
      <c r="E313" s="30"/>
      <c r="F313" s="30"/>
      <c r="G313" s="100"/>
      <c r="H313" s="7"/>
      <c r="I313" s="81"/>
    </row>
    <row r="314" spans="1:9" s="10" customFormat="1" x14ac:dyDescent="0.25">
      <c r="A314" s="24"/>
      <c r="B314" s="52"/>
      <c r="C314" s="259" t="s">
        <v>472</v>
      </c>
      <c r="D314" s="85">
        <v>2300</v>
      </c>
      <c r="E314" s="30">
        <v>2300</v>
      </c>
      <c r="F314" s="30"/>
      <c r="G314" s="106"/>
      <c r="H314" s="7"/>
      <c r="I314" s="81"/>
    </row>
    <row r="315" spans="1:9" s="10" customFormat="1" ht="30" x14ac:dyDescent="0.25">
      <c r="A315" s="24"/>
      <c r="B315" s="52"/>
      <c r="C315" s="259" t="s">
        <v>473</v>
      </c>
      <c r="D315" s="85">
        <v>3850</v>
      </c>
      <c r="E315" s="30">
        <v>3850</v>
      </c>
      <c r="F315" s="30"/>
      <c r="G315" s="106"/>
      <c r="H315" s="7"/>
      <c r="I315" s="81"/>
    </row>
    <row r="316" spans="1:9" s="10" customFormat="1" ht="30" x14ac:dyDescent="0.25">
      <c r="A316" s="24"/>
      <c r="B316" s="52"/>
      <c r="C316" s="259" t="s">
        <v>508</v>
      </c>
      <c r="D316" s="85">
        <v>500</v>
      </c>
      <c r="E316" s="30">
        <v>500</v>
      </c>
      <c r="F316" s="30"/>
      <c r="G316" s="106"/>
      <c r="H316" s="7"/>
      <c r="I316" s="81"/>
    </row>
    <row r="317" spans="1:9" s="10" customFormat="1" x14ac:dyDescent="0.25">
      <c r="A317" s="24"/>
      <c r="B317" s="52"/>
      <c r="C317" s="259" t="s">
        <v>519</v>
      </c>
      <c r="D317" s="85">
        <v>1500</v>
      </c>
      <c r="E317" s="30">
        <v>1500</v>
      </c>
      <c r="F317" s="30"/>
      <c r="G317" s="106"/>
      <c r="H317" s="7"/>
      <c r="I317" s="81"/>
    </row>
    <row r="318" spans="1:9" s="10" customFormat="1" x14ac:dyDescent="0.25">
      <c r="A318" s="24"/>
      <c r="B318" s="52"/>
      <c r="C318" s="251" t="s">
        <v>30</v>
      </c>
      <c r="D318" s="87">
        <f>SUM(D314:D317)</f>
        <v>8150</v>
      </c>
      <c r="E318" s="40">
        <f>SUM(E314:E317)</f>
        <v>8150</v>
      </c>
      <c r="F318" s="40">
        <f>SUM(F314:F317)</f>
        <v>0</v>
      </c>
      <c r="G318" s="104">
        <f>SUM(G314:G317)</f>
        <v>0</v>
      </c>
      <c r="H318" s="7"/>
      <c r="I318" s="81"/>
    </row>
    <row r="319" spans="1:9" s="10" customFormat="1" x14ac:dyDescent="0.25">
      <c r="A319" s="24"/>
      <c r="B319" s="52"/>
      <c r="C319" s="251"/>
      <c r="D319" s="39"/>
      <c r="E319" s="40"/>
      <c r="F319" s="40"/>
      <c r="G319" s="101"/>
      <c r="H319" s="7"/>
      <c r="I319" s="81"/>
    </row>
    <row r="320" spans="1:9" s="10" customFormat="1" x14ac:dyDescent="0.25">
      <c r="A320" s="24"/>
      <c r="B320" s="52"/>
      <c r="C320" s="65" t="s">
        <v>84</v>
      </c>
      <c r="D320" s="39"/>
      <c r="E320" s="40"/>
      <c r="F320" s="40"/>
      <c r="G320" s="101"/>
      <c r="H320" s="7"/>
      <c r="I320" s="81"/>
    </row>
    <row r="321" spans="1:9" s="10" customFormat="1" ht="18.75" customHeight="1" x14ac:dyDescent="0.25">
      <c r="A321" s="24"/>
      <c r="B321" s="52"/>
      <c r="C321" s="61" t="s">
        <v>4</v>
      </c>
      <c r="D321" s="80">
        <v>136824</v>
      </c>
      <c r="E321" s="53">
        <v>136824</v>
      </c>
      <c r="F321" s="53"/>
      <c r="G321" s="107"/>
      <c r="H321" s="304"/>
      <c r="I321" s="81"/>
    </row>
    <row r="322" spans="1:9" s="10" customFormat="1" x14ac:dyDescent="0.25">
      <c r="A322" s="24"/>
      <c r="B322" s="52"/>
      <c r="C322" s="259" t="s">
        <v>474</v>
      </c>
      <c r="D322" s="86"/>
      <c r="E322" s="53"/>
      <c r="F322" s="53"/>
      <c r="G322" s="108"/>
      <c r="H322" s="7"/>
      <c r="I322" s="81"/>
    </row>
    <row r="323" spans="1:9" s="10" customFormat="1" x14ac:dyDescent="0.25">
      <c r="A323" s="24"/>
      <c r="B323" s="52"/>
      <c r="C323" s="259" t="s">
        <v>475</v>
      </c>
      <c r="D323" s="86">
        <v>61696</v>
      </c>
      <c r="E323" s="53">
        <v>61696</v>
      </c>
      <c r="F323" s="53"/>
      <c r="G323" s="108"/>
      <c r="H323" s="7"/>
      <c r="I323" s="81"/>
    </row>
    <row r="324" spans="1:9" s="10" customFormat="1" x14ac:dyDescent="0.25">
      <c r="A324" s="24"/>
      <c r="B324" s="52"/>
      <c r="C324" s="259" t="s">
        <v>476</v>
      </c>
      <c r="D324" s="86">
        <v>46912</v>
      </c>
      <c r="E324" s="53">
        <v>46912</v>
      </c>
      <c r="F324" s="53"/>
      <c r="G324" s="108"/>
      <c r="H324" s="7"/>
      <c r="I324" s="81"/>
    </row>
    <row r="325" spans="1:9" s="10" customFormat="1" x14ac:dyDescent="0.25">
      <c r="A325" s="24"/>
      <c r="B325" s="52"/>
      <c r="C325" s="259" t="s">
        <v>477</v>
      </c>
      <c r="D325" s="86">
        <v>32667</v>
      </c>
      <c r="E325" s="53">
        <v>32667</v>
      </c>
      <c r="F325" s="53"/>
      <c r="G325" s="108"/>
      <c r="H325" s="7"/>
      <c r="I325" s="81"/>
    </row>
    <row r="326" spans="1:9" s="10" customFormat="1" ht="30" x14ac:dyDescent="0.25">
      <c r="A326" s="24"/>
      <c r="B326" s="52"/>
      <c r="C326" s="259" t="s">
        <v>478</v>
      </c>
      <c r="D326" s="86">
        <v>108725</v>
      </c>
      <c r="E326" s="53">
        <v>108725</v>
      </c>
      <c r="F326" s="53"/>
      <c r="G326" s="108"/>
      <c r="H326" s="7"/>
      <c r="I326" s="81"/>
    </row>
    <row r="327" spans="1:9" s="10" customFormat="1" x14ac:dyDescent="0.25">
      <c r="A327" s="24"/>
      <c r="B327" s="52"/>
      <c r="C327" s="251" t="s">
        <v>30</v>
      </c>
      <c r="D327" s="87">
        <f>SUM(D321:D326)</f>
        <v>386824</v>
      </c>
      <c r="E327" s="40">
        <f>SUM(E321:E326)</f>
        <v>386824</v>
      </c>
      <c r="F327" s="40">
        <f>SUM(F321:F326)</f>
        <v>0</v>
      </c>
      <c r="G327" s="104">
        <f>SUM(G321:G326)</f>
        <v>0</v>
      </c>
      <c r="H327" s="7"/>
      <c r="I327" s="81"/>
    </row>
    <row r="328" spans="1:9" s="10" customFormat="1" x14ac:dyDescent="0.25">
      <c r="A328" s="24"/>
      <c r="B328" s="52"/>
      <c r="C328" s="251"/>
      <c r="D328" s="87"/>
      <c r="E328" s="40"/>
      <c r="F328" s="40"/>
      <c r="G328" s="104"/>
      <c r="H328" s="7"/>
      <c r="I328" s="81"/>
    </row>
    <row r="329" spans="1:9" s="10" customFormat="1" x14ac:dyDescent="0.25">
      <c r="A329" s="24"/>
      <c r="B329" s="52"/>
      <c r="C329" s="82" t="s">
        <v>49</v>
      </c>
      <c r="D329" s="89">
        <f>D311+D318+D327</f>
        <v>395274</v>
      </c>
      <c r="E329" s="44">
        <f t="shared" ref="E329:G329" si="2">E311+E318+E327</f>
        <v>395274</v>
      </c>
      <c r="F329" s="44">
        <f t="shared" si="2"/>
        <v>0</v>
      </c>
      <c r="G329" s="114">
        <f t="shared" si="2"/>
        <v>0</v>
      </c>
      <c r="H329" s="7"/>
      <c r="I329" s="81"/>
    </row>
    <row r="330" spans="1:9" s="10" customFormat="1" x14ac:dyDescent="0.25">
      <c r="A330" s="24"/>
      <c r="B330" s="42"/>
      <c r="C330" s="82"/>
      <c r="D330" s="41"/>
      <c r="E330" s="71"/>
      <c r="F330" s="71"/>
      <c r="G330" s="105"/>
      <c r="H330" s="7"/>
      <c r="I330" s="81"/>
    </row>
    <row r="331" spans="1:9" s="10" customFormat="1" x14ac:dyDescent="0.25">
      <c r="A331" s="24"/>
      <c r="B331" s="42"/>
      <c r="C331" s="66" t="s">
        <v>16</v>
      </c>
      <c r="D331" s="79">
        <f>D69+D84+D167+D188+D235+D279+D306+D329</f>
        <v>2136706</v>
      </c>
      <c r="E331" s="33">
        <f>E69+E84+E167+E188+E235+E279+E306+E329</f>
        <v>1776506</v>
      </c>
      <c r="F331" s="33">
        <f>F69+F84+F167+F188+F235+F279+F306+F329</f>
        <v>321200</v>
      </c>
      <c r="G331" s="99">
        <f>G69+G84+G167+G188+G235+G279+G306+G329</f>
        <v>39000</v>
      </c>
      <c r="H331" s="7"/>
      <c r="I331" s="81"/>
    </row>
    <row r="332" spans="1:9" s="10" customFormat="1" x14ac:dyDescent="0.25">
      <c r="A332" s="24"/>
      <c r="B332" s="54"/>
      <c r="C332" s="83"/>
      <c r="D332" s="78"/>
      <c r="E332" s="81"/>
      <c r="F332" s="81"/>
      <c r="G332" s="109"/>
      <c r="H332" s="7"/>
      <c r="I332" s="81"/>
    </row>
    <row r="333" spans="1:9" s="10" customFormat="1" x14ac:dyDescent="0.25">
      <c r="A333" s="24"/>
      <c r="B333" s="42" t="s">
        <v>82</v>
      </c>
      <c r="C333" s="65" t="s">
        <v>108</v>
      </c>
      <c r="D333" s="78"/>
      <c r="E333" s="81"/>
      <c r="F333" s="81"/>
      <c r="G333" s="109"/>
      <c r="H333" s="7"/>
      <c r="I333" s="81"/>
    </row>
    <row r="334" spans="1:9" s="10" customFormat="1" x14ac:dyDescent="0.25">
      <c r="A334" s="24"/>
      <c r="B334" s="51"/>
      <c r="C334" s="65" t="s">
        <v>109</v>
      </c>
      <c r="D334" s="78"/>
      <c r="E334" s="81"/>
      <c r="F334" s="81"/>
      <c r="G334" s="109"/>
      <c r="H334" s="7"/>
      <c r="I334" s="81"/>
    </row>
    <row r="335" spans="1:9" s="10" customFormat="1" x14ac:dyDescent="0.25">
      <c r="A335" s="24"/>
      <c r="B335" s="42"/>
      <c r="C335" s="26" t="s">
        <v>103</v>
      </c>
      <c r="D335" s="35"/>
      <c r="E335" s="30"/>
      <c r="F335" s="30"/>
      <c r="G335" s="100"/>
      <c r="H335" s="7"/>
      <c r="I335" s="81"/>
    </row>
    <row r="336" spans="1:9" s="10" customFormat="1" x14ac:dyDescent="0.25">
      <c r="A336" s="24"/>
      <c r="B336" s="42"/>
      <c r="C336" s="26" t="s">
        <v>104</v>
      </c>
      <c r="D336" s="35">
        <v>21004</v>
      </c>
      <c r="E336" s="30">
        <v>21004</v>
      </c>
      <c r="F336" s="30"/>
      <c r="G336" s="100"/>
      <c r="H336" s="7"/>
      <c r="I336" s="81"/>
    </row>
    <row r="337" spans="1:9" s="10" customFormat="1" x14ac:dyDescent="0.25">
      <c r="A337" s="24"/>
      <c r="B337" s="42"/>
      <c r="C337" s="26" t="s">
        <v>105</v>
      </c>
      <c r="D337" s="35"/>
      <c r="E337" s="30"/>
      <c r="F337" s="30"/>
      <c r="G337" s="100"/>
      <c r="H337" s="7"/>
      <c r="I337" s="81"/>
    </row>
    <row r="338" spans="1:9" s="10" customFormat="1" x14ac:dyDescent="0.25">
      <c r="A338" s="24"/>
      <c r="B338" s="42"/>
      <c r="C338" s="82" t="s">
        <v>30</v>
      </c>
      <c r="D338" s="88">
        <f>SUM(D335:D337)</f>
        <v>21004</v>
      </c>
      <c r="E338" s="50">
        <f>SUM(E335:E337)</f>
        <v>21004</v>
      </c>
      <c r="F338" s="50">
        <f>SUM(F335:F337)</f>
        <v>0</v>
      </c>
      <c r="G338" s="102">
        <f>SUM(G335:G337)</f>
        <v>0</v>
      </c>
      <c r="H338" s="7"/>
      <c r="I338" s="81"/>
    </row>
    <row r="339" spans="1:9" s="10" customFormat="1" x14ac:dyDescent="0.25">
      <c r="A339" s="24"/>
      <c r="B339" s="42"/>
      <c r="C339" s="82"/>
      <c r="D339" s="88"/>
      <c r="E339" s="50"/>
      <c r="F339" s="50"/>
      <c r="G339" s="102"/>
      <c r="H339" s="7"/>
      <c r="I339" s="81"/>
    </row>
    <row r="340" spans="1:9" s="10" customFormat="1" x14ac:dyDescent="0.25">
      <c r="A340" s="24"/>
      <c r="B340" s="42"/>
      <c r="C340" s="26" t="s">
        <v>110</v>
      </c>
      <c r="D340" s="85">
        <v>38852</v>
      </c>
      <c r="E340" s="30">
        <v>38852</v>
      </c>
      <c r="F340" s="31"/>
      <c r="G340" s="32"/>
      <c r="H340" s="7"/>
      <c r="I340" s="81"/>
    </row>
    <row r="341" spans="1:9" s="10" customFormat="1" x14ac:dyDescent="0.25">
      <c r="A341" s="24"/>
      <c r="B341" s="32"/>
      <c r="C341" s="65"/>
      <c r="D341" s="24"/>
      <c r="E341" s="31"/>
      <c r="F341" s="31"/>
      <c r="G341" s="32"/>
      <c r="H341" s="7"/>
      <c r="I341" s="81"/>
    </row>
    <row r="342" spans="1:9" s="10" customFormat="1" ht="17.25" thickBot="1" x14ac:dyDescent="0.3">
      <c r="A342" s="47"/>
      <c r="B342" s="55"/>
      <c r="C342" s="84" t="s">
        <v>21</v>
      </c>
      <c r="D342" s="111">
        <f>SUM(D40,D53,D338,D331)+D340</f>
        <v>3257989</v>
      </c>
      <c r="E342" s="33">
        <f>SUM(E40,E53,E338,E331)+E340</f>
        <v>2897789</v>
      </c>
      <c r="F342" s="33">
        <f>SUM(F40,F53,F338,F331)+F340</f>
        <v>321200</v>
      </c>
      <c r="G342" s="115">
        <f>SUM(G40,G53,G338,G331)+G340</f>
        <v>39000</v>
      </c>
      <c r="H342" s="7"/>
      <c r="I342" s="81"/>
    </row>
    <row r="343" spans="1:9" s="10" customFormat="1" x14ac:dyDescent="0.25">
      <c r="A343" s="56"/>
      <c r="B343" s="57"/>
      <c r="C343" s="31"/>
      <c r="E343" s="12"/>
      <c r="F343" s="12"/>
    </row>
    <row r="344" spans="1:9" s="10" customFormat="1" x14ac:dyDescent="0.25">
      <c r="A344" s="58"/>
      <c r="B344" s="31"/>
      <c r="C344" s="31"/>
    </row>
    <row r="345" spans="1:9" s="10" customFormat="1" x14ac:dyDescent="0.25">
      <c r="A345" s="58"/>
      <c r="B345" s="31"/>
      <c r="C345" s="31"/>
      <c r="D345" s="81"/>
    </row>
    <row r="346" spans="1:9" s="10" customFormat="1" x14ac:dyDescent="0.25">
      <c r="A346" s="58"/>
      <c r="B346" s="31"/>
      <c r="C346" s="31"/>
    </row>
    <row r="347" spans="1:9" s="10" customFormat="1" x14ac:dyDescent="0.25">
      <c r="A347" s="58"/>
      <c r="B347" s="31"/>
      <c r="C347" s="31"/>
    </row>
    <row r="348" spans="1:9" s="10" customFormat="1" x14ac:dyDescent="0.25">
      <c r="A348" s="58"/>
      <c r="B348" s="31"/>
      <c r="C348" s="31"/>
    </row>
    <row r="349" spans="1:9" s="10" customFormat="1" x14ac:dyDescent="0.25">
      <c r="A349" s="58"/>
      <c r="B349" s="31"/>
      <c r="C349" s="31"/>
    </row>
    <row r="350" spans="1:9" s="10" customFormat="1" x14ac:dyDescent="0.25">
      <c r="A350" s="58"/>
      <c r="B350" s="31"/>
      <c r="C350" s="31"/>
    </row>
    <row r="351" spans="1:9" s="10" customFormat="1" x14ac:dyDescent="0.25">
      <c r="A351" s="58"/>
      <c r="B351" s="31"/>
      <c r="C351" s="31"/>
    </row>
    <row r="352" spans="1:9" s="10" customFormat="1" x14ac:dyDescent="0.25">
      <c r="A352" s="58"/>
      <c r="B352" s="31"/>
      <c r="C352" s="31"/>
    </row>
    <row r="353" spans="1:3" s="10" customFormat="1" x14ac:dyDescent="0.25">
      <c r="A353" s="58"/>
      <c r="B353" s="31"/>
      <c r="C353" s="31"/>
    </row>
    <row r="354" spans="1:3" s="10" customFormat="1" x14ac:dyDescent="0.25">
      <c r="A354" s="58"/>
      <c r="B354" s="31"/>
      <c r="C354" s="31"/>
    </row>
    <row r="355" spans="1:3" s="10" customFormat="1" x14ac:dyDescent="0.25">
      <c r="A355" s="58"/>
      <c r="B355" s="31"/>
      <c r="C355" s="31"/>
    </row>
    <row r="356" spans="1:3" s="10" customFormat="1" x14ac:dyDescent="0.25">
      <c r="A356" s="58"/>
      <c r="B356" s="31"/>
      <c r="C356" s="31"/>
    </row>
    <row r="357" spans="1:3" s="10" customFormat="1" x14ac:dyDescent="0.25">
      <c r="A357" s="58"/>
      <c r="B357" s="31"/>
      <c r="C357" s="31"/>
    </row>
    <row r="358" spans="1:3" s="10" customFormat="1" x14ac:dyDescent="0.25">
      <c r="A358" s="58"/>
      <c r="B358" s="31"/>
      <c r="C358" s="31"/>
    </row>
    <row r="359" spans="1:3" s="10" customFormat="1" x14ac:dyDescent="0.25">
      <c r="A359" s="58"/>
      <c r="B359" s="31"/>
      <c r="C359" s="31"/>
    </row>
    <row r="360" spans="1:3" s="10" customFormat="1" x14ac:dyDescent="0.25">
      <c r="A360" s="58"/>
      <c r="B360" s="31"/>
      <c r="C360" s="31"/>
    </row>
    <row r="361" spans="1:3" s="10" customFormat="1" x14ac:dyDescent="0.25">
      <c r="A361" s="58"/>
      <c r="B361" s="31"/>
      <c r="C361" s="31"/>
    </row>
    <row r="362" spans="1:3" s="10" customFormat="1" x14ac:dyDescent="0.25">
      <c r="A362" s="58"/>
      <c r="B362" s="31"/>
      <c r="C362" s="31"/>
    </row>
    <row r="363" spans="1:3" s="10" customFormat="1" x14ac:dyDescent="0.25">
      <c r="A363" s="58"/>
      <c r="B363" s="31"/>
      <c r="C363" s="31"/>
    </row>
    <row r="364" spans="1:3" s="10" customFormat="1" x14ac:dyDescent="0.25">
      <c r="A364" s="58"/>
      <c r="B364" s="31"/>
      <c r="C364" s="31"/>
    </row>
    <row r="365" spans="1:3" s="10" customFormat="1" x14ac:dyDescent="0.25">
      <c r="A365" s="58"/>
      <c r="B365" s="31"/>
      <c r="C365" s="31"/>
    </row>
    <row r="366" spans="1:3" s="10" customFormat="1" x14ac:dyDescent="0.25">
      <c r="A366" s="58"/>
      <c r="B366" s="31"/>
      <c r="C366" s="31"/>
    </row>
    <row r="367" spans="1:3" s="10" customFormat="1" x14ac:dyDescent="0.25">
      <c r="A367" s="58"/>
      <c r="B367" s="31"/>
      <c r="C367" s="31"/>
    </row>
    <row r="368" spans="1:3" s="10" customFormat="1" x14ac:dyDescent="0.25">
      <c r="A368" s="58"/>
      <c r="B368" s="31"/>
      <c r="C368" s="31"/>
    </row>
    <row r="369" spans="1:3" s="10" customFormat="1" x14ac:dyDescent="0.25">
      <c r="A369" s="58"/>
      <c r="B369" s="31"/>
      <c r="C369" s="31"/>
    </row>
    <row r="370" spans="1:3" s="10" customFormat="1" x14ac:dyDescent="0.25">
      <c r="A370" s="58"/>
      <c r="B370" s="31"/>
      <c r="C370" s="31"/>
    </row>
    <row r="371" spans="1:3" s="10" customFormat="1" x14ac:dyDescent="0.25">
      <c r="A371" s="58"/>
      <c r="B371" s="31"/>
      <c r="C371" s="31"/>
    </row>
    <row r="372" spans="1:3" s="10" customFormat="1" x14ac:dyDescent="0.25">
      <c r="A372" s="58"/>
      <c r="B372" s="31"/>
      <c r="C372" s="31"/>
    </row>
    <row r="373" spans="1:3" s="10" customFormat="1" x14ac:dyDescent="0.25">
      <c r="A373" s="58"/>
      <c r="B373" s="31"/>
      <c r="C373" s="31"/>
    </row>
    <row r="374" spans="1:3" s="10" customFormat="1" x14ac:dyDescent="0.25">
      <c r="A374" s="58"/>
      <c r="B374" s="31"/>
      <c r="C374" s="31"/>
    </row>
    <row r="375" spans="1:3" s="10" customFormat="1" x14ac:dyDescent="0.25">
      <c r="A375" s="58"/>
      <c r="B375" s="31"/>
      <c r="C375" s="31"/>
    </row>
    <row r="376" spans="1:3" s="10" customFormat="1" x14ac:dyDescent="0.25">
      <c r="A376" s="58"/>
      <c r="B376" s="31"/>
      <c r="C376" s="31"/>
    </row>
    <row r="377" spans="1:3" s="10" customFormat="1" x14ac:dyDescent="0.25">
      <c r="A377" s="58"/>
      <c r="B377" s="31"/>
      <c r="C377" s="31"/>
    </row>
    <row r="378" spans="1:3" s="10" customFormat="1" x14ac:dyDescent="0.25">
      <c r="A378" s="58"/>
      <c r="B378" s="31"/>
      <c r="C378" s="31"/>
    </row>
    <row r="379" spans="1:3" s="10" customFormat="1" x14ac:dyDescent="0.25">
      <c r="A379" s="58"/>
      <c r="B379" s="31"/>
      <c r="C379" s="31"/>
    </row>
    <row r="380" spans="1:3" s="10" customFormat="1" x14ac:dyDescent="0.25">
      <c r="A380" s="58"/>
      <c r="B380" s="31"/>
      <c r="C380" s="31"/>
    </row>
    <row r="381" spans="1:3" s="10" customFormat="1" x14ac:dyDescent="0.25">
      <c r="A381" s="58"/>
      <c r="B381" s="31"/>
      <c r="C381" s="31"/>
    </row>
    <row r="382" spans="1:3" s="10" customFormat="1" x14ac:dyDescent="0.25">
      <c r="A382" s="58"/>
      <c r="B382" s="31"/>
      <c r="C382" s="31"/>
    </row>
    <row r="383" spans="1:3" s="10" customFormat="1" x14ac:dyDescent="0.25">
      <c r="A383" s="58"/>
      <c r="B383" s="31"/>
      <c r="C383" s="31"/>
    </row>
    <row r="384" spans="1:3" s="10" customFormat="1" x14ac:dyDescent="0.25">
      <c r="A384" s="58"/>
      <c r="B384" s="31"/>
      <c r="C384" s="31"/>
    </row>
    <row r="385" spans="1:3" s="10" customFormat="1" x14ac:dyDescent="0.25">
      <c r="A385" s="58"/>
      <c r="B385" s="31"/>
      <c r="C385" s="31"/>
    </row>
  </sheetData>
  <mergeCells count="2">
    <mergeCell ref="D5:G5"/>
    <mergeCell ref="A1:G1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85" fitToHeight="0" orientation="portrait" r:id="rId1"/>
  <headerFooter alignWithMargins="0">
    <oddHeader>&amp;P. oldal</oddHeader>
  </headerFooter>
  <rowBreaks count="1" manualBreakCount="1">
    <brk id="22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Normal="100" zoomScaleSheetLayoutView="100" workbookViewId="0">
      <selection sqref="A1:J1"/>
    </sheetView>
  </sheetViews>
  <sheetFormatPr defaultRowHeight="16.5" x14ac:dyDescent="0.25"/>
  <cols>
    <col min="1" max="1" width="16.5703125" style="11" customWidth="1"/>
    <col min="2" max="7" width="12.140625" style="1" customWidth="1"/>
    <col min="8" max="9" width="12.140625" style="17" customWidth="1"/>
    <col min="10" max="10" width="12.140625" style="1" customWidth="1"/>
    <col min="11" max="16384" width="9.140625" style="1"/>
  </cols>
  <sheetData>
    <row r="1" spans="1:10" x14ac:dyDescent="0.25">
      <c r="A1" s="577" t="s">
        <v>1009</v>
      </c>
      <c r="B1" s="577"/>
      <c r="C1" s="577"/>
      <c r="D1" s="577"/>
      <c r="E1" s="577"/>
      <c r="F1" s="577"/>
      <c r="G1" s="577"/>
      <c r="H1" s="577"/>
      <c r="I1" s="577"/>
      <c r="J1" s="577"/>
    </row>
    <row r="2" spans="1:10" x14ac:dyDescent="0.25">
      <c r="A2" s="77"/>
      <c r="B2" s="77"/>
      <c r="C2" s="77"/>
      <c r="D2" s="77"/>
      <c r="E2" s="77"/>
      <c r="F2" s="77"/>
    </row>
    <row r="3" spans="1:10" x14ac:dyDescent="0.25">
      <c r="A3" s="579"/>
      <c r="B3" s="580"/>
      <c r="C3" s="580"/>
      <c r="D3" s="580"/>
      <c r="E3" s="580"/>
      <c r="F3" s="580"/>
      <c r="G3" s="580"/>
      <c r="H3" s="581"/>
      <c r="I3" s="292"/>
    </row>
    <row r="4" spans="1:10" x14ac:dyDescent="0.25">
      <c r="A4" s="582" t="s">
        <v>56</v>
      </c>
      <c r="B4" s="582"/>
      <c r="C4" s="582"/>
      <c r="D4" s="582"/>
      <c r="E4" s="582"/>
      <c r="F4" s="582"/>
      <c r="G4" s="582"/>
      <c r="H4" s="581"/>
      <c r="I4" s="292"/>
    </row>
    <row r="5" spans="1:10" s="2" customFormat="1" ht="19.5" x14ac:dyDescent="0.3">
      <c r="A5" s="582" t="s">
        <v>309</v>
      </c>
      <c r="B5" s="582"/>
      <c r="C5" s="582"/>
      <c r="D5" s="582"/>
      <c r="E5" s="582"/>
      <c r="F5" s="582"/>
      <c r="G5" s="582"/>
      <c r="H5" s="581"/>
      <c r="I5" s="292"/>
    </row>
    <row r="6" spans="1:10" s="2" customFormat="1" ht="19.5" x14ac:dyDescent="0.3">
      <c r="B6" s="5"/>
      <c r="C6" s="5"/>
      <c r="D6" s="5"/>
      <c r="E6" s="5"/>
      <c r="F6" s="5"/>
      <c r="G6" s="5"/>
      <c r="H6" s="6"/>
      <c r="I6" s="6"/>
      <c r="J6" s="110"/>
    </row>
    <row r="7" spans="1:10" s="15" customFormat="1" ht="38.25" customHeight="1" x14ac:dyDescent="0.2">
      <c r="A7" s="14"/>
      <c r="B7" s="297" t="s">
        <v>28</v>
      </c>
      <c r="C7" s="297" t="s">
        <v>101</v>
      </c>
      <c r="D7" s="297" t="s">
        <v>33</v>
      </c>
      <c r="E7" s="297" t="s">
        <v>58</v>
      </c>
      <c r="F7" s="297" t="s">
        <v>59</v>
      </c>
      <c r="G7" s="297" t="s">
        <v>60</v>
      </c>
      <c r="H7" s="297" t="s">
        <v>26</v>
      </c>
      <c r="I7" s="297" t="s">
        <v>61</v>
      </c>
      <c r="J7" s="298" t="s">
        <v>29</v>
      </c>
    </row>
    <row r="8" spans="1:10" s="15" customFormat="1" ht="33.75" customHeight="1" x14ac:dyDescent="0.2">
      <c r="A8" s="125"/>
      <c r="B8" s="16" t="s">
        <v>54</v>
      </c>
      <c r="C8" s="16" t="s">
        <v>54</v>
      </c>
      <c r="D8" s="16" t="s">
        <v>54</v>
      </c>
      <c r="E8" s="16" t="s">
        <v>54</v>
      </c>
      <c r="F8" s="16" t="s">
        <v>54</v>
      </c>
      <c r="G8" s="16" t="s">
        <v>54</v>
      </c>
      <c r="H8" s="16" t="s">
        <v>54</v>
      </c>
      <c r="I8" s="16" t="s">
        <v>54</v>
      </c>
      <c r="J8" s="16" t="s">
        <v>54</v>
      </c>
    </row>
    <row r="9" spans="1:10" ht="23.25" customHeight="1" x14ac:dyDescent="0.25">
      <c r="A9" s="18" t="s">
        <v>50</v>
      </c>
      <c r="B9" s="3">
        <v>235568</v>
      </c>
      <c r="C9" s="3">
        <v>45759</v>
      </c>
      <c r="D9" s="3">
        <v>76300</v>
      </c>
      <c r="E9" s="3">
        <v>0</v>
      </c>
      <c r="F9" s="3">
        <v>0</v>
      </c>
      <c r="G9" s="3">
        <v>17700</v>
      </c>
      <c r="H9" s="3">
        <v>0</v>
      </c>
      <c r="I9" s="3">
        <v>0</v>
      </c>
      <c r="J9" s="3">
        <f>B9+C9+D9+E9+F9+G9+H9+I9</f>
        <v>375327</v>
      </c>
    </row>
    <row r="10" spans="1:10" s="19" customFormat="1" ht="27.75" customHeight="1" x14ac:dyDescent="0.25">
      <c r="A10" s="112" t="s">
        <v>111</v>
      </c>
      <c r="B10" s="4">
        <v>4892</v>
      </c>
      <c r="C10" s="4">
        <v>477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f>B10+C10+D10+E10+F10+G10+H10+I10</f>
        <v>5369</v>
      </c>
    </row>
    <row r="11" spans="1:10" ht="26.25" x14ac:dyDescent="0.25">
      <c r="A11" s="18" t="s">
        <v>100</v>
      </c>
      <c r="B11" s="3">
        <v>25600</v>
      </c>
      <c r="C11" s="3">
        <v>5100</v>
      </c>
      <c r="D11" s="3">
        <v>3700</v>
      </c>
      <c r="E11" s="3">
        <v>0</v>
      </c>
      <c r="F11" s="3">
        <v>0</v>
      </c>
      <c r="G11" s="3">
        <v>600</v>
      </c>
      <c r="H11" s="3">
        <v>0</v>
      </c>
      <c r="I11" s="3">
        <v>0</v>
      </c>
      <c r="J11" s="3">
        <f>B11+C11+D11+E11+F11+G11+H11+I11</f>
        <v>35000</v>
      </c>
    </row>
    <row r="12" spans="1:10" s="19" customFormat="1" ht="24.75" customHeight="1" x14ac:dyDescent="0.25">
      <c r="A12" s="112" t="s">
        <v>30</v>
      </c>
      <c r="B12" s="4">
        <f t="shared" ref="B12:J12" si="0">B9+B11</f>
        <v>261168</v>
      </c>
      <c r="C12" s="4">
        <f t="shared" si="0"/>
        <v>50859</v>
      </c>
      <c r="D12" s="4">
        <f t="shared" si="0"/>
        <v>80000</v>
      </c>
      <c r="E12" s="4">
        <f t="shared" si="0"/>
        <v>0</v>
      </c>
      <c r="F12" s="4">
        <f t="shared" si="0"/>
        <v>0</v>
      </c>
      <c r="G12" s="4">
        <f t="shared" si="0"/>
        <v>18300</v>
      </c>
      <c r="H12" s="4">
        <f t="shared" si="0"/>
        <v>0</v>
      </c>
      <c r="I12" s="4">
        <f t="shared" si="0"/>
        <v>0</v>
      </c>
      <c r="J12" s="4">
        <f t="shared" si="0"/>
        <v>410327</v>
      </c>
    </row>
  </sheetData>
  <mergeCells count="4">
    <mergeCell ref="A3:H3"/>
    <mergeCell ref="A4:H4"/>
    <mergeCell ref="A5:H5"/>
    <mergeCell ref="A1:J1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activeCell="D34" sqref="D34"/>
    </sheetView>
  </sheetViews>
  <sheetFormatPr defaultRowHeight="12.75" x14ac:dyDescent="0.2"/>
  <cols>
    <col min="1" max="1" width="64.28515625" bestFit="1" customWidth="1"/>
    <col min="2" max="2" width="11.85546875" customWidth="1"/>
    <col min="3" max="3" width="12.28515625" customWidth="1"/>
    <col min="4" max="4" width="10.85546875" bestFit="1" customWidth="1"/>
    <col min="5" max="5" width="18.28515625" bestFit="1" customWidth="1"/>
    <col min="6" max="6" width="13.28515625" customWidth="1"/>
    <col min="257" max="257" width="64.28515625" bestFit="1" customWidth="1"/>
    <col min="258" max="258" width="11.85546875" customWidth="1"/>
    <col min="259" max="259" width="12.28515625" customWidth="1"/>
    <col min="260" max="260" width="10.85546875" bestFit="1" customWidth="1"/>
    <col min="261" max="261" width="18.28515625" bestFit="1" customWidth="1"/>
    <col min="262" max="262" width="13.28515625" customWidth="1"/>
    <col min="513" max="513" width="64.28515625" bestFit="1" customWidth="1"/>
    <col min="514" max="514" width="11.85546875" customWidth="1"/>
    <col min="515" max="515" width="12.28515625" customWidth="1"/>
    <col min="516" max="516" width="10.85546875" bestFit="1" customWidth="1"/>
    <col min="517" max="517" width="18.28515625" bestFit="1" customWidth="1"/>
    <col min="518" max="518" width="13.28515625" customWidth="1"/>
    <col min="769" max="769" width="64.28515625" bestFit="1" customWidth="1"/>
    <col min="770" max="770" width="11.85546875" customWidth="1"/>
    <col min="771" max="771" width="12.28515625" customWidth="1"/>
    <col min="772" max="772" width="10.85546875" bestFit="1" customWidth="1"/>
    <col min="773" max="773" width="18.28515625" bestFit="1" customWidth="1"/>
    <col min="774" max="774" width="13.28515625" customWidth="1"/>
    <col min="1025" max="1025" width="64.28515625" bestFit="1" customWidth="1"/>
    <col min="1026" max="1026" width="11.85546875" customWidth="1"/>
    <col min="1027" max="1027" width="12.28515625" customWidth="1"/>
    <col min="1028" max="1028" width="10.85546875" bestFit="1" customWidth="1"/>
    <col min="1029" max="1029" width="18.28515625" bestFit="1" customWidth="1"/>
    <col min="1030" max="1030" width="13.28515625" customWidth="1"/>
    <col min="1281" max="1281" width="64.28515625" bestFit="1" customWidth="1"/>
    <col min="1282" max="1282" width="11.85546875" customWidth="1"/>
    <col min="1283" max="1283" width="12.28515625" customWidth="1"/>
    <col min="1284" max="1284" width="10.85546875" bestFit="1" customWidth="1"/>
    <col min="1285" max="1285" width="18.28515625" bestFit="1" customWidth="1"/>
    <col min="1286" max="1286" width="13.28515625" customWidth="1"/>
    <col min="1537" max="1537" width="64.28515625" bestFit="1" customWidth="1"/>
    <col min="1538" max="1538" width="11.85546875" customWidth="1"/>
    <col min="1539" max="1539" width="12.28515625" customWidth="1"/>
    <col min="1540" max="1540" width="10.85546875" bestFit="1" customWidth="1"/>
    <col min="1541" max="1541" width="18.28515625" bestFit="1" customWidth="1"/>
    <col min="1542" max="1542" width="13.28515625" customWidth="1"/>
    <col min="1793" max="1793" width="64.28515625" bestFit="1" customWidth="1"/>
    <col min="1794" max="1794" width="11.85546875" customWidth="1"/>
    <col min="1795" max="1795" width="12.28515625" customWidth="1"/>
    <col min="1796" max="1796" width="10.85546875" bestFit="1" customWidth="1"/>
    <col min="1797" max="1797" width="18.28515625" bestFit="1" customWidth="1"/>
    <col min="1798" max="1798" width="13.28515625" customWidth="1"/>
    <col min="2049" max="2049" width="64.28515625" bestFit="1" customWidth="1"/>
    <col min="2050" max="2050" width="11.85546875" customWidth="1"/>
    <col min="2051" max="2051" width="12.28515625" customWidth="1"/>
    <col min="2052" max="2052" width="10.85546875" bestFit="1" customWidth="1"/>
    <col min="2053" max="2053" width="18.28515625" bestFit="1" customWidth="1"/>
    <col min="2054" max="2054" width="13.28515625" customWidth="1"/>
    <col min="2305" max="2305" width="64.28515625" bestFit="1" customWidth="1"/>
    <col min="2306" max="2306" width="11.85546875" customWidth="1"/>
    <col min="2307" max="2307" width="12.28515625" customWidth="1"/>
    <col min="2308" max="2308" width="10.85546875" bestFit="1" customWidth="1"/>
    <col min="2309" max="2309" width="18.28515625" bestFit="1" customWidth="1"/>
    <col min="2310" max="2310" width="13.28515625" customWidth="1"/>
    <col min="2561" max="2561" width="64.28515625" bestFit="1" customWidth="1"/>
    <col min="2562" max="2562" width="11.85546875" customWidth="1"/>
    <col min="2563" max="2563" width="12.28515625" customWidth="1"/>
    <col min="2564" max="2564" width="10.85546875" bestFit="1" customWidth="1"/>
    <col min="2565" max="2565" width="18.28515625" bestFit="1" customWidth="1"/>
    <col min="2566" max="2566" width="13.28515625" customWidth="1"/>
    <col min="2817" max="2817" width="64.28515625" bestFit="1" customWidth="1"/>
    <col min="2818" max="2818" width="11.85546875" customWidth="1"/>
    <col min="2819" max="2819" width="12.28515625" customWidth="1"/>
    <col min="2820" max="2820" width="10.85546875" bestFit="1" customWidth="1"/>
    <col min="2821" max="2821" width="18.28515625" bestFit="1" customWidth="1"/>
    <col min="2822" max="2822" width="13.28515625" customWidth="1"/>
    <col min="3073" max="3073" width="64.28515625" bestFit="1" customWidth="1"/>
    <col min="3074" max="3074" width="11.85546875" customWidth="1"/>
    <col min="3075" max="3075" width="12.28515625" customWidth="1"/>
    <col min="3076" max="3076" width="10.85546875" bestFit="1" customWidth="1"/>
    <col min="3077" max="3077" width="18.28515625" bestFit="1" customWidth="1"/>
    <col min="3078" max="3078" width="13.28515625" customWidth="1"/>
    <col min="3329" max="3329" width="64.28515625" bestFit="1" customWidth="1"/>
    <col min="3330" max="3330" width="11.85546875" customWidth="1"/>
    <col min="3331" max="3331" width="12.28515625" customWidth="1"/>
    <col min="3332" max="3332" width="10.85546875" bestFit="1" customWidth="1"/>
    <col min="3333" max="3333" width="18.28515625" bestFit="1" customWidth="1"/>
    <col min="3334" max="3334" width="13.28515625" customWidth="1"/>
    <col min="3585" max="3585" width="64.28515625" bestFit="1" customWidth="1"/>
    <col min="3586" max="3586" width="11.85546875" customWidth="1"/>
    <col min="3587" max="3587" width="12.28515625" customWidth="1"/>
    <col min="3588" max="3588" width="10.85546875" bestFit="1" customWidth="1"/>
    <col min="3589" max="3589" width="18.28515625" bestFit="1" customWidth="1"/>
    <col min="3590" max="3590" width="13.28515625" customWidth="1"/>
    <col min="3841" max="3841" width="64.28515625" bestFit="1" customWidth="1"/>
    <col min="3842" max="3842" width="11.85546875" customWidth="1"/>
    <col min="3843" max="3843" width="12.28515625" customWidth="1"/>
    <col min="3844" max="3844" width="10.85546875" bestFit="1" customWidth="1"/>
    <col min="3845" max="3845" width="18.28515625" bestFit="1" customWidth="1"/>
    <col min="3846" max="3846" width="13.28515625" customWidth="1"/>
    <col min="4097" max="4097" width="64.28515625" bestFit="1" customWidth="1"/>
    <col min="4098" max="4098" width="11.85546875" customWidth="1"/>
    <col min="4099" max="4099" width="12.28515625" customWidth="1"/>
    <col min="4100" max="4100" width="10.85546875" bestFit="1" customWidth="1"/>
    <col min="4101" max="4101" width="18.28515625" bestFit="1" customWidth="1"/>
    <col min="4102" max="4102" width="13.28515625" customWidth="1"/>
    <col min="4353" max="4353" width="64.28515625" bestFit="1" customWidth="1"/>
    <col min="4354" max="4354" width="11.85546875" customWidth="1"/>
    <col min="4355" max="4355" width="12.28515625" customWidth="1"/>
    <col min="4356" max="4356" width="10.85546875" bestFit="1" customWidth="1"/>
    <col min="4357" max="4357" width="18.28515625" bestFit="1" customWidth="1"/>
    <col min="4358" max="4358" width="13.28515625" customWidth="1"/>
    <col min="4609" max="4609" width="64.28515625" bestFit="1" customWidth="1"/>
    <col min="4610" max="4610" width="11.85546875" customWidth="1"/>
    <col min="4611" max="4611" width="12.28515625" customWidth="1"/>
    <col min="4612" max="4612" width="10.85546875" bestFit="1" customWidth="1"/>
    <col min="4613" max="4613" width="18.28515625" bestFit="1" customWidth="1"/>
    <col min="4614" max="4614" width="13.28515625" customWidth="1"/>
    <col min="4865" max="4865" width="64.28515625" bestFit="1" customWidth="1"/>
    <col min="4866" max="4866" width="11.85546875" customWidth="1"/>
    <col min="4867" max="4867" width="12.28515625" customWidth="1"/>
    <col min="4868" max="4868" width="10.85546875" bestFit="1" customWidth="1"/>
    <col min="4869" max="4869" width="18.28515625" bestFit="1" customWidth="1"/>
    <col min="4870" max="4870" width="13.28515625" customWidth="1"/>
    <col min="5121" max="5121" width="64.28515625" bestFit="1" customWidth="1"/>
    <col min="5122" max="5122" width="11.85546875" customWidth="1"/>
    <col min="5123" max="5123" width="12.28515625" customWidth="1"/>
    <col min="5124" max="5124" width="10.85546875" bestFit="1" customWidth="1"/>
    <col min="5125" max="5125" width="18.28515625" bestFit="1" customWidth="1"/>
    <col min="5126" max="5126" width="13.28515625" customWidth="1"/>
    <col min="5377" max="5377" width="64.28515625" bestFit="1" customWidth="1"/>
    <col min="5378" max="5378" width="11.85546875" customWidth="1"/>
    <col min="5379" max="5379" width="12.28515625" customWidth="1"/>
    <col min="5380" max="5380" width="10.85546875" bestFit="1" customWidth="1"/>
    <col min="5381" max="5381" width="18.28515625" bestFit="1" customWidth="1"/>
    <col min="5382" max="5382" width="13.28515625" customWidth="1"/>
    <col min="5633" max="5633" width="64.28515625" bestFit="1" customWidth="1"/>
    <col min="5634" max="5634" width="11.85546875" customWidth="1"/>
    <col min="5635" max="5635" width="12.28515625" customWidth="1"/>
    <col min="5636" max="5636" width="10.85546875" bestFit="1" customWidth="1"/>
    <col min="5637" max="5637" width="18.28515625" bestFit="1" customWidth="1"/>
    <col min="5638" max="5638" width="13.28515625" customWidth="1"/>
    <col min="5889" max="5889" width="64.28515625" bestFit="1" customWidth="1"/>
    <col min="5890" max="5890" width="11.85546875" customWidth="1"/>
    <col min="5891" max="5891" width="12.28515625" customWidth="1"/>
    <col min="5892" max="5892" width="10.85546875" bestFit="1" customWidth="1"/>
    <col min="5893" max="5893" width="18.28515625" bestFit="1" customWidth="1"/>
    <col min="5894" max="5894" width="13.28515625" customWidth="1"/>
    <col min="6145" max="6145" width="64.28515625" bestFit="1" customWidth="1"/>
    <col min="6146" max="6146" width="11.85546875" customWidth="1"/>
    <col min="6147" max="6147" width="12.28515625" customWidth="1"/>
    <col min="6148" max="6148" width="10.85546875" bestFit="1" customWidth="1"/>
    <col min="6149" max="6149" width="18.28515625" bestFit="1" customWidth="1"/>
    <col min="6150" max="6150" width="13.28515625" customWidth="1"/>
    <col min="6401" max="6401" width="64.28515625" bestFit="1" customWidth="1"/>
    <col min="6402" max="6402" width="11.85546875" customWidth="1"/>
    <col min="6403" max="6403" width="12.28515625" customWidth="1"/>
    <col min="6404" max="6404" width="10.85546875" bestFit="1" customWidth="1"/>
    <col min="6405" max="6405" width="18.28515625" bestFit="1" customWidth="1"/>
    <col min="6406" max="6406" width="13.28515625" customWidth="1"/>
    <col min="6657" max="6657" width="64.28515625" bestFit="1" customWidth="1"/>
    <col min="6658" max="6658" width="11.85546875" customWidth="1"/>
    <col min="6659" max="6659" width="12.28515625" customWidth="1"/>
    <col min="6660" max="6660" width="10.85546875" bestFit="1" customWidth="1"/>
    <col min="6661" max="6661" width="18.28515625" bestFit="1" customWidth="1"/>
    <col min="6662" max="6662" width="13.28515625" customWidth="1"/>
    <col min="6913" max="6913" width="64.28515625" bestFit="1" customWidth="1"/>
    <col min="6914" max="6914" width="11.85546875" customWidth="1"/>
    <col min="6915" max="6915" width="12.28515625" customWidth="1"/>
    <col min="6916" max="6916" width="10.85546875" bestFit="1" customWidth="1"/>
    <col min="6917" max="6917" width="18.28515625" bestFit="1" customWidth="1"/>
    <col min="6918" max="6918" width="13.28515625" customWidth="1"/>
    <col min="7169" max="7169" width="64.28515625" bestFit="1" customWidth="1"/>
    <col min="7170" max="7170" width="11.85546875" customWidth="1"/>
    <col min="7171" max="7171" width="12.28515625" customWidth="1"/>
    <col min="7172" max="7172" width="10.85546875" bestFit="1" customWidth="1"/>
    <col min="7173" max="7173" width="18.28515625" bestFit="1" customWidth="1"/>
    <col min="7174" max="7174" width="13.28515625" customWidth="1"/>
    <col min="7425" max="7425" width="64.28515625" bestFit="1" customWidth="1"/>
    <col min="7426" max="7426" width="11.85546875" customWidth="1"/>
    <col min="7427" max="7427" width="12.28515625" customWidth="1"/>
    <col min="7428" max="7428" width="10.85546875" bestFit="1" customWidth="1"/>
    <col min="7429" max="7429" width="18.28515625" bestFit="1" customWidth="1"/>
    <col min="7430" max="7430" width="13.28515625" customWidth="1"/>
    <col min="7681" max="7681" width="64.28515625" bestFit="1" customWidth="1"/>
    <col min="7682" max="7682" width="11.85546875" customWidth="1"/>
    <col min="7683" max="7683" width="12.28515625" customWidth="1"/>
    <col min="7684" max="7684" width="10.85546875" bestFit="1" customWidth="1"/>
    <col min="7685" max="7685" width="18.28515625" bestFit="1" customWidth="1"/>
    <col min="7686" max="7686" width="13.28515625" customWidth="1"/>
    <col min="7937" max="7937" width="64.28515625" bestFit="1" customWidth="1"/>
    <col min="7938" max="7938" width="11.85546875" customWidth="1"/>
    <col min="7939" max="7939" width="12.28515625" customWidth="1"/>
    <col min="7940" max="7940" width="10.85546875" bestFit="1" customWidth="1"/>
    <col min="7941" max="7941" width="18.28515625" bestFit="1" customWidth="1"/>
    <col min="7942" max="7942" width="13.28515625" customWidth="1"/>
    <col min="8193" max="8193" width="64.28515625" bestFit="1" customWidth="1"/>
    <col min="8194" max="8194" width="11.85546875" customWidth="1"/>
    <col min="8195" max="8195" width="12.28515625" customWidth="1"/>
    <col min="8196" max="8196" width="10.85546875" bestFit="1" customWidth="1"/>
    <col min="8197" max="8197" width="18.28515625" bestFit="1" customWidth="1"/>
    <col min="8198" max="8198" width="13.28515625" customWidth="1"/>
    <col min="8449" max="8449" width="64.28515625" bestFit="1" customWidth="1"/>
    <col min="8450" max="8450" width="11.85546875" customWidth="1"/>
    <col min="8451" max="8451" width="12.28515625" customWidth="1"/>
    <col min="8452" max="8452" width="10.85546875" bestFit="1" customWidth="1"/>
    <col min="8453" max="8453" width="18.28515625" bestFit="1" customWidth="1"/>
    <col min="8454" max="8454" width="13.28515625" customWidth="1"/>
    <col min="8705" max="8705" width="64.28515625" bestFit="1" customWidth="1"/>
    <col min="8706" max="8706" width="11.85546875" customWidth="1"/>
    <col min="8707" max="8707" width="12.28515625" customWidth="1"/>
    <col min="8708" max="8708" width="10.85546875" bestFit="1" customWidth="1"/>
    <col min="8709" max="8709" width="18.28515625" bestFit="1" customWidth="1"/>
    <col min="8710" max="8710" width="13.28515625" customWidth="1"/>
    <col min="8961" max="8961" width="64.28515625" bestFit="1" customWidth="1"/>
    <col min="8962" max="8962" width="11.85546875" customWidth="1"/>
    <col min="8963" max="8963" width="12.28515625" customWidth="1"/>
    <col min="8964" max="8964" width="10.85546875" bestFit="1" customWidth="1"/>
    <col min="8965" max="8965" width="18.28515625" bestFit="1" customWidth="1"/>
    <col min="8966" max="8966" width="13.28515625" customWidth="1"/>
    <col min="9217" max="9217" width="64.28515625" bestFit="1" customWidth="1"/>
    <col min="9218" max="9218" width="11.85546875" customWidth="1"/>
    <col min="9219" max="9219" width="12.28515625" customWidth="1"/>
    <col min="9220" max="9220" width="10.85546875" bestFit="1" customWidth="1"/>
    <col min="9221" max="9221" width="18.28515625" bestFit="1" customWidth="1"/>
    <col min="9222" max="9222" width="13.28515625" customWidth="1"/>
    <col min="9473" max="9473" width="64.28515625" bestFit="1" customWidth="1"/>
    <col min="9474" max="9474" width="11.85546875" customWidth="1"/>
    <col min="9475" max="9475" width="12.28515625" customWidth="1"/>
    <col min="9476" max="9476" width="10.85546875" bestFit="1" customWidth="1"/>
    <col min="9477" max="9477" width="18.28515625" bestFit="1" customWidth="1"/>
    <col min="9478" max="9478" width="13.28515625" customWidth="1"/>
    <col min="9729" max="9729" width="64.28515625" bestFit="1" customWidth="1"/>
    <col min="9730" max="9730" width="11.85546875" customWidth="1"/>
    <col min="9731" max="9731" width="12.28515625" customWidth="1"/>
    <col min="9732" max="9732" width="10.85546875" bestFit="1" customWidth="1"/>
    <col min="9733" max="9733" width="18.28515625" bestFit="1" customWidth="1"/>
    <col min="9734" max="9734" width="13.28515625" customWidth="1"/>
    <col min="9985" max="9985" width="64.28515625" bestFit="1" customWidth="1"/>
    <col min="9986" max="9986" width="11.85546875" customWidth="1"/>
    <col min="9987" max="9987" width="12.28515625" customWidth="1"/>
    <col min="9988" max="9988" width="10.85546875" bestFit="1" customWidth="1"/>
    <col min="9989" max="9989" width="18.28515625" bestFit="1" customWidth="1"/>
    <col min="9990" max="9990" width="13.28515625" customWidth="1"/>
    <col min="10241" max="10241" width="64.28515625" bestFit="1" customWidth="1"/>
    <col min="10242" max="10242" width="11.85546875" customWidth="1"/>
    <col min="10243" max="10243" width="12.28515625" customWidth="1"/>
    <col min="10244" max="10244" width="10.85546875" bestFit="1" customWidth="1"/>
    <col min="10245" max="10245" width="18.28515625" bestFit="1" customWidth="1"/>
    <col min="10246" max="10246" width="13.28515625" customWidth="1"/>
    <col min="10497" max="10497" width="64.28515625" bestFit="1" customWidth="1"/>
    <col min="10498" max="10498" width="11.85546875" customWidth="1"/>
    <col min="10499" max="10499" width="12.28515625" customWidth="1"/>
    <col min="10500" max="10500" width="10.85546875" bestFit="1" customWidth="1"/>
    <col min="10501" max="10501" width="18.28515625" bestFit="1" customWidth="1"/>
    <col min="10502" max="10502" width="13.28515625" customWidth="1"/>
    <col min="10753" max="10753" width="64.28515625" bestFit="1" customWidth="1"/>
    <col min="10754" max="10754" width="11.85546875" customWidth="1"/>
    <col min="10755" max="10755" width="12.28515625" customWidth="1"/>
    <col min="10756" max="10756" width="10.85546875" bestFit="1" customWidth="1"/>
    <col min="10757" max="10757" width="18.28515625" bestFit="1" customWidth="1"/>
    <col min="10758" max="10758" width="13.28515625" customWidth="1"/>
    <col min="11009" max="11009" width="64.28515625" bestFit="1" customWidth="1"/>
    <col min="11010" max="11010" width="11.85546875" customWidth="1"/>
    <col min="11011" max="11011" width="12.28515625" customWidth="1"/>
    <col min="11012" max="11012" width="10.85546875" bestFit="1" customWidth="1"/>
    <col min="11013" max="11013" width="18.28515625" bestFit="1" customWidth="1"/>
    <col min="11014" max="11014" width="13.28515625" customWidth="1"/>
    <col min="11265" max="11265" width="64.28515625" bestFit="1" customWidth="1"/>
    <col min="11266" max="11266" width="11.85546875" customWidth="1"/>
    <col min="11267" max="11267" width="12.28515625" customWidth="1"/>
    <col min="11268" max="11268" width="10.85546875" bestFit="1" customWidth="1"/>
    <col min="11269" max="11269" width="18.28515625" bestFit="1" customWidth="1"/>
    <col min="11270" max="11270" width="13.28515625" customWidth="1"/>
    <col min="11521" max="11521" width="64.28515625" bestFit="1" customWidth="1"/>
    <col min="11522" max="11522" width="11.85546875" customWidth="1"/>
    <col min="11523" max="11523" width="12.28515625" customWidth="1"/>
    <col min="11524" max="11524" width="10.85546875" bestFit="1" customWidth="1"/>
    <col min="11525" max="11525" width="18.28515625" bestFit="1" customWidth="1"/>
    <col min="11526" max="11526" width="13.28515625" customWidth="1"/>
    <col min="11777" max="11777" width="64.28515625" bestFit="1" customWidth="1"/>
    <col min="11778" max="11778" width="11.85546875" customWidth="1"/>
    <col min="11779" max="11779" width="12.28515625" customWidth="1"/>
    <col min="11780" max="11780" width="10.85546875" bestFit="1" customWidth="1"/>
    <col min="11781" max="11781" width="18.28515625" bestFit="1" customWidth="1"/>
    <col min="11782" max="11782" width="13.28515625" customWidth="1"/>
    <col min="12033" max="12033" width="64.28515625" bestFit="1" customWidth="1"/>
    <col min="12034" max="12034" width="11.85546875" customWidth="1"/>
    <col min="12035" max="12035" width="12.28515625" customWidth="1"/>
    <col min="12036" max="12036" width="10.85546875" bestFit="1" customWidth="1"/>
    <col min="12037" max="12037" width="18.28515625" bestFit="1" customWidth="1"/>
    <col min="12038" max="12038" width="13.28515625" customWidth="1"/>
    <col min="12289" max="12289" width="64.28515625" bestFit="1" customWidth="1"/>
    <col min="12290" max="12290" width="11.85546875" customWidth="1"/>
    <col min="12291" max="12291" width="12.28515625" customWidth="1"/>
    <col min="12292" max="12292" width="10.85546875" bestFit="1" customWidth="1"/>
    <col min="12293" max="12293" width="18.28515625" bestFit="1" customWidth="1"/>
    <col min="12294" max="12294" width="13.28515625" customWidth="1"/>
    <col min="12545" max="12545" width="64.28515625" bestFit="1" customWidth="1"/>
    <col min="12546" max="12546" width="11.85546875" customWidth="1"/>
    <col min="12547" max="12547" width="12.28515625" customWidth="1"/>
    <col min="12548" max="12548" width="10.85546875" bestFit="1" customWidth="1"/>
    <col min="12549" max="12549" width="18.28515625" bestFit="1" customWidth="1"/>
    <col min="12550" max="12550" width="13.28515625" customWidth="1"/>
    <col min="12801" max="12801" width="64.28515625" bestFit="1" customWidth="1"/>
    <col min="12802" max="12802" width="11.85546875" customWidth="1"/>
    <col min="12803" max="12803" width="12.28515625" customWidth="1"/>
    <col min="12804" max="12804" width="10.85546875" bestFit="1" customWidth="1"/>
    <col min="12805" max="12805" width="18.28515625" bestFit="1" customWidth="1"/>
    <col min="12806" max="12806" width="13.28515625" customWidth="1"/>
    <col min="13057" max="13057" width="64.28515625" bestFit="1" customWidth="1"/>
    <col min="13058" max="13058" width="11.85546875" customWidth="1"/>
    <col min="13059" max="13059" width="12.28515625" customWidth="1"/>
    <col min="13060" max="13060" width="10.85546875" bestFit="1" customWidth="1"/>
    <col min="13061" max="13061" width="18.28515625" bestFit="1" customWidth="1"/>
    <col min="13062" max="13062" width="13.28515625" customWidth="1"/>
    <col min="13313" max="13313" width="64.28515625" bestFit="1" customWidth="1"/>
    <col min="13314" max="13314" width="11.85546875" customWidth="1"/>
    <col min="13315" max="13315" width="12.28515625" customWidth="1"/>
    <col min="13316" max="13316" width="10.85546875" bestFit="1" customWidth="1"/>
    <col min="13317" max="13317" width="18.28515625" bestFit="1" customWidth="1"/>
    <col min="13318" max="13318" width="13.28515625" customWidth="1"/>
    <col min="13569" max="13569" width="64.28515625" bestFit="1" customWidth="1"/>
    <col min="13570" max="13570" width="11.85546875" customWidth="1"/>
    <col min="13571" max="13571" width="12.28515625" customWidth="1"/>
    <col min="13572" max="13572" width="10.85546875" bestFit="1" customWidth="1"/>
    <col min="13573" max="13573" width="18.28515625" bestFit="1" customWidth="1"/>
    <col min="13574" max="13574" width="13.28515625" customWidth="1"/>
    <col min="13825" max="13825" width="64.28515625" bestFit="1" customWidth="1"/>
    <col min="13826" max="13826" width="11.85546875" customWidth="1"/>
    <col min="13827" max="13827" width="12.28515625" customWidth="1"/>
    <col min="13828" max="13828" width="10.85546875" bestFit="1" customWidth="1"/>
    <col min="13829" max="13829" width="18.28515625" bestFit="1" customWidth="1"/>
    <col min="13830" max="13830" width="13.28515625" customWidth="1"/>
    <col min="14081" max="14081" width="64.28515625" bestFit="1" customWidth="1"/>
    <col min="14082" max="14082" width="11.85546875" customWidth="1"/>
    <col min="14083" max="14083" width="12.28515625" customWidth="1"/>
    <col min="14084" max="14084" width="10.85546875" bestFit="1" customWidth="1"/>
    <col min="14085" max="14085" width="18.28515625" bestFit="1" customWidth="1"/>
    <col min="14086" max="14086" width="13.28515625" customWidth="1"/>
    <col min="14337" max="14337" width="64.28515625" bestFit="1" customWidth="1"/>
    <col min="14338" max="14338" width="11.85546875" customWidth="1"/>
    <col min="14339" max="14339" width="12.28515625" customWidth="1"/>
    <col min="14340" max="14340" width="10.85546875" bestFit="1" customWidth="1"/>
    <col min="14341" max="14341" width="18.28515625" bestFit="1" customWidth="1"/>
    <col min="14342" max="14342" width="13.28515625" customWidth="1"/>
    <col min="14593" max="14593" width="64.28515625" bestFit="1" customWidth="1"/>
    <col min="14594" max="14594" width="11.85546875" customWidth="1"/>
    <col min="14595" max="14595" width="12.28515625" customWidth="1"/>
    <col min="14596" max="14596" width="10.85546875" bestFit="1" customWidth="1"/>
    <col min="14597" max="14597" width="18.28515625" bestFit="1" customWidth="1"/>
    <col min="14598" max="14598" width="13.28515625" customWidth="1"/>
    <col min="14849" max="14849" width="64.28515625" bestFit="1" customWidth="1"/>
    <col min="14850" max="14850" width="11.85546875" customWidth="1"/>
    <col min="14851" max="14851" width="12.28515625" customWidth="1"/>
    <col min="14852" max="14852" width="10.85546875" bestFit="1" customWidth="1"/>
    <col min="14853" max="14853" width="18.28515625" bestFit="1" customWidth="1"/>
    <col min="14854" max="14854" width="13.28515625" customWidth="1"/>
    <col min="15105" max="15105" width="64.28515625" bestFit="1" customWidth="1"/>
    <col min="15106" max="15106" width="11.85546875" customWidth="1"/>
    <col min="15107" max="15107" width="12.28515625" customWidth="1"/>
    <col min="15108" max="15108" width="10.85546875" bestFit="1" customWidth="1"/>
    <col min="15109" max="15109" width="18.28515625" bestFit="1" customWidth="1"/>
    <col min="15110" max="15110" width="13.28515625" customWidth="1"/>
    <col min="15361" max="15361" width="64.28515625" bestFit="1" customWidth="1"/>
    <col min="15362" max="15362" width="11.85546875" customWidth="1"/>
    <col min="15363" max="15363" width="12.28515625" customWidth="1"/>
    <col min="15364" max="15364" width="10.85546875" bestFit="1" customWidth="1"/>
    <col min="15365" max="15365" width="18.28515625" bestFit="1" customWidth="1"/>
    <col min="15366" max="15366" width="13.28515625" customWidth="1"/>
    <col min="15617" max="15617" width="64.28515625" bestFit="1" customWidth="1"/>
    <col min="15618" max="15618" width="11.85546875" customWidth="1"/>
    <col min="15619" max="15619" width="12.28515625" customWidth="1"/>
    <col min="15620" max="15620" width="10.85546875" bestFit="1" customWidth="1"/>
    <col min="15621" max="15621" width="18.28515625" bestFit="1" customWidth="1"/>
    <col min="15622" max="15622" width="13.28515625" customWidth="1"/>
    <col min="15873" max="15873" width="64.28515625" bestFit="1" customWidth="1"/>
    <col min="15874" max="15874" width="11.85546875" customWidth="1"/>
    <col min="15875" max="15875" width="12.28515625" customWidth="1"/>
    <col min="15876" max="15876" width="10.85546875" bestFit="1" customWidth="1"/>
    <col min="15877" max="15877" width="18.28515625" bestFit="1" customWidth="1"/>
    <col min="15878" max="15878" width="13.28515625" customWidth="1"/>
    <col min="16129" max="16129" width="64.28515625" bestFit="1" customWidth="1"/>
    <col min="16130" max="16130" width="11.85546875" customWidth="1"/>
    <col min="16131" max="16131" width="12.28515625" customWidth="1"/>
    <col min="16132" max="16132" width="10.85546875" bestFit="1" customWidth="1"/>
    <col min="16133" max="16133" width="18.28515625" bestFit="1" customWidth="1"/>
    <col min="16134" max="16134" width="13.28515625" customWidth="1"/>
  </cols>
  <sheetData>
    <row r="1" spans="1:6" ht="16.5" customHeight="1" x14ac:dyDescent="0.25">
      <c r="A1" s="577" t="s">
        <v>1010</v>
      </c>
      <c r="B1" s="577"/>
      <c r="C1" s="577"/>
      <c r="D1" s="577"/>
      <c r="E1" s="577"/>
      <c r="F1" s="577"/>
    </row>
    <row r="2" spans="1:6" ht="15" x14ac:dyDescent="0.2">
      <c r="A2" s="126"/>
      <c r="B2" s="126"/>
      <c r="C2" s="126"/>
      <c r="D2" s="126"/>
      <c r="E2" s="126"/>
      <c r="F2" s="127"/>
    </row>
    <row r="3" spans="1:6" ht="16.5" x14ac:dyDescent="0.25">
      <c r="A3" s="583" t="s">
        <v>157</v>
      </c>
      <c r="B3" s="583"/>
      <c r="C3" s="583"/>
      <c r="D3" s="583"/>
      <c r="E3" s="583"/>
      <c r="F3" s="583"/>
    </row>
    <row r="4" spans="1:6" ht="16.5" x14ac:dyDescent="0.25">
      <c r="A4" s="583" t="s">
        <v>539</v>
      </c>
      <c r="B4" s="583"/>
      <c r="C4" s="583"/>
      <c r="D4" s="583"/>
      <c r="E4" s="583"/>
      <c r="F4" s="583"/>
    </row>
    <row r="5" spans="1:6" ht="16.5" x14ac:dyDescent="0.25">
      <c r="A5" s="584" t="s">
        <v>158</v>
      </c>
      <c r="B5" s="585" t="s">
        <v>159</v>
      </c>
      <c r="C5" s="585"/>
      <c r="D5" s="585"/>
      <c r="E5" s="585"/>
      <c r="F5" s="585"/>
    </row>
    <row r="6" spans="1:6" ht="66" x14ac:dyDescent="0.2">
      <c r="A6" s="584"/>
      <c r="B6" s="128" t="s">
        <v>160</v>
      </c>
      <c r="C6" s="128" t="s">
        <v>161</v>
      </c>
      <c r="D6" s="128" t="s">
        <v>162</v>
      </c>
      <c r="E6" s="129" t="s">
        <v>163</v>
      </c>
      <c r="F6" s="129" t="s">
        <v>164</v>
      </c>
    </row>
    <row r="7" spans="1:6" ht="16.5" x14ac:dyDescent="0.25">
      <c r="A7" s="130"/>
      <c r="B7" s="130"/>
      <c r="C7" s="130"/>
      <c r="D7" s="131"/>
      <c r="E7" s="132"/>
      <c r="F7" s="132"/>
    </row>
    <row r="8" spans="1:6" ht="16.5" x14ac:dyDescent="0.25">
      <c r="A8" s="130" t="s">
        <v>513</v>
      </c>
      <c r="B8" s="130"/>
      <c r="C8" s="130"/>
      <c r="D8" s="130"/>
      <c r="E8" s="132"/>
      <c r="F8" s="132"/>
    </row>
    <row r="9" spans="1:6" ht="16.5" x14ac:dyDescent="0.25">
      <c r="A9" s="130" t="s">
        <v>165</v>
      </c>
      <c r="B9" s="130">
        <v>14</v>
      </c>
      <c r="C9" s="130">
        <v>0</v>
      </c>
      <c r="D9" s="130">
        <v>3</v>
      </c>
      <c r="E9" s="132">
        <v>0</v>
      </c>
      <c r="F9" s="132">
        <f t="shared" ref="F9:F16" si="0">SUM(B9:E9)</f>
        <v>17</v>
      </c>
    </row>
    <row r="10" spans="1:6" ht="16.5" x14ac:dyDescent="0.25">
      <c r="A10" s="130" t="s">
        <v>168</v>
      </c>
      <c r="B10" s="130">
        <v>31</v>
      </c>
      <c r="C10" s="130">
        <v>22</v>
      </c>
      <c r="D10" s="130">
        <v>0</v>
      </c>
      <c r="E10" s="132">
        <v>3</v>
      </c>
      <c r="F10" s="132">
        <f>SUM(B10:E10)</f>
        <v>56</v>
      </c>
    </row>
    <row r="11" spans="1:6" ht="16.5" x14ac:dyDescent="0.25">
      <c r="A11" s="130" t="s">
        <v>55</v>
      </c>
      <c r="B11" s="130">
        <v>23</v>
      </c>
      <c r="C11" s="130">
        <v>0</v>
      </c>
      <c r="D11" s="130">
        <v>39</v>
      </c>
      <c r="E11" s="132">
        <v>2</v>
      </c>
      <c r="F11" s="132">
        <f>SUM(B11:E11)</f>
        <v>64</v>
      </c>
    </row>
    <row r="12" spans="1:6" ht="16.5" x14ac:dyDescent="0.25">
      <c r="A12" s="130" t="s">
        <v>269</v>
      </c>
      <c r="B12" s="130">
        <v>6</v>
      </c>
      <c r="C12" s="130">
        <v>0</v>
      </c>
      <c r="D12" s="130">
        <v>2</v>
      </c>
      <c r="E12" s="132">
        <v>0</v>
      </c>
      <c r="F12" s="132">
        <f t="shared" si="0"/>
        <v>8</v>
      </c>
    </row>
    <row r="13" spans="1:6" ht="16.5" x14ac:dyDescent="0.25">
      <c r="A13" s="130" t="s">
        <v>56</v>
      </c>
      <c r="B13" s="130"/>
      <c r="C13" s="130"/>
      <c r="D13" s="130"/>
      <c r="E13" s="132"/>
      <c r="F13" s="132"/>
    </row>
    <row r="14" spans="1:6" ht="16.5" x14ac:dyDescent="0.25">
      <c r="A14" s="130" t="s">
        <v>166</v>
      </c>
      <c r="B14" s="130">
        <v>57</v>
      </c>
      <c r="C14" s="130">
        <v>0</v>
      </c>
      <c r="D14" s="130">
        <v>9</v>
      </c>
      <c r="E14" s="132">
        <v>3</v>
      </c>
      <c r="F14" s="132">
        <f t="shared" si="0"/>
        <v>69</v>
      </c>
    </row>
    <row r="15" spans="1:6" ht="16.5" x14ac:dyDescent="0.25">
      <c r="A15" s="130" t="s">
        <v>167</v>
      </c>
      <c r="B15" s="130">
        <v>7</v>
      </c>
      <c r="C15" s="130">
        <v>0</v>
      </c>
      <c r="D15" s="130">
        <v>0</v>
      </c>
      <c r="E15" s="132">
        <v>0</v>
      </c>
      <c r="F15" s="132">
        <f t="shared" si="0"/>
        <v>7</v>
      </c>
    </row>
    <row r="16" spans="1:6" ht="16.5" x14ac:dyDescent="0.25">
      <c r="A16" s="130" t="s">
        <v>38</v>
      </c>
      <c r="B16" s="130">
        <v>4</v>
      </c>
      <c r="C16" s="130">
        <v>0</v>
      </c>
      <c r="D16" s="130">
        <v>7</v>
      </c>
      <c r="E16" s="132">
        <v>0</v>
      </c>
      <c r="F16" s="132">
        <f t="shared" si="0"/>
        <v>11</v>
      </c>
    </row>
    <row r="17" spans="1:6" ht="16.5" x14ac:dyDescent="0.25">
      <c r="A17" s="130"/>
      <c r="B17" s="130"/>
      <c r="C17" s="130"/>
      <c r="D17" s="130"/>
      <c r="E17" s="132"/>
      <c r="F17" s="132"/>
    </row>
    <row r="18" spans="1:6" ht="16.5" x14ac:dyDescent="0.25">
      <c r="A18" s="133" t="s">
        <v>30</v>
      </c>
      <c r="B18" s="134">
        <f>B9+B10+B11+B12+B14+B15+B16</f>
        <v>142</v>
      </c>
      <c r="C18" s="134">
        <f t="shared" ref="C18:E18" si="1">C9+C10+C11+C12+C14+C15+C16</f>
        <v>22</v>
      </c>
      <c r="D18" s="134">
        <f t="shared" si="1"/>
        <v>60</v>
      </c>
      <c r="E18" s="134">
        <f t="shared" si="1"/>
        <v>8</v>
      </c>
      <c r="F18" s="134">
        <f>F9+F10+F11+F12+F14+F15+F16</f>
        <v>232</v>
      </c>
    </row>
  </sheetData>
  <mergeCells count="5">
    <mergeCell ref="A3:F3"/>
    <mergeCell ref="A4:F4"/>
    <mergeCell ref="A5:A6"/>
    <mergeCell ref="B5:F5"/>
    <mergeCell ref="A1:F1"/>
  </mergeCells>
  <pageMargins left="0.7" right="0.7" top="0.75" bottom="0.75" header="0.3" footer="0.3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view="pageBreakPreview" zoomScale="110" zoomScaleNormal="100" zoomScaleSheetLayoutView="110" workbookViewId="0">
      <selection activeCell="A2" sqref="A2"/>
    </sheetView>
  </sheetViews>
  <sheetFormatPr defaultRowHeight="12.75" x14ac:dyDescent="0.2"/>
  <cols>
    <col min="1" max="1" width="40" style="195" customWidth="1"/>
    <col min="2" max="4" width="10.42578125" style="195" customWidth="1"/>
    <col min="5" max="5" width="4.7109375" style="195" customWidth="1"/>
    <col min="6" max="6" width="32.42578125" style="195" customWidth="1"/>
    <col min="7" max="7" width="13.5703125" style="195" customWidth="1"/>
    <col min="8" max="9" width="10.42578125" style="195" customWidth="1"/>
    <col min="10" max="251" width="9.140625" style="195"/>
    <col min="252" max="252" width="40" style="195" customWidth="1"/>
    <col min="253" max="253" width="12" style="195" customWidth="1"/>
    <col min="254" max="256" width="10.42578125" style="195" customWidth="1"/>
    <col min="257" max="257" width="11" style="195" customWidth="1"/>
    <col min="258" max="258" width="4.7109375" style="195" customWidth="1"/>
    <col min="259" max="259" width="32.42578125" style="195" customWidth="1"/>
    <col min="260" max="260" width="12" style="195" customWidth="1"/>
    <col min="261" max="263" width="13.5703125" style="195" customWidth="1"/>
    <col min="264" max="264" width="11" style="195" customWidth="1"/>
    <col min="265" max="507" width="9.140625" style="195"/>
    <col min="508" max="508" width="40" style="195" customWidth="1"/>
    <col min="509" max="509" width="12" style="195" customWidth="1"/>
    <col min="510" max="512" width="10.42578125" style="195" customWidth="1"/>
    <col min="513" max="513" width="11" style="195" customWidth="1"/>
    <col min="514" max="514" width="4.7109375" style="195" customWidth="1"/>
    <col min="515" max="515" width="32.42578125" style="195" customWidth="1"/>
    <col min="516" max="516" width="12" style="195" customWidth="1"/>
    <col min="517" max="519" width="13.5703125" style="195" customWidth="1"/>
    <col min="520" max="520" width="11" style="195" customWidth="1"/>
    <col min="521" max="763" width="9.140625" style="195"/>
    <col min="764" max="764" width="40" style="195" customWidth="1"/>
    <col min="765" max="765" width="12" style="195" customWidth="1"/>
    <col min="766" max="768" width="10.42578125" style="195" customWidth="1"/>
    <col min="769" max="769" width="11" style="195" customWidth="1"/>
    <col min="770" max="770" width="4.7109375" style="195" customWidth="1"/>
    <col min="771" max="771" width="32.42578125" style="195" customWidth="1"/>
    <col min="772" max="772" width="12" style="195" customWidth="1"/>
    <col min="773" max="775" width="13.5703125" style="195" customWidth="1"/>
    <col min="776" max="776" width="11" style="195" customWidth="1"/>
    <col min="777" max="1019" width="9.140625" style="195"/>
    <col min="1020" max="1020" width="40" style="195" customWidth="1"/>
    <col min="1021" max="1021" width="12" style="195" customWidth="1"/>
    <col min="1022" max="1024" width="10.42578125" style="195" customWidth="1"/>
    <col min="1025" max="1025" width="11" style="195" customWidth="1"/>
    <col min="1026" max="1026" width="4.7109375" style="195" customWidth="1"/>
    <col min="1027" max="1027" width="32.42578125" style="195" customWidth="1"/>
    <col min="1028" max="1028" width="12" style="195" customWidth="1"/>
    <col min="1029" max="1031" width="13.5703125" style="195" customWidth="1"/>
    <col min="1032" max="1032" width="11" style="195" customWidth="1"/>
    <col min="1033" max="1275" width="9.140625" style="195"/>
    <col min="1276" max="1276" width="40" style="195" customWidth="1"/>
    <col min="1277" max="1277" width="12" style="195" customWidth="1"/>
    <col min="1278" max="1280" width="10.42578125" style="195" customWidth="1"/>
    <col min="1281" max="1281" width="11" style="195" customWidth="1"/>
    <col min="1282" max="1282" width="4.7109375" style="195" customWidth="1"/>
    <col min="1283" max="1283" width="32.42578125" style="195" customWidth="1"/>
    <col min="1284" max="1284" width="12" style="195" customWidth="1"/>
    <col min="1285" max="1287" width="13.5703125" style="195" customWidth="1"/>
    <col min="1288" max="1288" width="11" style="195" customWidth="1"/>
    <col min="1289" max="1531" width="9.140625" style="195"/>
    <col min="1532" max="1532" width="40" style="195" customWidth="1"/>
    <col min="1533" max="1533" width="12" style="195" customWidth="1"/>
    <col min="1534" max="1536" width="10.42578125" style="195" customWidth="1"/>
    <col min="1537" max="1537" width="11" style="195" customWidth="1"/>
    <col min="1538" max="1538" width="4.7109375" style="195" customWidth="1"/>
    <col min="1539" max="1539" width="32.42578125" style="195" customWidth="1"/>
    <col min="1540" max="1540" width="12" style="195" customWidth="1"/>
    <col min="1541" max="1543" width="13.5703125" style="195" customWidth="1"/>
    <col min="1544" max="1544" width="11" style="195" customWidth="1"/>
    <col min="1545" max="1787" width="9.140625" style="195"/>
    <col min="1788" max="1788" width="40" style="195" customWidth="1"/>
    <col min="1789" max="1789" width="12" style="195" customWidth="1"/>
    <col min="1790" max="1792" width="10.42578125" style="195" customWidth="1"/>
    <col min="1793" max="1793" width="11" style="195" customWidth="1"/>
    <col min="1794" max="1794" width="4.7109375" style="195" customWidth="1"/>
    <col min="1795" max="1795" width="32.42578125" style="195" customWidth="1"/>
    <col min="1796" max="1796" width="12" style="195" customWidth="1"/>
    <col min="1797" max="1799" width="13.5703125" style="195" customWidth="1"/>
    <col min="1800" max="1800" width="11" style="195" customWidth="1"/>
    <col min="1801" max="2043" width="9.140625" style="195"/>
    <col min="2044" max="2044" width="40" style="195" customWidth="1"/>
    <col min="2045" max="2045" width="12" style="195" customWidth="1"/>
    <col min="2046" max="2048" width="10.42578125" style="195" customWidth="1"/>
    <col min="2049" max="2049" width="11" style="195" customWidth="1"/>
    <col min="2050" max="2050" width="4.7109375" style="195" customWidth="1"/>
    <col min="2051" max="2051" width="32.42578125" style="195" customWidth="1"/>
    <col min="2052" max="2052" width="12" style="195" customWidth="1"/>
    <col min="2053" max="2055" width="13.5703125" style="195" customWidth="1"/>
    <col min="2056" max="2056" width="11" style="195" customWidth="1"/>
    <col min="2057" max="2299" width="9.140625" style="195"/>
    <col min="2300" max="2300" width="40" style="195" customWidth="1"/>
    <col min="2301" max="2301" width="12" style="195" customWidth="1"/>
    <col min="2302" max="2304" width="10.42578125" style="195" customWidth="1"/>
    <col min="2305" max="2305" width="11" style="195" customWidth="1"/>
    <col min="2306" max="2306" width="4.7109375" style="195" customWidth="1"/>
    <col min="2307" max="2307" width="32.42578125" style="195" customWidth="1"/>
    <col min="2308" max="2308" width="12" style="195" customWidth="1"/>
    <col min="2309" max="2311" width="13.5703125" style="195" customWidth="1"/>
    <col min="2312" max="2312" width="11" style="195" customWidth="1"/>
    <col min="2313" max="2555" width="9.140625" style="195"/>
    <col min="2556" max="2556" width="40" style="195" customWidth="1"/>
    <col min="2557" max="2557" width="12" style="195" customWidth="1"/>
    <col min="2558" max="2560" width="10.42578125" style="195" customWidth="1"/>
    <col min="2561" max="2561" width="11" style="195" customWidth="1"/>
    <col min="2562" max="2562" width="4.7109375" style="195" customWidth="1"/>
    <col min="2563" max="2563" width="32.42578125" style="195" customWidth="1"/>
    <col min="2564" max="2564" width="12" style="195" customWidth="1"/>
    <col min="2565" max="2567" width="13.5703125" style="195" customWidth="1"/>
    <col min="2568" max="2568" width="11" style="195" customWidth="1"/>
    <col min="2569" max="2811" width="9.140625" style="195"/>
    <col min="2812" max="2812" width="40" style="195" customWidth="1"/>
    <col min="2813" max="2813" width="12" style="195" customWidth="1"/>
    <col min="2814" max="2816" width="10.42578125" style="195" customWidth="1"/>
    <col min="2817" max="2817" width="11" style="195" customWidth="1"/>
    <col min="2818" max="2818" width="4.7109375" style="195" customWidth="1"/>
    <col min="2819" max="2819" width="32.42578125" style="195" customWidth="1"/>
    <col min="2820" max="2820" width="12" style="195" customWidth="1"/>
    <col min="2821" max="2823" width="13.5703125" style="195" customWidth="1"/>
    <col min="2824" max="2824" width="11" style="195" customWidth="1"/>
    <col min="2825" max="3067" width="9.140625" style="195"/>
    <col min="3068" max="3068" width="40" style="195" customWidth="1"/>
    <col min="3069" max="3069" width="12" style="195" customWidth="1"/>
    <col min="3070" max="3072" width="10.42578125" style="195" customWidth="1"/>
    <col min="3073" max="3073" width="11" style="195" customWidth="1"/>
    <col min="3074" max="3074" width="4.7109375" style="195" customWidth="1"/>
    <col min="3075" max="3075" width="32.42578125" style="195" customWidth="1"/>
    <col min="3076" max="3076" width="12" style="195" customWidth="1"/>
    <col min="3077" max="3079" width="13.5703125" style="195" customWidth="1"/>
    <col min="3080" max="3080" width="11" style="195" customWidth="1"/>
    <col min="3081" max="3323" width="9.140625" style="195"/>
    <col min="3324" max="3324" width="40" style="195" customWidth="1"/>
    <col min="3325" max="3325" width="12" style="195" customWidth="1"/>
    <col min="3326" max="3328" width="10.42578125" style="195" customWidth="1"/>
    <col min="3329" max="3329" width="11" style="195" customWidth="1"/>
    <col min="3330" max="3330" width="4.7109375" style="195" customWidth="1"/>
    <col min="3331" max="3331" width="32.42578125" style="195" customWidth="1"/>
    <col min="3332" max="3332" width="12" style="195" customWidth="1"/>
    <col min="3333" max="3335" width="13.5703125" style="195" customWidth="1"/>
    <col min="3336" max="3336" width="11" style="195" customWidth="1"/>
    <col min="3337" max="3579" width="9.140625" style="195"/>
    <col min="3580" max="3580" width="40" style="195" customWidth="1"/>
    <col min="3581" max="3581" width="12" style="195" customWidth="1"/>
    <col min="3582" max="3584" width="10.42578125" style="195" customWidth="1"/>
    <col min="3585" max="3585" width="11" style="195" customWidth="1"/>
    <col min="3586" max="3586" width="4.7109375" style="195" customWidth="1"/>
    <col min="3587" max="3587" width="32.42578125" style="195" customWidth="1"/>
    <col min="3588" max="3588" width="12" style="195" customWidth="1"/>
    <col min="3589" max="3591" width="13.5703125" style="195" customWidth="1"/>
    <col min="3592" max="3592" width="11" style="195" customWidth="1"/>
    <col min="3593" max="3835" width="9.140625" style="195"/>
    <col min="3836" max="3836" width="40" style="195" customWidth="1"/>
    <col min="3837" max="3837" width="12" style="195" customWidth="1"/>
    <col min="3838" max="3840" width="10.42578125" style="195" customWidth="1"/>
    <col min="3841" max="3841" width="11" style="195" customWidth="1"/>
    <col min="3842" max="3842" width="4.7109375" style="195" customWidth="1"/>
    <col min="3843" max="3843" width="32.42578125" style="195" customWidth="1"/>
    <col min="3844" max="3844" width="12" style="195" customWidth="1"/>
    <col min="3845" max="3847" width="13.5703125" style="195" customWidth="1"/>
    <col min="3848" max="3848" width="11" style="195" customWidth="1"/>
    <col min="3849" max="4091" width="9.140625" style="195"/>
    <col min="4092" max="4092" width="40" style="195" customWidth="1"/>
    <col min="4093" max="4093" width="12" style="195" customWidth="1"/>
    <col min="4094" max="4096" width="10.42578125" style="195" customWidth="1"/>
    <col min="4097" max="4097" width="11" style="195" customWidth="1"/>
    <col min="4098" max="4098" width="4.7109375" style="195" customWidth="1"/>
    <col min="4099" max="4099" width="32.42578125" style="195" customWidth="1"/>
    <col min="4100" max="4100" width="12" style="195" customWidth="1"/>
    <col min="4101" max="4103" width="13.5703125" style="195" customWidth="1"/>
    <col min="4104" max="4104" width="11" style="195" customWidth="1"/>
    <col min="4105" max="4347" width="9.140625" style="195"/>
    <col min="4348" max="4348" width="40" style="195" customWidth="1"/>
    <col min="4349" max="4349" width="12" style="195" customWidth="1"/>
    <col min="4350" max="4352" width="10.42578125" style="195" customWidth="1"/>
    <col min="4353" max="4353" width="11" style="195" customWidth="1"/>
    <col min="4354" max="4354" width="4.7109375" style="195" customWidth="1"/>
    <col min="4355" max="4355" width="32.42578125" style="195" customWidth="1"/>
    <col min="4356" max="4356" width="12" style="195" customWidth="1"/>
    <col min="4357" max="4359" width="13.5703125" style="195" customWidth="1"/>
    <col min="4360" max="4360" width="11" style="195" customWidth="1"/>
    <col min="4361" max="4603" width="9.140625" style="195"/>
    <col min="4604" max="4604" width="40" style="195" customWidth="1"/>
    <col min="4605" max="4605" width="12" style="195" customWidth="1"/>
    <col min="4606" max="4608" width="10.42578125" style="195" customWidth="1"/>
    <col min="4609" max="4609" width="11" style="195" customWidth="1"/>
    <col min="4610" max="4610" width="4.7109375" style="195" customWidth="1"/>
    <col min="4611" max="4611" width="32.42578125" style="195" customWidth="1"/>
    <col min="4612" max="4612" width="12" style="195" customWidth="1"/>
    <col min="4613" max="4615" width="13.5703125" style="195" customWidth="1"/>
    <col min="4616" max="4616" width="11" style="195" customWidth="1"/>
    <col min="4617" max="4859" width="9.140625" style="195"/>
    <col min="4860" max="4860" width="40" style="195" customWidth="1"/>
    <col min="4861" max="4861" width="12" style="195" customWidth="1"/>
    <col min="4862" max="4864" width="10.42578125" style="195" customWidth="1"/>
    <col min="4865" max="4865" width="11" style="195" customWidth="1"/>
    <col min="4866" max="4866" width="4.7109375" style="195" customWidth="1"/>
    <col min="4867" max="4867" width="32.42578125" style="195" customWidth="1"/>
    <col min="4868" max="4868" width="12" style="195" customWidth="1"/>
    <col min="4869" max="4871" width="13.5703125" style="195" customWidth="1"/>
    <col min="4872" max="4872" width="11" style="195" customWidth="1"/>
    <col min="4873" max="5115" width="9.140625" style="195"/>
    <col min="5116" max="5116" width="40" style="195" customWidth="1"/>
    <col min="5117" max="5117" width="12" style="195" customWidth="1"/>
    <col min="5118" max="5120" width="10.42578125" style="195" customWidth="1"/>
    <col min="5121" max="5121" width="11" style="195" customWidth="1"/>
    <col min="5122" max="5122" width="4.7109375" style="195" customWidth="1"/>
    <col min="5123" max="5123" width="32.42578125" style="195" customWidth="1"/>
    <col min="5124" max="5124" width="12" style="195" customWidth="1"/>
    <col min="5125" max="5127" width="13.5703125" style="195" customWidth="1"/>
    <col min="5128" max="5128" width="11" style="195" customWidth="1"/>
    <col min="5129" max="5371" width="9.140625" style="195"/>
    <col min="5372" max="5372" width="40" style="195" customWidth="1"/>
    <col min="5373" max="5373" width="12" style="195" customWidth="1"/>
    <col min="5374" max="5376" width="10.42578125" style="195" customWidth="1"/>
    <col min="5377" max="5377" width="11" style="195" customWidth="1"/>
    <col min="5378" max="5378" width="4.7109375" style="195" customWidth="1"/>
    <col min="5379" max="5379" width="32.42578125" style="195" customWidth="1"/>
    <col min="5380" max="5380" width="12" style="195" customWidth="1"/>
    <col min="5381" max="5383" width="13.5703125" style="195" customWidth="1"/>
    <col min="5384" max="5384" width="11" style="195" customWidth="1"/>
    <col min="5385" max="5627" width="9.140625" style="195"/>
    <col min="5628" max="5628" width="40" style="195" customWidth="1"/>
    <col min="5629" max="5629" width="12" style="195" customWidth="1"/>
    <col min="5630" max="5632" width="10.42578125" style="195" customWidth="1"/>
    <col min="5633" max="5633" width="11" style="195" customWidth="1"/>
    <col min="5634" max="5634" width="4.7109375" style="195" customWidth="1"/>
    <col min="5635" max="5635" width="32.42578125" style="195" customWidth="1"/>
    <col min="5636" max="5636" width="12" style="195" customWidth="1"/>
    <col min="5637" max="5639" width="13.5703125" style="195" customWidth="1"/>
    <col min="5640" max="5640" width="11" style="195" customWidth="1"/>
    <col min="5641" max="5883" width="9.140625" style="195"/>
    <col min="5884" max="5884" width="40" style="195" customWidth="1"/>
    <col min="5885" max="5885" width="12" style="195" customWidth="1"/>
    <col min="5886" max="5888" width="10.42578125" style="195" customWidth="1"/>
    <col min="5889" max="5889" width="11" style="195" customWidth="1"/>
    <col min="5890" max="5890" width="4.7109375" style="195" customWidth="1"/>
    <col min="5891" max="5891" width="32.42578125" style="195" customWidth="1"/>
    <col min="5892" max="5892" width="12" style="195" customWidth="1"/>
    <col min="5893" max="5895" width="13.5703125" style="195" customWidth="1"/>
    <col min="5896" max="5896" width="11" style="195" customWidth="1"/>
    <col min="5897" max="6139" width="9.140625" style="195"/>
    <col min="6140" max="6140" width="40" style="195" customWidth="1"/>
    <col min="6141" max="6141" width="12" style="195" customWidth="1"/>
    <col min="6142" max="6144" width="10.42578125" style="195" customWidth="1"/>
    <col min="6145" max="6145" width="11" style="195" customWidth="1"/>
    <col min="6146" max="6146" width="4.7109375" style="195" customWidth="1"/>
    <col min="6147" max="6147" width="32.42578125" style="195" customWidth="1"/>
    <col min="6148" max="6148" width="12" style="195" customWidth="1"/>
    <col min="6149" max="6151" width="13.5703125" style="195" customWidth="1"/>
    <col min="6152" max="6152" width="11" style="195" customWidth="1"/>
    <col min="6153" max="6395" width="9.140625" style="195"/>
    <col min="6396" max="6396" width="40" style="195" customWidth="1"/>
    <col min="6397" max="6397" width="12" style="195" customWidth="1"/>
    <col min="6398" max="6400" width="10.42578125" style="195" customWidth="1"/>
    <col min="6401" max="6401" width="11" style="195" customWidth="1"/>
    <col min="6402" max="6402" width="4.7109375" style="195" customWidth="1"/>
    <col min="6403" max="6403" width="32.42578125" style="195" customWidth="1"/>
    <col min="6404" max="6404" width="12" style="195" customWidth="1"/>
    <col min="6405" max="6407" width="13.5703125" style="195" customWidth="1"/>
    <col min="6408" max="6408" width="11" style="195" customWidth="1"/>
    <col min="6409" max="6651" width="9.140625" style="195"/>
    <col min="6652" max="6652" width="40" style="195" customWidth="1"/>
    <col min="6653" max="6653" width="12" style="195" customWidth="1"/>
    <col min="6654" max="6656" width="10.42578125" style="195" customWidth="1"/>
    <col min="6657" max="6657" width="11" style="195" customWidth="1"/>
    <col min="6658" max="6658" width="4.7109375" style="195" customWidth="1"/>
    <col min="6659" max="6659" width="32.42578125" style="195" customWidth="1"/>
    <col min="6660" max="6660" width="12" style="195" customWidth="1"/>
    <col min="6661" max="6663" width="13.5703125" style="195" customWidth="1"/>
    <col min="6664" max="6664" width="11" style="195" customWidth="1"/>
    <col min="6665" max="6907" width="9.140625" style="195"/>
    <col min="6908" max="6908" width="40" style="195" customWidth="1"/>
    <col min="6909" max="6909" width="12" style="195" customWidth="1"/>
    <col min="6910" max="6912" width="10.42578125" style="195" customWidth="1"/>
    <col min="6913" max="6913" width="11" style="195" customWidth="1"/>
    <col min="6914" max="6914" width="4.7109375" style="195" customWidth="1"/>
    <col min="6915" max="6915" width="32.42578125" style="195" customWidth="1"/>
    <col min="6916" max="6916" width="12" style="195" customWidth="1"/>
    <col min="6917" max="6919" width="13.5703125" style="195" customWidth="1"/>
    <col min="6920" max="6920" width="11" style="195" customWidth="1"/>
    <col min="6921" max="7163" width="9.140625" style="195"/>
    <col min="7164" max="7164" width="40" style="195" customWidth="1"/>
    <col min="7165" max="7165" width="12" style="195" customWidth="1"/>
    <col min="7166" max="7168" width="10.42578125" style="195" customWidth="1"/>
    <col min="7169" max="7169" width="11" style="195" customWidth="1"/>
    <col min="7170" max="7170" width="4.7109375" style="195" customWidth="1"/>
    <col min="7171" max="7171" width="32.42578125" style="195" customWidth="1"/>
    <col min="7172" max="7172" width="12" style="195" customWidth="1"/>
    <col min="7173" max="7175" width="13.5703125" style="195" customWidth="1"/>
    <col min="7176" max="7176" width="11" style="195" customWidth="1"/>
    <col min="7177" max="7419" width="9.140625" style="195"/>
    <col min="7420" max="7420" width="40" style="195" customWidth="1"/>
    <col min="7421" max="7421" width="12" style="195" customWidth="1"/>
    <col min="7422" max="7424" width="10.42578125" style="195" customWidth="1"/>
    <col min="7425" max="7425" width="11" style="195" customWidth="1"/>
    <col min="7426" max="7426" width="4.7109375" style="195" customWidth="1"/>
    <col min="7427" max="7427" width="32.42578125" style="195" customWidth="1"/>
    <col min="7428" max="7428" width="12" style="195" customWidth="1"/>
    <col min="7429" max="7431" width="13.5703125" style="195" customWidth="1"/>
    <col min="7432" max="7432" width="11" style="195" customWidth="1"/>
    <col min="7433" max="7675" width="9.140625" style="195"/>
    <col min="7676" max="7676" width="40" style="195" customWidth="1"/>
    <col min="7677" max="7677" width="12" style="195" customWidth="1"/>
    <col min="7678" max="7680" width="10.42578125" style="195" customWidth="1"/>
    <col min="7681" max="7681" width="11" style="195" customWidth="1"/>
    <col min="7682" max="7682" width="4.7109375" style="195" customWidth="1"/>
    <col min="7683" max="7683" width="32.42578125" style="195" customWidth="1"/>
    <col min="7684" max="7684" width="12" style="195" customWidth="1"/>
    <col min="7685" max="7687" width="13.5703125" style="195" customWidth="1"/>
    <col min="7688" max="7688" width="11" style="195" customWidth="1"/>
    <col min="7689" max="7931" width="9.140625" style="195"/>
    <col min="7932" max="7932" width="40" style="195" customWidth="1"/>
    <col min="7933" max="7933" width="12" style="195" customWidth="1"/>
    <col min="7934" max="7936" width="10.42578125" style="195" customWidth="1"/>
    <col min="7937" max="7937" width="11" style="195" customWidth="1"/>
    <col min="7938" max="7938" width="4.7109375" style="195" customWidth="1"/>
    <col min="7939" max="7939" width="32.42578125" style="195" customWidth="1"/>
    <col min="7940" max="7940" width="12" style="195" customWidth="1"/>
    <col min="7941" max="7943" width="13.5703125" style="195" customWidth="1"/>
    <col min="7944" max="7944" width="11" style="195" customWidth="1"/>
    <col min="7945" max="8187" width="9.140625" style="195"/>
    <col min="8188" max="8188" width="40" style="195" customWidth="1"/>
    <col min="8189" max="8189" width="12" style="195" customWidth="1"/>
    <col min="8190" max="8192" width="10.42578125" style="195" customWidth="1"/>
    <col min="8193" max="8193" width="11" style="195" customWidth="1"/>
    <col min="8194" max="8194" width="4.7109375" style="195" customWidth="1"/>
    <col min="8195" max="8195" width="32.42578125" style="195" customWidth="1"/>
    <col min="8196" max="8196" width="12" style="195" customWidth="1"/>
    <col min="8197" max="8199" width="13.5703125" style="195" customWidth="1"/>
    <col min="8200" max="8200" width="11" style="195" customWidth="1"/>
    <col min="8201" max="8443" width="9.140625" style="195"/>
    <col min="8444" max="8444" width="40" style="195" customWidth="1"/>
    <col min="8445" max="8445" width="12" style="195" customWidth="1"/>
    <col min="8446" max="8448" width="10.42578125" style="195" customWidth="1"/>
    <col min="8449" max="8449" width="11" style="195" customWidth="1"/>
    <col min="8450" max="8450" width="4.7109375" style="195" customWidth="1"/>
    <col min="8451" max="8451" width="32.42578125" style="195" customWidth="1"/>
    <col min="8452" max="8452" width="12" style="195" customWidth="1"/>
    <col min="8453" max="8455" width="13.5703125" style="195" customWidth="1"/>
    <col min="8456" max="8456" width="11" style="195" customWidth="1"/>
    <col min="8457" max="8699" width="9.140625" style="195"/>
    <col min="8700" max="8700" width="40" style="195" customWidth="1"/>
    <col min="8701" max="8701" width="12" style="195" customWidth="1"/>
    <col min="8702" max="8704" width="10.42578125" style="195" customWidth="1"/>
    <col min="8705" max="8705" width="11" style="195" customWidth="1"/>
    <col min="8706" max="8706" width="4.7109375" style="195" customWidth="1"/>
    <col min="8707" max="8707" width="32.42578125" style="195" customWidth="1"/>
    <col min="8708" max="8708" width="12" style="195" customWidth="1"/>
    <col min="8709" max="8711" width="13.5703125" style="195" customWidth="1"/>
    <col min="8712" max="8712" width="11" style="195" customWidth="1"/>
    <col min="8713" max="8955" width="9.140625" style="195"/>
    <col min="8956" max="8956" width="40" style="195" customWidth="1"/>
    <col min="8957" max="8957" width="12" style="195" customWidth="1"/>
    <col min="8958" max="8960" width="10.42578125" style="195" customWidth="1"/>
    <col min="8961" max="8961" width="11" style="195" customWidth="1"/>
    <col min="8962" max="8962" width="4.7109375" style="195" customWidth="1"/>
    <col min="8963" max="8963" width="32.42578125" style="195" customWidth="1"/>
    <col min="8964" max="8964" width="12" style="195" customWidth="1"/>
    <col min="8965" max="8967" width="13.5703125" style="195" customWidth="1"/>
    <col min="8968" max="8968" width="11" style="195" customWidth="1"/>
    <col min="8969" max="9211" width="9.140625" style="195"/>
    <col min="9212" max="9212" width="40" style="195" customWidth="1"/>
    <col min="9213" max="9213" width="12" style="195" customWidth="1"/>
    <col min="9214" max="9216" width="10.42578125" style="195" customWidth="1"/>
    <col min="9217" max="9217" width="11" style="195" customWidth="1"/>
    <col min="9218" max="9218" width="4.7109375" style="195" customWidth="1"/>
    <col min="9219" max="9219" width="32.42578125" style="195" customWidth="1"/>
    <col min="9220" max="9220" width="12" style="195" customWidth="1"/>
    <col min="9221" max="9223" width="13.5703125" style="195" customWidth="1"/>
    <col min="9224" max="9224" width="11" style="195" customWidth="1"/>
    <col min="9225" max="9467" width="9.140625" style="195"/>
    <col min="9468" max="9468" width="40" style="195" customWidth="1"/>
    <col min="9469" max="9469" width="12" style="195" customWidth="1"/>
    <col min="9470" max="9472" width="10.42578125" style="195" customWidth="1"/>
    <col min="9473" max="9473" width="11" style="195" customWidth="1"/>
    <col min="9474" max="9474" width="4.7109375" style="195" customWidth="1"/>
    <col min="9475" max="9475" width="32.42578125" style="195" customWidth="1"/>
    <col min="9476" max="9476" width="12" style="195" customWidth="1"/>
    <col min="9477" max="9479" width="13.5703125" style="195" customWidth="1"/>
    <col min="9480" max="9480" width="11" style="195" customWidth="1"/>
    <col min="9481" max="9723" width="9.140625" style="195"/>
    <col min="9724" max="9724" width="40" style="195" customWidth="1"/>
    <col min="9725" max="9725" width="12" style="195" customWidth="1"/>
    <col min="9726" max="9728" width="10.42578125" style="195" customWidth="1"/>
    <col min="9729" max="9729" width="11" style="195" customWidth="1"/>
    <col min="9730" max="9730" width="4.7109375" style="195" customWidth="1"/>
    <col min="9731" max="9731" width="32.42578125" style="195" customWidth="1"/>
    <col min="9732" max="9732" width="12" style="195" customWidth="1"/>
    <col min="9733" max="9735" width="13.5703125" style="195" customWidth="1"/>
    <col min="9736" max="9736" width="11" style="195" customWidth="1"/>
    <col min="9737" max="9979" width="9.140625" style="195"/>
    <col min="9980" max="9980" width="40" style="195" customWidth="1"/>
    <col min="9981" max="9981" width="12" style="195" customWidth="1"/>
    <col min="9982" max="9984" width="10.42578125" style="195" customWidth="1"/>
    <col min="9985" max="9985" width="11" style="195" customWidth="1"/>
    <col min="9986" max="9986" width="4.7109375" style="195" customWidth="1"/>
    <col min="9987" max="9987" width="32.42578125" style="195" customWidth="1"/>
    <col min="9988" max="9988" width="12" style="195" customWidth="1"/>
    <col min="9989" max="9991" width="13.5703125" style="195" customWidth="1"/>
    <col min="9992" max="9992" width="11" style="195" customWidth="1"/>
    <col min="9993" max="10235" width="9.140625" style="195"/>
    <col min="10236" max="10236" width="40" style="195" customWidth="1"/>
    <col min="10237" max="10237" width="12" style="195" customWidth="1"/>
    <col min="10238" max="10240" width="10.42578125" style="195" customWidth="1"/>
    <col min="10241" max="10241" width="11" style="195" customWidth="1"/>
    <col min="10242" max="10242" width="4.7109375" style="195" customWidth="1"/>
    <col min="10243" max="10243" width="32.42578125" style="195" customWidth="1"/>
    <col min="10244" max="10244" width="12" style="195" customWidth="1"/>
    <col min="10245" max="10247" width="13.5703125" style="195" customWidth="1"/>
    <col min="10248" max="10248" width="11" style="195" customWidth="1"/>
    <col min="10249" max="10491" width="9.140625" style="195"/>
    <col min="10492" max="10492" width="40" style="195" customWidth="1"/>
    <col min="10493" max="10493" width="12" style="195" customWidth="1"/>
    <col min="10494" max="10496" width="10.42578125" style="195" customWidth="1"/>
    <col min="10497" max="10497" width="11" style="195" customWidth="1"/>
    <col min="10498" max="10498" width="4.7109375" style="195" customWidth="1"/>
    <col min="10499" max="10499" width="32.42578125" style="195" customWidth="1"/>
    <col min="10500" max="10500" width="12" style="195" customWidth="1"/>
    <col min="10501" max="10503" width="13.5703125" style="195" customWidth="1"/>
    <col min="10504" max="10504" width="11" style="195" customWidth="1"/>
    <col min="10505" max="10747" width="9.140625" style="195"/>
    <col min="10748" max="10748" width="40" style="195" customWidth="1"/>
    <col min="10749" max="10749" width="12" style="195" customWidth="1"/>
    <col min="10750" max="10752" width="10.42578125" style="195" customWidth="1"/>
    <col min="10753" max="10753" width="11" style="195" customWidth="1"/>
    <col min="10754" max="10754" width="4.7109375" style="195" customWidth="1"/>
    <col min="10755" max="10755" width="32.42578125" style="195" customWidth="1"/>
    <col min="10756" max="10756" width="12" style="195" customWidth="1"/>
    <col min="10757" max="10759" width="13.5703125" style="195" customWidth="1"/>
    <col min="10760" max="10760" width="11" style="195" customWidth="1"/>
    <col min="10761" max="11003" width="9.140625" style="195"/>
    <col min="11004" max="11004" width="40" style="195" customWidth="1"/>
    <col min="11005" max="11005" width="12" style="195" customWidth="1"/>
    <col min="11006" max="11008" width="10.42578125" style="195" customWidth="1"/>
    <col min="11009" max="11009" width="11" style="195" customWidth="1"/>
    <col min="11010" max="11010" width="4.7109375" style="195" customWidth="1"/>
    <col min="11011" max="11011" width="32.42578125" style="195" customWidth="1"/>
    <col min="11012" max="11012" width="12" style="195" customWidth="1"/>
    <col min="11013" max="11015" width="13.5703125" style="195" customWidth="1"/>
    <col min="11016" max="11016" width="11" style="195" customWidth="1"/>
    <col min="11017" max="11259" width="9.140625" style="195"/>
    <col min="11260" max="11260" width="40" style="195" customWidth="1"/>
    <col min="11261" max="11261" width="12" style="195" customWidth="1"/>
    <col min="11262" max="11264" width="10.42578125" style="195" customWidth="1"/>
    <col min="11265" max="11265" width="11" style="195" customWidth="1"/>
    <col min="11266" max="11266" width="4.7109375" style="195" customWidth="1"/>
    <col min="11267" max="11267" width="32.42578125" style="195" customWidth="1"/>
    <col min="11268" max="11268" width="12" style="195" customWidth="1"/>
    <col min="11269" max="11271" width="13.5703125" style="195" customWidth="1"/>
    <col min="11272" max="11272" width="11" style="195" customWidth="1"/>
    <col min="11273" max="11515" width="9.140625" style="195"/>
    <col min="11516" max="11516" width="40" style="195" customWidth="1"/>
    <col min="11517" max="11517" width="12" style="195" customWidth="1"/>
    <col min="11518" max="11520" width="10.42578125" style="195" customWidth="1"/>
    <col min="11521" max="11521" width="11" style="195" customWidth="1"/>
    <col min="11522" max="11522" width="4.7109375" style="195" customWidth="1"/>
    <col min="11523" max="11523" width="32.42578125" style="195" customWidth="1"/>
    <col min="11524" max="11524" width="12" style="195" customWidth="1"/>
    <col min="11525" max="11527" width="13.5703125" style="195" customWidth="1"/>
    <col min="11528" max="11528" width="11" style="195" customWidth="1"/>
    <col min="11529" max="11771" width="9.140625" style="195"/>
    <col min="11772" max="11772" width="40" style="195" customWidth="1"/>
    <col min="11773" max="11773" width="12" style="195" customWidth="1"/>
    <col min="11774" max="11776" width="10.42578125" style="195" customWidth="1"/>
    <col min="11777" max="11777" width="11" style="195" customWidth="1"/>
    <col min="11778" max="11778" width="4.7109375" style="195" customWidth="1"/>
    <col min="11779" max="11779" width="32.42578125" style="195" customWidth="1"/>
    <col min="11780" max="11780" width="12" style="195" customWidth="1"/>
    <col min="11781" max="11783" width="13.5703125" style="195" customWidth="1"/>
    <col min="11784" max="11784" width="11" style="195" customWidth="1"/>
    <col min="11785" max="12027" width="9.140625" style="195"/>
    <col min="12028" max="12028" width="40" style="195" customWidth="1"/>
    <col min="12029" max="12029" width="12" style="195" customWidth="1"/>
    <col min="12030" max="12032" width="10.42578125" style="195" customWidth="1"/>
    <col min="12033" max="12033" width="11" style="195" customWidth="1"/>
    <col min="12034" max="12034" width="4.7109375" style="195" customWidth="1"/>
    <col min="12035" max="12035" width="32.42578125" style="195" customWidth="1"/>
    <col min="12036" max="12036" width="12" style="195" customWidth="1"/>
    <col min="12037" max="12039" width="13.5703125" style="195" customWidth="1"/>
    <col min="12040" max="12040" width="11" style="195" customWidth="1"/>
    <col min="12041" max="12283" width="9.140625" style="195"/>
    <col min="12284" max="12284" width="40" style="195" customWidth="1"/>
    <col min="12285" max="12285" width="12" style="195" customWidth="1"/>
    <col min="12286" max="12288" width="10.42578125" style="195" customWidth="1"/>
    <col min="12289" max="12289" width="11" style="195" customWidth="1"/>
    <col min="12290" max="12290" width="4.7109375" style="195" customWidth="1"/>
    <col min="12291" max="12291" width="32.42578125" style="195" customWidth="1"/>
    <col min="12292" max="12292" width="12" style="195" customWidth="1"/>
    <col min="12293" max="12295" width="13.5703125" style="195" customWidth="1"/>
    <col min="12296" max="12296" width="11" style="195" customWidth="1"/>
    <col min="12297" max="12539" width="9.140625" style="195"/>
    <col min="12540" max="12540" width="40" style="195" customWidth="1"/>
    <col min="12541" max="12541" width="12" style="195" customWidth="1"/>
    <col min="12542" max="12544" width="10.42578125" style="195" customWidth="1"/>
    <col min="12545" max="12545" width="11" style="195" customWidth="1"/>
    <col min="12546" max="12546" width="4.7109375" style="195" customWidth="1"/>
    <col min="12547" max="12547" width="32.42578125" style="195" customWidth="1"/>
    <col min="12548" max="12548" width="12" style="195" customWidth="1"/>
    <col min="12549" max="12551" width="13.5703125" style="195" customWidth="1"/>
    <col min="12552" max="12552" width="11" style="195" customWidth="1"/>
    <col min="12553" max="12795" width="9.140625" style="195"/>
    <col min="12796" max="12796" width="40" style="195" customWidth="1"/>
    <col min="12797" max="12797" width="12" style="195" customWidth="1"/>
    <col min="12798" max="12800" width="10.42578125" style="195" customWidth="1"/>
    <col min="12801" max="12801" width="11" style="195" customWidth="1"/>
    <col min="12802" max="12802" width="4.7109375" style="195" customWidth="1"/>
    <col min="12803" max="12803" width="32.42578125" style="195" customWidth="1"/>
    <col min="12804" max="12804" width="12" style="195" customWidth="1"/>
    <col min="12805" max="12807" width="13.5703125" style="195" customWidth="1"/>
    <col min="12808" max="12808" width="11" style="195" customWidth="1"/>
    <col min="12809" max="13051" width="9.140625" style="195"/>
    <col min="13052" max="13052" width="40" style="195" customWidth="1"/>
    <col min="13053" max="13053" width="12" style="195" customWidth="1"/>
    <col min="13054" max="13056" width="10.42578125" style="195" customWidth="1"/>
    <col min="13057" max="13057" width="11" style="195" customWidth="1"/>
    <col min="13058" max="13058" width="4.7109375" style="195" customWidth="1"/>
    <col min="13059" max="13059" width="32.42578125" style="195" customWidth="1"/>
    <col min="13060" max="13060" width="12" style="195" customWidth="1"/>
    <col min="13061" max="13063" width="13.5703125" style="195" customWidth="1"/>
    <col min="13064" max="13064" width="11" style="195" customWidth="1"/>
    <col min="13065" max="13307" width="9.140625" style="195"/>
    <col min="13308" max="13308" width="40" style="195" customWidth="1"/>
    <col min="13309" max="13309" width="12" style="195" customWidth="1"/>
    <col min="13310" max="13312" width="10.42578125" style="195" customWidth="1"/>
    <col min="13313" max="13313" width="11" style="195" customWidth="1"/>
    <col min="13314" max="13314" width="4.7109375" style="195" customWidth="1"/>
    <col min="13315" max="13315" width="32.42578125" style="195" customWidth="1"/>
    <col min="13316" max="13316" width="12" style="195" customWidth="1"/>
    <col min="13317" max="13319" width="13.5703125" style="195" customWidth="1"/>
    <col min="13320" max="13320" width="11" style="195" customWidth="1"/>
    <col min="13321" max="13563" width="9.140625" style="195"/>
    <col min="13564" max="13564" width="40" style="195" customWidth="1"/>
    <col min="13565" max="13565" width="12" style="195" customWidth="1"/>
    <col min="13566" max="13568" width="10.42578125" style="195" customWidth="1"/>
    <col min="13569" max="13569" width="11" style="195" customWidth="1"/>
    <col min="13570" max="13570" width="4.7109375" style="195" customWidth="1"/>
    <col min="13571" max="13571" width="32.42578125" style="195" customWidth="1"/>
    <col min="13572" max="13572" width="12" style="195" customWidth="1"/>
    <col min="13573" max="13575" width="13.5703125" style="195" customWidth="1"/>
    <col min="13576" max="13576" width="11" style="195" customWidth="1"/>
    <col min="13577" max="13819" width="9.140625" style="195"/>
    <col min="13820" max="13820" width="40" style="195" customWidth="1"/>
    <col min="13821" max="13821" width="12" style="195" customWidth="1"/>
    <col min="13822" max="13824" width="10.42578125" style="195" customWidth="1"/>
    <col min="13825" max="13825" width="11" style="195" customWidth="1"/>
    <col min="13826" max="13826" width="4.7109375" style="195" customWidth="1"/>
    <col min="13827" max="13827" width="32.42578125" style="195" customWidth="1"/>
    <col min="13828" max="13828" width="12" style="195" customWidth="1"/>
    <col min="13829" max="13831" width="13.5703125" style="195" customWidth="1"/>
    <col min="13832" max="13832" width="11" style="195" customWidth="1"/>
    <col min="13833" max="14075" width="9.140625" style="195"/>
    <col min="14076" max="14076" width="40" style="195" customWidth="1"/>
    <col min="14077" max="14077" width="12" style="195" customWidth="1"/>
    <col min="14078" max="14080" width="10.42578125" style="195" customWidth="1"/>
    <col min="14081" max="14081" width="11" style="195" customWidth="1"/>
    <col min="14082" max="14082" width="4.7109375" style="195" customWidth="1"/>
    <col min="14083" max="14083" width="32.42578125" style="195" customWidth="1"/>
    <col min="14084" max="14084" width="12" style="195" customWidth="1"/>
    <col min="14085" max="14087" width="13.5703125" style="195" customWidth="1"/>
    <col min="14088" max="14088" width="11" style="195" customWidth="1"/>
    <col min="14089" max="14331" width="9.140625" style="195"/>
    <col min="14332" max="14332" width="40" style="195" customWidth="1"/>
    <col min="14333" max="14333" width="12" style="195" customWidth="1"/>
    <col min="14334" max="14336" width="10.42578125" style="195" customWidth="1"/>
    <col min="14337" max="14337" width="11" style="195" customWidth="1"/>
    <col min="14338" max="14338" width="4.7109375" style="195" customWidth="1"/>
    <col min="14339" max="14339" width="32.42578125" style="195" customWidth="1"/>
    <col min="14340" max="14340" width="12" style="195" customWidth="1"/>
    <col min="14341" max="14343" width="13.5703125" style="195" customWidth="1"/>
    <col min="14344" max="14344" width="11" style="195" customWidth="1"/>
    <col min="14345" max="14587" width="9.140625" style="195"/>
    <col min="14588" max="14588" width="40" style="195" customWidth="1"/>
    <col min="14589" max="14589" width="12" style="195" customWidth="1"/>
    <col min="14590" max="14592" width="10.42578125" style="195" customWidth="1"/>
    <col min="14593" max="14593" width="11" style="195" customWidth="1"/>
    <col min="14594" max="14594" width="4.7109375" style="195" customWidth="1"/>
    <col min="14595" max="14595" width="32.42578125" style="195" customWidth="1"/>
    <col min="14596" max="14596" width="12" style="195" customWidth="1"/>
    <col min="14597" max="14599" width="13.5703125" style="195" customWidth="1"/>
    <col min="14600" max="14600" width="11" style="195" customWidth="1"/>
    <col min="14601" max="14843" width="9.140625" style="195"/>
    <col min="14844" max="14844" width="40" style="195" customWidth="1"/>
    <col min="14845" max="14845" width="12" style="195" customWidth="1"/>
    <col min="14846" max="14848" width="10.42578125" style="195" customWidth="1"/>
    <col min="14849" max="14849" width="11" style="195" customWidth="1"/>
    <col min="14850" max="14850" width="4.7109375" style="195" customWidth="1"/>
    <col min="14851" max="14851" width="32.42578125" style="195" customWidth="1"/>
    <col min="14852" max="14852" width="12" style="195" customWidth="1"/>
    <col min="14853" max="14855" width="13.5703125" style="195" customWidth="1"/>
    <col min="14856" max="14856" width="11" style="195" customWidth="1"/>
    <col min="14857" max="15099" width="9.140625" style="195"/>
    <col min="15100" max="15100" width="40" style="195" customWidth="1"/>
    <col min="15101" max="15101" width="12" style="195" customWidth="1"/>
    <col min="15102" max="15104" width="10.42578125" style="195" customWidth="1"/>
    <col min="15105" max="15105" width="11" style="195" customWidth="1"/>
    <col min="15106" max="15106" width="4.7109375" style="195" customWidth="1"/>
    <col min="15107" max="15107" width="32.42578125" style="195" customWidth="1"/>
    <col min="15108" max="15108" width="12" style="195" customWidth="1"/>
    <col min="15109" max="15111" width="13.5703125" style="195" customWidth="1"/>
    <col min="15112" max="15112" width="11" style="195" customWidth="1"/>
    <col min="15113" max="15355" width="9.140625" style="195"/>
    <col min="15356" max="15356" width="40" style="195" customWidth="1"/>
    <col min="15357" max="15357" width="12" style="195" customWidth="1"/>
    <col min="15358" max="15360" width="10.42578125" style="195" customWidth="1"/>
    <col min="15361" max="15361" width="11" style="195" customWidth="1"/>
    <col min="15362" max="15362" width="4.7109375" style="195" customWidth="1"/>
    <col min="15363" max="15363" width="32.42578125" style="195" customWidth="1"/>
    <col min="15364" max="15364" width="12" style="195" customWidth="1"/>
    <col min="15365" max="15367" width="13.5703125" style="195" customWidth="1"/>
    <col min="15368" max="15368" width="11" style="195" customWidth="1"/>
    <col min="15369" max="15611" width="9.140625" style="195"/>
    <col min="15612" max="15612" width="40" style="195" customWidth="1"/>
    <col min="15613" max="15613" width="12" style="195" customWidth="1"/>
    <col min="15614" max="15616" width="10.42578125" style="195" customWidth="1"/>
    <col min="15617" max="15617" width="11" style="195" customWidth="1"/>
    <col min="15618" max="15618" width="4.7109375" style="195" customWidth="1"/>
    <col min="15619" max="15619" width="32.42578125" style="195" customWidth="1"/>
    <col min="15620" max="15620" width="12" style="195" customWidth="1"/>
    <col min="15621" max="15623" width="13.5703125" style="195" customWidth="1"/>
    <col min="15624" max="15624" width="11" style="195" customWidth="1"/>
    <col min="15625" max="15867" width="9.140625" style="195"/>
    <col min="15868" max="15868" width="40" style="195" customWidth="1"/>
    <col min="15869" max="15869" width="12" style="195" customWidth="1"/>
    <col min="15870" max="15872" width="10.42578125" style="195" customWidth="1"/>
    <col min="15873" max="15873" width="11" style="195" customWidth="1"/>
    <col min="15874" max="15874" width="4.7109375" style="195" customWidth="1"/>
    <col min="15875" max="15875" width="32.42578125" style="195" customWidth="1"/>
    <col min="15876" max="15876" width="12" style="195" customWidth="1"/>
    <col min="15877" max="15879" width="13.5703125" style="195" customWidth="1"/>
    <col min="15880" max="15880" width="11" style="195" customWidth="1"/>
    <col min="15881" max="16123" width="9.140625" style="195"/>
    <col min="16124" max="16124" width="40" style="195" customWidth="1"/>
    <col min="16125" max="16125" width="12" style="195" customWidth="1"/>
    <col min="16126" max="16128" width="10.42578125" style="195" customWidth="1"/>
    <col min="16129" max="16129" width="11" style="195" customWidth="1"/>
    <col min="16130" max="16130" width="4.7109375" style="195" customWidth="1"/>
    <col min="16131" max="16131" width="32.42578125" style="195" customWidth="1"/>
    <col min="16132" max="16132" width="12" style="195" customWidth="1"/>
    <col min="16133" max="16135" width="13.5703125" style="195" customWidth="1"/>
    <col min="16136" max="16136" width="11" style="195" customWidth="1"/>
    <col min="16137" max="16384" width="9.140625" style="195"/>
  </cols>
  <sheetData>
    <row r="1" spans="1:12" ht="12.75" customHeight="1" x14ac:dyDescent="0.25">
      <c r="A1" s="577" t="s">
        <v>1011</v>
      </c>
      <c r="B1" s="577"/>
      <c r="C1" s="577"/>
      <c r="D1" s="577"/>
      <c r="E1" s="577"/>
      <c r="F1" s="577"/>
      <c r="G1" s="577"/>
      <c r="H1" s="577"/>
      <c r="I1" s="577"/>
    </row>
    <row r="2" spans="1:12" ht="15.75" x14ac:dyDescent="0.25">
      <c r="A2" s="207"/>
      <c r="B2" s="206"/>
      <c r="C2" s="206"/>
      <c r="D2" s="206"/>
      <c r="E2" s="206"/>
      <c r="F2" s="205"/>
      <c r="G2" s="204"/>
      <c r="H2" s="203"/>
      <c r="I2" s="203"/>
    </row>
    <row r="3" spans="1:12" x14ac:dyDescent="0.2">
      <c r="A3" s="586" t="s">
        <v>169</v>
      </c>
      <c r="B3" s="587"/>
      <c r="C3" s="587"/>
      <c r="D3" s="587"/>
      <c r="E3" s="587"/>
      <c r="F3" s="587"/>
      <c r="G3" s="587"/>
      <c r="H3" s="587"/>
      <c r="I3" s="587"/>
    </row>
    <row r="4" spans="1:12" x14ac:dyDescent="0.2">
      <c r="A4" s="588" t="s">
        <v>310</v>
      </c>
      <c r="B4" s="589"/>
      <c r="C4" s="589"/>
      <c r="D4" s="589"/>
      <c r="E4" s="589"/>
      <c r="F4" s="589"/>
      <c r="G4" s="589"/>
      <c r="H4" s="589"/>
      <c r="I4" s="589"/>
    </row>
    <row r="5" spans="1:12" x14ac:dyDescent="0.2">
      <c r="A5" s="135"/>
      <c r="B5" s="136"/>
      <c r="C5" s="136"/>
      <c r="D5" s="136"/>
      <c r="E5" s="136"/>
      <c r="F5" s="135"/>
      <c r="G5" s="200"/>
      <c r="H5" s="200"/>
      <c r="I5" s="200"/>
    </row>
    <row r="6" spans="1:12" x14ac:dyDescent="0.2">
      <c r="A6" s="137" t="s">
        <v>170</v>
      </c>
      <c r="B6" s="138"/>
      <c r="C6" s="138"/>
      <c r="D6" s="138"/>
      <c r="E6" s="136"/>
      <c r="F6" s="137" t="s">
        <v>171</v>
      </c>
      <c r="G6" s="200"/>
      <c r="H6" s="200"/>
      <c r="I6" s="200"/>
    </row>
    <row r="7" spans="1:12" x14ac:dyDescent="0.2">
      <c r="A7" s="139"/>
      <c r="B7" s="140" t="s">
        <v>311</v>
      </c>
      <c r="C7" s="140" t="s">
        <v>314</v>
      </c>
      <c r="D7" s="140" t="s">
        <v>315</v>
      </c>
      <c r="E7" s="141"/>
      <c r="F7" s="139"/>
      <c r="G7" s="140" t="s">
        <v>311</v>
      </c>
      <c r="H7" s="140" t="s">
        <v>314</v>
      </c>
      <c r="I7" s="140" t="s">
        <v>315</v>
      </c>
      <c r="J7" s="127"/>
    </row>
    <row r="8" spans="1:12" x14ac:dyDescent="0.2">
      <c r="A8" s="137"/>
      <c r="B8" s="142" t="s">
        <v>31</v>
      </c>
      <c r="C8" s="142" t="s">
        <v>31</v>
      </c>
      <c r="D8" s="142" t="s">
        <v>31</v>
      </c>
      <c r="E8" s="143"/>
      <c r="F8" s="144"/>
      <c r="G8" s="142" t="s">
        <v>31</v>
      </c>
      <c r="H8" s="142" t="s">
        <v>31</v>
      </c>
      <c r="I8" s="142" t="s">
        <v>31</v>
      </c>
      <c r="J8" s="127"/>
    </row>
    <row r="9" spans="1:12" x14ac:dyDescent="0.2">
      <c r="A9" s="135" t="s">
        <v>172</v>
      </c>
      <c r="B9" s="145">
        <v>171855</v>
      </c>
      <c r="C9" s="145">
        <v>216690</v>
      </c>
      <c r="D9" s="145">
        <f>'1. m. bevételek 2018'!D13+'1. m. bevételek 2018'!D18+'1. m. bevételek 2018'!D23+'1. m. bevételek 2018'!D33+'1. m. bevételek 2018'!D60</f>
        <v>247645</v>
      </c>
      <c r="E9" s="145"/>
      <c r="F9" s="135" t="s">
        <v>28</v>
      </c>
      <c r="G9" s="197">
        <v>624662</v>
      </c>
      <c r="H9" s="197">
        <v>695753</v>
      </c>
      <c r="I9" s="197">
        <f>'2. m. kiadások 2018'!D10+'2. m. kiadások 2018'!D22+'2. m. kiadások 2018'!D32+'2. m. kiadások 2018'!D43+'2. m. kiadások 2018'!D69</f>
        <v>718914</v>
      </c>
      <c r="J9" s="197"/>
      <c r="K9" s="197"/>
      <c r="L9" s="197"/>
    </row>
    <row r="10" spans="1:12" x14ac:dyDescent="0.2">
      <c r="A10" s="135" t="s">
        <v>71</v>
      </c>
      <c r="B10" s="145">
        <v>777371</v>
      </c>
      <c r="C10" s="145">
        <v>802300</v>
      </c>
      <c r="D10" s="145">
        <f>'1. m. bevételek 2018'!D80</f>
        <v>805000</v>
      </c>
      <c r="E10" s="145"/>
      <c r="F10" s="135" t="s">
        <v>173</v>
      </c>
      <c r="G10" s="197">
        <v>167302</v>
      </c>
      <c r="H10" s="197">
        <v>152873</v>
      </c>
      <c r="I10" s="197">
        <f>'2. m. kiadások 2018'!D11+'2. m. kiadások 2018'!D23+'2. m. kiadások 2018'!D33+'2. m. kiadások 2018'!D44+'2. m. kiadások 2018'!D84</f>
        <v>137785</v>
      </c>
      <c r="J10" s="197"/>
      <c r="K10" s="197"/>
      <c r="L10" s="197"/>
    </row>
    <row r="11" spans="1:12" x14ac:dyDescent="0.2">
      <c r="A11" s="135" t="s">
        <v>174</v>
      </c>
      <c r="B11" s="145">
        <v>1212137</v>
      </c>
      <c r="C11" s="145">
        <v>1252530</v>
      </c>
      <c r="D11" s="145">
        <f>'1. m. bevételek 2018'!D99</f>
        <v>1050997</v>
      </c>
      <c r="E11" s="145"/>
      <c r="F11" s="135" t="s">
        <v>33</v>
      </c>
      <c r="G11" s="197">
        <v>731478</v>
      </c>
      <c r="H11" s="197">
        <v>944040</v>
      </c>
      <c r="I11" s="197">
        <f>'2. m. kiadások 2018'!D12+'2. m. kiadások 2018'!D24+'2. m. kiadások 2018'!D34+'2. m. kiadások 2018'!D45+'2. m. kiadások 2018'!D167</f>
        <v>849149</v>
      </c>
      <c r="J11" s="197"/>
      <c r="K11" s="197"/>
      <c r="L11" s="197"/>
    </row>
    <row r="12" spans="1:12" ht="24" x14ac:dyDescent="0.2">
      <c r="A12" s="135" t="s">
        <v>175</v>
      </c>
      <c r="B12" s="145">
        <v>151359</v>
      </c>
      <c r="C12" s="145">
        <v>154818</v>
      </c>
      <c r="D12" s="145">
        <f>'1. m. bevételek 2018'!D37+'1. m. bevételek 2018'!D126</f>
        <v>90479</v>
      </c>
      <c r="E12" s="145"/>
      <c r="F12" s="148" t="s">
        <v>542</v>
      </c>
      <c r="G12" s="197">
        <v>695626</v>
      </c>
      <c r="H12" s="197">
        <v>623798</v>
      </c>
      <c r="I12" s="197">
        <f>'2. m. kiadások 2018'!D199+'2. m. kiadások 2018'!D219</f>
        <v>491093</v>
      </c>
      <c r="J12" s="197"/>
      <c r="K12" s="197"/>
      <c r="L12" s="197"/>
    </row>
    <row r="13" spans="1:12" ht="24" x14ac:dyDescent="0.2">
      <c r="A13" s="135" t="s">
        <v>176</v>
      </c>
      <c r="B13" s="145">
        <v>3784</v>
      </c>
      <c r="C13" s="145">
        <v>7966</v>
      </c>
      <c r="D13" s="145">
        <f>'1. m. bevételek 2018'!D137</f>
        <v>0</v>
      </c>
      <c r="E13" s="145"/>
      <c r="F13" s="135" t="s">
        <v>58</v>
      </c>
      <c r="G13" s="197">
        <v>21453</v>
      </c>
      <c r="H13" s="197">
        <v>40750</v>
      </c>
      <c r="I13" s="197">
        <f>'2. m. kiadások 2018'!D188</f>
        <v>39000</v>
      </c>
      <c r="J13" s="197"/>
      <c r="K13" s="197"/>
      <c r="L13" s="197"/>
    </row>
    <row r="14" spans="1:12" x14ac:dyDescent="0.2">
      <c r="A14" s="135" t="s">
        <v>177</v>
      </c>
      <c r="B14" s="145">
        <v>23250</v>
      </c>
      <c r="C14" s="145">
        <v>0</v>
      </c>
      <c r="D14" s="145">
        <f>'1. m. bevételek 2018'!D154</f>
        <v>13000</v>
      </c>
      <c r="E14" s="145"/>
      <c r="F14" s="135" t="s">
        <v>178</v>
      </c>
      <c r="G14" s="197">
        <v>1040853</v>
      </c>
      <c r="H14" s="197">
        <v>984239</v>
      </c>
      <c r="I14" s="197">
        <v>0</v>
      </c>
      <c r="J14" s="197"/>
      <c r="K14" s="197"/>
      <c r="L14" s="197"/>
    </row>
    <row r="15" spans="1:12" x14ac:dyDescent="0.2">
      <c r="A15" s="146" t="s">
        <v>179</v>
      </c>
      <c r="B15" s="145">
        <v>42817</v>
      </c>
      <c r="C15" s="145">
        <v>68291</v>
      </c>
      <c r="D15" s="145">
        <f>'1. m. bevételek 2018'!D172</f>
        <v>82897</v>
      </c>
      <c r="E15" s="145"/>
      <c r="F15" s="135" t="s">
        <v>181</v>
      </c>
      <c r="G15" s="197">
        <v>23250</v>
      </c>
      <c r="H15" s="197">
        <v>9400</v>
      </c>
      <c r="I15" s="197">
        <f>'2. m. kiadások 2018'!D233</f>
        <v>5000</v>
      </c>
      <c r="J15" s="197"/>
      <c r="K15" s="197"/>
      <c r="L15" s="197"/>
    </row>
    <row r="16" spans="1:12" x14ac:dyDescent="0.2">
      <c r="A16" s="135" t="s">
        <v>180</v>
      </c>
      <c r="B16" s="145">
        <v>1050853</v>
      </c>
      <c r="C16" s="145">
        <v>984239</v>
      </c>
      <c r="D16" s="145">
        <v>0</v>
      </c>
      <c r="E16" s="145"/>
      <c r="F16" s="135" t="s">
        <v>183</v>
      </c>
      <c r="G16" s="197">
        <v>0</v>
      </c>
      <c r="H16" s="197">
        <v>7684</v>
      </c>
      <c r="I16" s="197">
        <f>'2. m. kiadások 2018'!D227+'2. m. kiadások 2018'!D229</f>
        <v>23962</v>
      </c>
      <c r="J16" s="197"/>
      <c r="K16" s="197"/>
      <c r="L16" s="197"/>
    </row>
    <row r="17" spans="1:12" ht="24" x14ac:dyDescent="0.2">
      <c r="A17" s="135" t="s">
        <v>182</v>
      </c>
      <c r="B17" s="145">
        <v>39627</v>
      </c>
      <c r="C17" s="145">
        <v>0</v>
      </c>
      <c r="D17" s="145">
        <v>0</v>
      </c>
      <c r="E17" s="145"/>
      <c r="F17" s="199" t="s">
        <v>199</v>
      </c>
      <c r="G17" s="197">
        <v>40547</v>
      </c>
      <c r="H17" s="197">
        <v>39627</v>
      </c>
      <c r="I17" s="197">
        <f>'2. m. kiadások 2018'!D340</f>
        <v>38852</v>
      </c>
      <c r="J17" s="197"/>
      <c r="K17" s="197"/>
      <c r="L17" s="197"/>
    </row>
    <row r="18" spans="1:12" x14ac:dyDescent="0.2">
      <c r="A18" s="135" t="s">
        <v>312</v>
      </c>
      <c r="B18" s="145">
        <v>339696</v>
      </c>
      <c r="C18" s="127"/>
      <c r="D18" s="145">
        <v>0</v>
      </c>
      <c r="E18" s="145"/>
      <c r="F18" s="199" t="s">
        <v>313</v>
      </c>
      <c r="G18" s="197">
        <v>226686</v>
      </c>
      <c r="H18" s="197"/>
      <c r="I18" s="197"/>
      <c r="J18" s="197"/>
      <c r="K18" s="197"/>
      <c r="L18" s="197"/>
    </row>
    <row r="19" spans="1:12" x14ac:dyDescent="0.2">
      <c r="A19" s="201"/>
      <c r="B19" s="200"/>
      <c r="C19" s="145"/>
      <c r="D19" s="145"/>
      <c r="E19" s="145"/>
      <c r="I19" s="197"/>
      <c r="J19" s="197"/>
      <c r="K19" s="197"/>
      <c r="L19" s="197"/>
    </row>
    <row r="20" spans="1:12" x14ac:dyDescent="0.2">
      <c r="A20" s="137" t="s">
        <v>184</v>
      </c>
      <c r="B20" s="147">
        <f>SUM(B9:B19)</f>
        <v>3812749</v>
      </c>
      <c r="C20" s="147">
        <f>SUM(C9:C19)</f>
        <v>3486834</v>
      </c>
      <c r="D20" s="147">
        <f>SUM(D9:D19)</f>
        <v>2290018</v>
      </c>
      <c r="E20" s="202"/>
      <c r="F20" s="137" t="s">
        <v>185</v>
      </c>
      <c r="G20" s="198">
        <f>SUM(G9:G18)</f>
        <v>3571857</v>
      </c>
      <c r="H20" s="198">
        <f>SUM(H9:H18)</f>
        <v>3498164</v>
      </c>
      <c r="I20" s="198">
        <f>SUM(I9:I19)</f>
        <v>2303755</v>
      </c>
      <c r="J20" s="197"/>
      <c r="K20" s="197"/>
      <c r="L20" s="197"/>
    </row>
    <row r="21" spans="1:12" x14ac:dyDescent="0.2">
      <c r="A21" s="201"/>
      <c r="B21" s="200"/>
      <c r="C21" s="147"/>
      <c r="D21" s="147"/>
      <c r="E21" s="147"/>
      <c r="F21" s="135"/>
      <c r="G21" s="197"/>
      <c r="H21" s="197"/>
      <c r="I21" s="197"/>
      <c r="J21" s="197"/>
      <c r="K21" s="197"/>
      <c r="L21" s="197"/>
    </row>
    <row r="22" spans="1:12" x14ac:dyDescent="0.2">
      <c r="A22" s="135" t="s">
        <v>86</v>
      </c>
      <c r="B22" s="145">
        <v>130504</v>
      </c>
      <c r="C22" s="197">
        <v>306585</v>
      </c>
      <c r="D22" s="197">
        <f>'1. m. bevételek 2018'!D112</f>
        <v>335382</v>
      </c>
      <c r="E22" s="200"/>
      <c r="F22" s="135" t="s">
        <v>60</v>
      </c>
      <c r="G22" s="197">
        <v>95152</v>
      </c>
      <c r="H22" s="197">
        <v>602694</v>
      </c>
      <c r="I22" s="197">
        <f>'2. m. kiadások 2018'!D15+'2. m. kiadások 2018'!D28+'2. m. kiadások 2018'!D37+'2. m. kiadások 2018'!D52+'2. m. kiadások 2018'!D279</f>
        <v>233133</v>
      </c>
      <c r="J22" s="197"/>
      <c r="K22" s="197"/>
      <c r="L22" s="197"/>
    </row>
    <row r="23" spans="1:12" x14ac:dyDescent="0.2">
      <c r="A23" s="135" t="s">
        <v>186</v>
      </c>
      <c r="B23" s="145">
        <v>1789</v>
      </c>
      <c r="C23" s="145">
        <v>32480</v>
      </c>
      <c r="D23" s="145">
        <v>0</v>
      </c>
      <c r="E23" s="145"/>
      <c r="F23" s="135" t="s">
        <v>26</v>
      </c>
      <c r="G23" s="197">
        <v>155171</v>
      </c>
      <c r="H23" s="197">
        <v>469766</v>
      </c>
      <c r="I23" s="197">
        <f>'2. m. kiadások 2018'!D18+'2. m. kiadások 2018'!D306</f>
        <v>304823</v>
      </c>
      <c r="J23" s="197"/>
      <c r="K23" s="197"/>
      <c r="L23" s="197"/>
    </row>
    <row r="24" spans="1:12" ht="24" x14ac:dyDescent="0.2">
      <c r="A24" s="135" t="s">
        <v>187</v>
      </c>
      <c r="B24" s="145">
        <v>4341</v>
      </c>
      <c r="C24" s="145">
        <v>16870</v>
      </c>
      <c r="D24" s="145">
        <f>'1. m. bevételek 2018'!D141</f>
        <v>2000</v>
      </c>
      <c r="E24" s="145"/>
      <c r="F24" s="148" t="s">
        <v>541</v>
      </c>
      <c r="G24" s="197">
        <v>18729</v>
      </c>
      <c r="H24" s="197">
        <v>22498</v>
      </c>
      <c r="I24" s="197">
        <f>'2. m. kiadások 2018'!D311+'2. m. kiadások 2018'!D318</f>
        <v>8450</v>
      </c>
      <c r="J24" s="197"/>
      <c r="K24" s="197"/>
      <c r="L24" s="197"/>
    </row>
    <row r="25" spans="1:12" x14ac:dyDescent="0.2">
      <c r="A25" s="135" t="s">
        <v>189</v>
      </c>
      <c r="B25" s="149">
        <v>47920</v>
      </c>
      <c r="C25" s="149">
        <v>261362</v>
      </c>
      <c r="D25" s="149">
        <f>'1. m. bevételek 2018'!D131</f>
        <v>1779</v>
      </c>
      <c r="E25" s="149"/>
      <c r="F25" s="135" t="s">
        <v>316</v>
      </c>
      <c r="G25" s="197">
        <v>0</v>
      </c>
      <c r="H25" s="197">
        <v>17109</v>
      </c>
      <c r="I25" s="197">
        <f>'2. m. kiadások 2018'!D336</f>
        <v>21004</v>
      </c>
      <c r="J25" s="197"/>
      <c r="K25" s="197"/>
      <c r="L25" s="197"/>
    </row>
    <row r="26" spans="1:12" x14ac:dyDescent="0.2">
      <c r="A26" s="146" t="s">
        <v>190</v>
      </c>
      <c r="B26" s="145">
        <v>40989</v>
      </c>
      <c r="C26" s="145">
        <v>2425</v>
      </c>
      <c r="D26" s="145">
        <f>'1. m. bevételek 2018'!D149</f>
        <v>8300</v>
      </c>
      <c r="E26" s="145"/>
      <c r="F26" s="135" t="s">
        <v>540</v>
      </c>
      <c r="G26" s="197">
        <v>0</v>
      </c>
      <c r="H26" s="197">
        <v>94537</v>
      </c>
      <c r="I26" s="197">
        <f>'2. m. kiadások 2018'!D327</f>
        <v>386824</v>
      </c>
      <c r="J26" s="197"/>
      <c r="K26" s="197"/>
      <c r="L26" s="197"/>
    </row>
    <row r="27" spans="1:12" x14ac:dyDescent="0.2">
      <c r="A27" s="135" t="s">
        <v>191</v>
      </c>
      <c r="B27" s="145">
        <v>250769</v>
      </c>
      <c r="C27" s="145">
        <v>310851</v>
      </c>
      <c r="D27" s="145">
        <f>'1. m. bevételek 2018'!D183</f>
        <v>383010</v>
      </c>
      <c r="E27" s="145"/>
      <c r="F27" s="135" t="s">
        <v>194</v>
      </c>
      <c r="G27" s="197">
        <v>4560</v>
      </c>
      <c r="H27" s="197">
        <v>3390</v>
      </c>
      <c r="I27" s="197">
        <v>0</v>
      </c>
      <c r="J27" s="197"/>
      <c r="K27" s="197"/>
      <c r="L27" s="197"/>
    </row>
    <row r="28" spans="1:12" x14ac:dyDescent="0.2">
      <c r="A28" s="135" t="s">
        <v>193</v>
      </c>
      <c r="B28" s="300">
        <v>48409</v>
      </c>
      <c r="C28" s="145">
        <v>290751</v>
      </c>
      <c r="D28" s="145">
        <f>'1. m. bevételek 2018'!D188</f>
        <v>237500</v>
      </c>
      <c r="E28" s="145"/>
      <c r="I28" s="197"/>
      <c r="J28" s="197"/>
      <c r="K28" s="197"/>
      <c r="L28" s="197"/>
    </row>
    <row r="29" spans="1:12" x14ac:dyDescent="0.2">
      <c r="A29" s="146"/>
      <c r="B29" s="300"/>
      <c r="C29" s="145"/>
      <c r="D29" s="145"/>
      <c r="E29" s="145"/>
      <c r="F29" s="199"/>
      <c r="G29" s="197"/>
      <c r="H29" s="197"/>
      <c r="I29" s="197"/>
      <c r="J29" s="197"/>
      <c r="K29" s="197"/>
      <c r="L29" s="197"/>
    </row>
    <row r="30" spans="1:12" x14ac:dyDescent="0.2">
      <c r="A30" s="137" t="s">
        <v>195</v>
      </c>
      <c r="B30" s="147">
        <f>SUM(B22:B29)</f>
        <v>524721</v>
      </c>
      <c r="C30" s="147">
        <f>SUM(C22:C29)</f>
        <v>1221324</v>
      </c>
      <c r="D30" s="147">
        <f>SUM(D22:D29)</f>
        <v>967971</v>
      </c>
      <c r="E30" s="147"/>
      <c r="F30" s="137" t="s">
        <v>196</v>
      </c>
      <c r="G30" s="198">
        <f>SUM(G22:G29)</f>
        <v>273612</v>
      </c>
      <c r="H30" s="198">
        <f>SUM(H22:H29)</f>
        <v>1209994</v>
      </c>
      <c r="I30" s="198">
        <f>SUM(I22:I29)</f>
        <v>954234</v>
      </c>
      <c r="J30" s="197"/>
      <c r="K30" s="197"/>
      <c r="L30" s="197"/>
    </row>
    <row r="31" spans="1:12" x14ac:dyDescent="0.2">
      <c r="A31" s="137"/>
      <c r="B31" s="147"/>
      <c r="C31" s="147"/>
      <c r="D31" s="147"/>
      <c r="E31" s="147"/>
      <c r="F31" s="137"/>
      <c r="G31" s="198"/>
      <c r="H31" s="198"/>
      <c r="I31" s="198"/>
      <c r="J31" s="197"/>
      <c r="K31" s="197"/>
      <c r="L31" s="197"/>
    </row>
    <row r="32" spans="1:12" x14ac:dyDescent="0.2">
      <c r="A32" s="137"/>
      <c r="B32" s="147"/>
      <c r="C32" s="147"/>
      <c r="D32" s="147"/>
      <c r="E32" s="147"/>
      <c r="F32" s="137"/>
      <c r="G32" s="197"/>
      <c r="H32" s="197"/>
      <c r="I32" s="197"/>
      <c r="J32" s="197"/>
      <c r="K32" s="197"/>
      <c r="L32" s="197"/>
    </row>
    <row r="33" spans="1:12" x14ac:dyDescent="0.2">
      <c r="A33" s="150" t="s">
        <v>197</v>
      </c>
      <c r="B33" s="196">
        <f>SUM(B30,B20)</f>
        <v>4337470</v>
      </c>
      <c r="C33" s="196">
        <f>SUM(C30,C20)</f>
        <v>4708158</v>
      </c>
      <c r="D33" s="196">
        <f>SUM(D30,D20)</f>
        <v>3257989</v>
      </c>
      <c r="E33" s="196"/>
      <c r="F33" s="150" t="s">
        <v>198</v>
      </c>
      <c r="G33" s="196">
        <f>SUM(G30,G20)</f>
        <v>3845469</v>
      </c>
      <c r="H33" s="196">
        <f>SUM(H30,H20)</f>
        <v>4708158</v>
      </c>
      <c r="I33" s="196">
        <f>SUM(I30,I20)</f>
        <v>3257989</v>
      </c>
      <c r="J33" s="197"/>
      <c r="K33" s="197"/>
      <c r="L33" s="197"/>
    </row>
    <row r="34" spans="1:12" x14ac:dyDescent="0.2">
      <c r="A34" s="127"/>
      <c r="B34" s="127"/>
      <c r="C34" s="127"/>
      <c r="D34" s="127"/>
      <c r="E34" s="127"/>
      <c r="F34" s="127"/>
      <c r="G34" s="127"/>
      <c r="H34" s="127"/>
      <c r="I34" s="127"/>
    </row>
    <row r="35" spans="1:12" x14ac:dyDescent="0.2">
      <c r="A35" s="127"/>
      <c r="B35" s="127"/>
      <c r="C35" s="127"/>
      <c r="D35" s="127"/>
      <c r="E35" s="127"/>
      <c r="F35" s="127"/>
      <c r="G35" s="127"/>
      <c r="H35" s="127"/>
      <c r="I35" s="127"/>
    </row>
    <row r="36" spans="1:12" x14ac:dyDescent="0.2">
      <c r="A36" s="127"/>
      <c r="B36" s="127"/>
      <c r="C36" s="127"/>
      <c r="D36" s="127"/>
      <c r="E36" s="127"/>
      <c r="F36" s="127"/>
      <c r="G36" s="127"/>
      <c r="H36" s="127"/>
      <c r="I36" s="127"/>
    </row>
  </sheetData>
  <mergeCells count="3">
    <mergeCell ref="A3:I3"/>
    <mergeCell ref="A4:I4"/>
    <mergeCell ref="A1:I1"/>
  </mergeCells>
  <pageMargins left="0.7" right="0.7" top="0.75" bottom="0.75" header="0.3" footer="0.3"/>
  <pageSetup paperSize="9" scale="9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view="pageBreakPreview" zoomScaleNormal="100" zoomScaleSheetLayoutView="100" workbookViewId="0">
      <selection activeCell="A2" sqref="A2"/>
    </sheetView>
  </sheetViews>
  <sheetFormatPr defaultRowHeight="12.75" x14ac:dyDescent="0.2"/>
  <cols>
    <col min="1" max="1" width="6.42578125" style="442" customWidth="1"/>
    <col min="2" max="2" width="30.7109375" style="443" customWidth="1"/>
    <col min="3" max="4" width="11.5703125" style="442" customWidth="1"/>
    <col min="5" max="10" width="9.85546875" style="442" bestFit="1" customWidth="1"/>
    <col min="11" max="12" width="8.7109375" style="442" customWidth="1"/>
    <col min="13" max="13" width="10.7109375" style="442" customWidth="1"/>
    <col min="14" max="14" width="34.7109375" style="442" customWidth="1"/>
    <col min="15" max="16" width="11.28515625" style="444" customWidth="1"/>
    <col min="17" max="17" width="11.85546875" style="444" customWidth="1"/>
    <col min="18" max="20" width="11.28515625" style="444" customWidth="1"/>
    <col min="21" max="21" width="11.85546875" style="442" customWidth="1"/>
    <col min="22" max="256" width="9.140625" style="442"/>
    <col min="257" max="257" width="6.42578125" style="442" customWidth="1"/>
    <col min="258" max="258" width="30.7109375" style="442" customWidth="1"/>
    <col min="259" max="260" width="11.5703125" style="442" customWidth="1"/>
    <col min="261" max="262" width="8.7109375" style="442" customWidth="1"/>
    <col min="263" max="266" width="9.85546875" style="442" bestFit="1" customWidth="1"/>
    <col min="267" max="268" width="8.7109375" style="442" customWidth="1"/>
    <col min="269" max="269" width="10.7109375" style="442" customWidth="1"/>
    <col min="270" max="270" width="34.7109375" style="442" customWidth="1"/>
    <col min="271" max="272" width="11.28515625" style="442" customWidth="1"/>
    <col min="273" max="273" width="11.85546875" style="442" customWidth="1"/>
    <col min="274" max="276" width="11.28515625" style="442" customWidth="1"/>
    <col min="277" max="277" width="11.85546875" style="442" customWidth="1"/>
    <col min="278" max="512" width="9.140625" style="442"/>
    <col min="513" max="513" width="6.42578125" style="442" customWidth="1"/>
    <col min="514" max="514" width="30.7109375" style="442" customWidth="1"/>
    <col min="515" max="516" width="11.5703125" style="442" customWidth="1"/>
    <col min="517" max="518" width="8.7109375" style="442" customWidth="1"/>
    <col min="519" max="522" width="9.85546875" style="442" bestFit="1" customWidth="1"/>
    <col min="523" max="524" width="8.7109375" style="442" customWidth="1"/>
    <col min="525" max="525" width="10.7109375" style="442" customWidth="1"/>
    <col min="526" max="526" width="34.7109375" style="442" customWidth="1"/>
    <col min="527" max="528" width="11.28515625" style="442" customWidth="1"/>
    <col min="529" max="529" width="11.85546875" style="442" customWidth="1"/>
    <col min="530" max="532" width="11.28515625" style="442" customWidth="1"/>
    <col min="533" max="533" width="11.85546875" style="442" customWidth="1"/>
    <col min="534" max="768" width="9.140625" style="442"/>
    <col min="769" max="769" width="6.42578125" style="442" customWidth="1"/>
    <col min="770" max="770" width="30.7109375" style="442" customWidth="1"/>
    <col min="771" max="772" width="11.5703125" style="442" customWidth="1"/>
    <col min="773" max="774" width="8.7109375" style="442" customWidth="1"/>
    <col min="775" max="778" width="9.85546875" style="442" bestFit="1" customWidth="1"/>
    <col min="779" max="780" width="8.7109375" style="442" customWidth="1"/>
    <col min="781" max="781" width="10.7109375" style="442" customWidth="1"/>
    <col min="782" max="782" width="34.7109375" style="442" customWidth="1"/>
    <col min="783" max="784" width="11.28515625" style="442" customWidth="1"/>
    <col min="785" max="785" width="11.85546875" style="442" customWidth="1"/>
    <col min="786" max="788" width="11.28515625" style="442" customWidth="1"/>
    <col min="789" max="789" width="11.85546875" style="442" customWidth="1"/>
    <col min="790" max="1024" width="9.140625" style="442"/>
    <col min="1025" max="1025" width="6.42578125" style="442" customWidth="1"/>
    <col min="1026" max="1026" width="30.7109375" style="442" customWidth="1"/>
    <col min="1027" max="1028" width="11.5703125" style="442" customWidth="1"/>
    <col min="1029" max="1030" width="8.7109375" style="442" customWidth="1"/>
    <col min="1031" max="1034" width="9.85546875" style="442" bestFit="1" customWidth="1"/>
    <col min="1035" max="1036" width="8.7109375" style="442" customWidth="1"/>
    <col min="1037" max="1037" width="10.7109375" style="442" customWidth="1"/>
    <col min="1038" max="1038" width="34.7109375" style="442" customWidth="1"/>
    <col min="1039" max="1040" width="11.28515625" style="442" customWidth="1"/>
    <col min="1041" max="1041" width="11.85546875" style="442" customWidth="1"/>
    <col min="1042" max="1044" width="11.28515625" style="442" customWidth="1"/>
    <col min="1045" max="1045" width="11.85546875" style="442" customWidth="1"/>
    <col min="1046" max="1280" width="9.140625" style="442"/>
    <col min="1281" max="1281" width="6.42578125" style="442" customWidth="1"/>
    <col min="1282" max="1282" width="30.7109375" style="442" customWidth="1"/>
    <col min="1283" max="1284" width="11.5703125" style="442" customWidth="1"/>
    <col min="1285" max="1286" width="8.7109375" style="442" customWidth="1"/>
    <col min="1287" max="1290" width="9.85546875" style="442" bestFit="1" customWidth="1"/>
    <col min="1291" max="1292" width="8.7109375" style="442" customWidth="1"/>
    <col min="1293" max="1293" width="10.7109375" style="442" customWidth="1"/>
    <col min="1294" max="1294" width="34.7109375" style="442" customWidth="1"/>
    <col min="1295" max="1296" width="11.28515625" style="442" customWidth="1"/>
    <col min="1297" max="1297" width="11.85546875" style="442" customWidth="1"/>
    <col min="1298" max="1300" width="11.28515625" style="442" customWidth="1"/>
    <col min="1301" max="1301" width="11.85546875" style="442" customWidth="1"/>
    <col min="1302" max="1536" width="9.140625" style="442"/>
    <col min="1537" max="1537" width="6.42578125" style="442" customWidth="1"/>
    <col min="1538" max="1538" width="30.7109375" style="442" customWidth="1"/>
    <col min="1539" max="1540" width="11.5703125" style="442" customWidth="1"/>
    <col min="1541" max="1542" width="8.7109375" style="442" customWidth="1"/>
    <col min="1543" max="1546" width="9.85546875" style="442" bestFit="1" customWidth="1"/>
    <col min="1547" max="1548" width="8.7109375" style="442" customWidth="1"/>
    <col min="1549" max="1549" width="10.7109375" style="442" customWidth="1"/>
    <col min="1550" max="1550" width="34.7109375" style="442" customWidth="1"/>
    <col min="1551" max="1552" width="11.28515625" style="442" customWidth="1"/>
    <col min="1553" max="1553" width="11.85546875" style="442" customWidth="1"/>
    <col min="1554" max="1556" width="11.28515625" style="442" customWidth="1"/>
    <col min="1557" max="1557" width="11.85546875" style="442" customWidth="1"/>
    <col min="1558" max="1792" width="9.140625" style="442"/>
    <col min="1793" max="1793" width="6.42578125" style="442" customWidth="1"/>
    <col min="1794" max="1794" width="30.7109375" style="442" customWidth="1"/>
    <col min="1795" max="1796" width="11.5703125" style="442" customWidth="1"/>
    <col min="1797" max="1798" width="8.7109375" style="442" customWidth="1"/>
    <col min="1799" max="1802" width="9.85546875" style="442" bestFit="1" customWidth="1"/>
    <col min="1803" max="1804" width="8.7109375" style="442" customWidth="1"/>
    <col min="1805" max="1805" width="10.7109375" style="442" customWidth="1"/>
    <col min="1806" max="1806" width="34.7109375" style="442" customWidth="1"/>
    <col min="1807" max="1808" width="11.28515625" style="442" customWidth="1"/>
    <col min="1809" max="1809" width="11.85546875" style="442" customWidth="1"/>
    <col min="1810" max="1812" width="11.28515625" style="442" customWidth="1"/>
    <col min="1813" max="1813" width="11.85546875" style="442" customWidth="1"/>
    <col min="1814" max="2048" width="9.140625" style="442"/>
    <col min="2049" max="2049" width="6.42578125" style="442" customWidth="1"/>
    <col min="2050" max="2050" width="30.7109375" style="442" customWidth="1"/>
    <col min="2051" max="2052" width="11.5703125" style="442" customWidth="1"/>
    <col min="2053" max="2054" width="8.7109375" style="442" customWidth="1"/>
    <col min="2055" max="2058" width="9.85546875" style="442" bestFit="1" customWidth="1"/>
    <col min="2059" max="2060" width="8.7109375" style="442" customWidth="1"/>
    <col min="2061" max="2061" width="10.7109375" style="442" customWidth="1"/>
    <col min="2062" max="2062" width="34.7109375" style="442" customWidth="1"/>
    <col min="2063" max="2064" width="11.28515625" style="442" customWidth="1"/>
    <col min="2065" max="2065" width="11.85546875" style="442" customWidth="1"/>
    <col min="2066" max="2068" width="11.28515625" style="442" customWidth="1"/>
    <col min="2069" max="2069" width="11.85546875" style="442" customWidth="1"/>
    <col min="2070" max="2304" width="9.140625" style="442"/>
    <col min="2305" max="2305" width="6.42578125" style="442" customWidth="1"/>
    <col min="2306" max="2306" width="30.7109375" style="442" customWidth="1"/>
    <col min="2307" max="2308" width="11.5703125" style="442" customWidth="1"/>
    <col min="2309" max="2310" width="8.7109375" style="442" customWidth="1"/>
    <col min="2311" max="2314" width="9.85546875" style="442" bestFit="1" customWidth="1"/>
    <col min="2315" max="2316" width="8.7109375" style="442" customWidth="1"/>
    <col min="2317" max="2317" width="10.7109375" style="442" customWidth="1"/>
    <col min="2318" max="2318" width="34.7109375" style="442" customWidth="1"/>
    <col min="2319" max="2320" width="11.28515625" style="442" customWidth="1"/>
    <col min="2321" max="2321" width="11.85546875" style="442" customWidth="1"/>
    <col min="2322" max="2324" width="11.28515625" style="442" customWidth="1"/>
    <col min="2325" max="2325" width="11.85546875" style="442" customWidth="1"/>
    <col min="2326" max="2560" width="9.140625" style="442"/>
    <col min="2561" max="2561" width="6.42578125" style="442" customWidth="1"/>
    <col min="2562" max="2562" width="30.7109375" style="442" customWidth="1"/>
    <col min="2563" max="2564" width="11.5703125" style="442" customWidth="1"/>
    <col min="2565" max="2566" width="8.7109375" style="442" customWidth="1"/>
    <col min="2567" max="2570" width="9.85546875" style="442" bestFit="1" customWidth="1"/>
    <col min="2571" max="2572" width="8.7109375" style="442" customWidth="1"/>
    <col min="2573" max="2573" width="10.7109375" style="442" customWidth="1"/>
    <col min="2574" max="2574" width="34.7109375" style="442" customWidth="1"/>
    <col min="2575" max="2576" width="11.28515625" style="442" customWidth="1"/>
    <col min="2577" max="2577" width="11.85546875" style="442" customWidth="1"/>
    <col min="2578" max="2580" width="11.28515625" style="442" customWidth="1"/>
    <col min="2581" max="2581" width="11.85546875" style="442" customWidth="1"/>
    <col min="2582" max="2816" width="9.140625" style="442"/>
    <col min="2817" max="2817" width="6.42578125" style="442" customWidth="1"/>
    <col min="2818" max="2818" width="30.7109375" style="442" customWidth="1"/>
    <col min="2819" max="2820" width="11.5703125" style="442" customWidth="1"/>
    <col min="2821" max="2822" width="8.7109375" style="442" customWidth="1"/>
    <col min="2823" max="2826" width="9.85546875" style="442" bestFit="1" customWidth="1"/>
    <col min="2827" max="2828" width="8.7109375" style="442" customWidth="1"/>
    <col min="2829" max="2829" width="10.7109375" style="442" customWidth="1"/>
    <col min="2830" max="2830" width="34.7109375" style="442" customWidth="1"/>
    <col min="2831" max="2832" width="11.28515625" style="442" customWidth="1"/>
    <col min="2833" max="2833" width="11.85546875" style="442" customWidth="1"/>
    <col min="2834" max="2836" width="11.28515625" style="442" customWidth="1"/>
    <col min="2837" max="2837" width="11.85546875" style="442" customWidth="1"/>
    <col min="2838" max="3072" width="9.140625" style="442"/>
    <col min="3073" max="3073" width="6.42578125" style="442" customWidth="1"/>
    <col min="3074" max="3074" width="30.7109375" style="442" customWidth="1"/>
    <col min="3075" max="3076" width="11.5703125" style="442" customWidth="1"/>
    <col min="3077" max="3078" width="8.7109375" style="442" customWidth="1"/>
    <col min="3079" max="3082" width="9.85546875" style="442" bestFit="1" customWidth="1"/>
    <col min="3083" max="3084" width="8.7109375" style="442" customWidth="1"/>
    <col min="3085" max="3085" width="10.7109375" style="442" customWidth="1"/>
    <col min="3086" max="3086" width="34.7109375" style="442" customWidth="1"/>
    <col min="3087" max="3088" width="11.28515625" style="442" customWidth="1"/>
    <col min="3089" max="3089" width="11.85546875" style="442" customWidth="1"/>
    <col min="3090" max="3092" width="11.28515625" style="442" customWidth="1"/>
    <col min="3093" max="3093" width="11.85546875" style="442" customWidth="1"/>
    <col min="3094" max="3328" width="9.140625" style="442"/>
    <col min="3329" max="3329" width="6.42578125" style="442" customWidth="1"/>
    <col min="3330" max="3330" width="30.7109375" style="442" customWidth="1"/>
    <col min="3331" max="3332" width="11.5703125" style="442" customWidth="1"/>
    <col min="3333" max="3334" width="8.7109375" style="442" customWidth="1"/>
    <col min="3335" max="3338" width="9.85546875" style="442" bestFit="1" customWidth="1"/>
    <col min="3339" max="3340" width="8.7109375" style="442" customWidth="1"/>
    <col min="3341" max="3341" width="10.7109375" style="442" customWidth="1"/>
    <col min="3342" max="3342" width="34.7109375" style="442" customWidth="1"/>
    <col min="3343" max="3344" width="11.28515625" style="442" customWidth="1"/>
    <col min="3345" max="3345" width="11.85546875" style="442" customWidth="1"/>
    <col min="3346" max="3348" width="11.28515625" style="442" customWidth="1"/>
    <col min="3349" max="3349" width="11.85546875" style="442" customWidth="1"/>
    <col min="3350" max="3584" width="9.140625" style="442"/>
    <col min="3585" max="3585" width="6.42578125" style="442" customWidth="1"/>
    <col min="3586" max="3586" width="30.7109375" style="442" customWidth="1"/>
    <col min="3587" max="3588" width="11.5703125" style="442" customWidth="1"/>
    <col min="3589" max="3590" width="8.7109375" style="442" customWidth="1"/>
    <col min="3591" max="3594" width="9.85546875" style="442" bestFit="1" customWidth="1"/>
    <col min="3595" max="3596" width="8.7109375" style="442" customWidth="1"/>
    <col min="3597" max="3597" width="10.7109375" style="442" customWidth="1"/>
    <col min="3598" max="3598" width="34.7109375" style="442" customWidth="1"/>
    <col min="3599" max="3600" width="11.28515625" style="442" customWidth="1"/>
    <col min="3601" max="3601" width="11.85546875" style="442" customWidth="1"/>
    <col min="3602" max="3604" width="11.28515625" style="442" customWidth="1"/>
    <col min="3605" max="3605" width="11.85546875" style="442" customWidth="1"/>
    <col min="3606" max="3840" width="9.140625" style="442"/>
    <col min="3841" max="3841" width="6.42578125" style="442" customWidth="1"/>
    <col min="3842" max="3842" width="30.7109375" style="442" customWidth="1"/>
    <col min="3843" max="3844" width="11.5703125" style="442" customWidth="1"/>
    <col min="3845" max="3846" width="8.7109375" style="442" customWidth="1"/>
    <col min="3847" max="3850" width="9.85546875" style="442" bestFit="1" customWidth="1"/>
    <col min="3851" max="3852" width="8.7109375" style="442" customWidth="1"/>
    <col min="3853" max="3853" width="10.7109375" style="442" customWidth="1"/>
    <col min="3854" max="3854" width="34.7109375" style="442" customWidth="1"/>
    <col min="3855" max="3856" width="11.28515625" style="442" customWidth="1"/>
    <col min="3857" max="3857" width="11.85546875" style="442" customWidth="1"/>
    <col min="3858" max="3860" width="11.28515625" style="442" customWidth="1"/>
    <col min="3861" max="3861" width="11.85546875" style="442" customWidth="1"/>
    <col min="3862" max="4096" width="9.140625" style="442"/>
    <col min="4097" max="4097" width="6.42578125" style="442" customWidth="1"/>
    <col min="4098" max="4098" width="30.7109375" style="442" customWidth="1"/>
    <col min="4099" max="4100" width="11.5703125" style="442" customWidth="1"/>
    <col min="4101" max="4102" width="8.7109375" style="442" customWidth="1"/>
    <col min="4103" max="4106" width="9.85546875" style="442" bestFit="1" customWidth="1"/>
    <col min="4107" max="4108" width="8.7109375" style="442" customWidth="1"/>
    <col min="4109" max="4109" width="10.7109375" style="442" customWidth="1"/>
    <col min="4110" max="4110" width="34.7109375" style="442" customWidth="1"/>
    <col min="4111" max="4112" width="11.28515625" style="442" customWidth="1"/>
    <col min="4113" max="4113" width="11.85546875" style="442" customWidth="1"/>
    <col min="4114" max="4116" width="11.28515625" style="442" customWidth="1"/>
    <col min="4117" max="4117" width="11.85546875" style="442" customWidth="1"/>
    <col min="4118" max="4352" width="9.140625" style="442"/>
    <col min="4353" max="4353" width="6.42578125" style="442" customWidth="1"/>
    <col min="4354" max="4354" width="30.7109375" style="442" customWidth="1"/>
    <col min="4355" max="4356" width="11.5703125" style="442" customWidth="1"/>
    <col min="4357" max="4358" width="8.7109375" style="442" customWidth="1"/>
    <col min="4359" max="4362" width="9.85546875" style="442" bestFit="1" customWidth="1"/>
    <col min="4363" max="4364" width="8.7109375" style="442" customWidth="1"/>
    <col min="4365" max="4365" width="10.7109375" style="442" customWidth="1"/>
    <col min="4366" max="4366" width="34.7109375" style="442" customWidth="1"/>
    <col min="4367" max="4368" width="11.28515625" style="442" customWidth="1"/>
    <col min="4369" max="4369" width="11.85546875" style="442" customWidth="1"/>
    <col min="4370" max="4372" width="11.28515625" style="442" customWidth="1"/>
    <col min="4373" max="4373" width="11.85546875" style="442" customWidth="1"/>
    <col min="4374" max="4608" width="9.140625" style="442"/>
    <col min="4609" max="4609" width="6.42578125" style="442" customWidth="1"/>
    <col min="4610" max="4610" width="30.7109375" style="442" customWidth="1"/>
    <col min="4611" max="4612" width="11.5703125" style="442" customWidth="1"/>
    <col min="4613" max="4614" width="8.7109375" style="442" customWidth="1"/>
    <col min="4615" max="4618" width="9.85546875" style="442" bestFit="1" customWidth="1"/>
    <col min="4619" max="4620" width="8.7109375" style="442" customWidth="1"/>
    <col min="4621" max="4621" width="10.7109375" style="442" customWidth="1"/>
    <col min="4622" max="4622" width="34.7109375" style="442" customWidth="1"/>
    <col min="4623" max="4624" width="11.28515625" style="442" customWidth="1"/>
    <col min="4625" max="4625" width="11.85546875" style="442" customWidth="1"/>
    <col min="4626" max="4628" width="11.28515625" style="442" customWidth="1"/>
    <col min="4629" max="4629" width="11.85546875" style="442" customWidth="1"/>
    <col min="4630" max="4864" width="9.140625" style="442"/>
    <col min="4865" max="4865" width="6.42578125" style="442" customWidth="1"/>
    <col min="4866" max="4866" width="30.7109375" style="442" customWidth="1"/>
    <col min="4867" max="4868" width="11.5703125" style="442" customWidth="1"/>
    <col min="4869" max="4870" width="8.7109375" style="442" customWidth="1"/>
    <col min="4871" max="4874" width="9.85546875" style="442" bestFit="1" customWidth="1"/>
    <col min="4875" max="4876" width="8.7109375" style="442" customWidth="1"/>
    <col min="4877" max="4877" width="10.7109375" style="442" customWidth="1"/>
    <col min="4878" max="4878" width="34.7109375" style="442" customWidth="1"/>
    <col min="4879" max="4880" width="11.28515625" style="442" customWidth="1"/>
    <col min="4881" max="4881" width="11.85546875" style="442" customWidth="1"/>
    <col min="4882" max="4884" width="11.28515625" style="442" customWidth="1"/>
    <col min="4885" max="4885" width="11.85546875" style="442" customWidth="1"/>
    <col min="4886" max="5120" width="9.140625" style="442"/>
    <col min="5121" max="5121" width="6.42578125" style="442" customWidth="1"/>
    <col min="5122" max="5122" width="30.7109375" style="442" customWidth="1"/>
    <col min="5123" max="5124" width="11.5703125" style="442" customWidth="1"/>
    <col min="5125" max="5126" width="8.7109375" style="442" customWidth="1"/>
    <col min="5127" max="5130" width="9.85546875" style="442" bestFit="1" customWidth="1"/>
    <col min="5131" max="5132" width="8.7109375" style="442" customWidth="1"/>
    <col min="5133" max="5133" width="10.7109375" style="442" customWidth="1"/>
    <col min="5134" max="5134" width="34.7109375" style="442" customWidth="1"/>
    <col min="5135" max="5136" width="11.28515625" style="442" customWidth="1"/>
    <col min="5137" max="5137" width="11.85546875" style="442" customWidth="1"/>
    <col min="5138" max="5140" width="11.28515625" style="442" customWidth="1"/>
    <col min="5141" max="5141" width="11.85546875" style="442" customWidth="1"/>
    <col min="5142" max="5376" width="9.140625" style="442"/>
    <col min="5377" max="5377" width="6.42578125" style="442" customWidth="1"/>
    <col min="5378" max="5378" width="30.7109375" style="442" customWidth="1"/>
    <col min="5379" max="5380" width="11.5703125" style="442" customWidth="1"/>
    <col min="5381" max="5382" width="8.7109375" style="442" customWidth="1"/>
    <col min="5383" max="5386" width="9.85546875" style="442" bestFit="1" customWidth="1"/>
    <col min="5387" max="5388" width="8.7109375" style="442" customWidth="1"/>
    <col min="5389" max="5389" width="10.7109375" style="442" customWidth="1"/>
    <col min="5390" max="5390" width="34.7109375" style="442" customWidth="1"/>
    <col min="5391" max="5392" width="11.28515625" style="442" customWidth="1"/>
    <col min="5393" max="5393" width="11.85546875" style="442" customWidth="1"/>
    <col min="5394" max="5396" width="11.28515625" style="442" customWidth="1"/>
    <col min="5397" max="5397" width="11.85546875" style="442" customWidth="1"/>
    <col min="5398" max="5632" width="9.140625" style="442"/>
    <col min="5633" max="5633" width="6.42578125" style="442" customWidth="1"/>
    <col min="5634" max="5634" width="30.7109375" style="442" customWidth="1"/>
    <col min="5635" max="5636" width="11.5703125" style="442" customWidth="1"/>
    <col min="5637" max="5638" width="8.7109375" style="442" customWidth="1"/>
    <col min="5639" max="5642" width="9.85546875" style="442" bestFit="1" customWidth="1"/>
    <col min="5643" max="5644" width="8.7109375" style="442" customWidth="1"/>
    <col min="5645" max="5645" width="10.7109375" style="442" customWidth="1"/>
    <col min="5646" max="5646" width="34.7109375" style="442" customWidth="1"/>
    <col min="5647" max="5648" width="11.28515625" style="442" customWidth="1"/>
    <col min="5649" max="5649" width="11.85546875" style="442" customWidth="1"/>
    <col min="5650" max="5652" width="11.28515625" style="442" customWidth="1"/>
    <col min="5653" max="5653" width="11.85546875" style="442" customWidth="1"/>
    <col min="5654" max="5888" width="9.140625" style="442"/>
    <col min="5889" max="5889" width="6.42578125" style="442" customWidth="1"/>
    <col min="5890" max="5890" width="30.7109375" style="442" customWidth="1"/>
    <col min="5891" max="5892" width="11.5703125" style="442" customWidth="1"/>
    <col min="5893" max="5894" width="8.7109375" style="442" customWidth="1"/>
    <col min="5895" max="5898" width="9.85546875" style="442" bestFit="1" customWidth="1"/>
    <col min="5899" max="5900" width="8.7109375" style="442" customWidth="1"/>
    <col min="5901" max="5901" width="10.7109375" style="442" customWidth="1"/>
    <col min="5902" max="5902" width="34.7109375" style="442" customWidth="1"/>
    <col min="5903" max="5904" width="11.28515625" style="442" customWidth="1"/>
    <col min="5905" max="5905" width="11.85546875" style="442" customWidth="1"/>
    <col min="5906" max="5908" width="11.28515625" style="442" customWidth="1"/>
    <col min="5909" max="5909" width="11.85546875" style="442" customWidth="1"/>
    <col min="5910" max="6144" width="9.140625" style="442"/>
    <col min="6145" max="6145" width="6.42578125" style="442" customWidth="1"/>
    <col min="6146" max="6146" width="30.7109375" style="442" customWidth="1"/>
    <col min="6147" max="6148" width="11.5703125" style="442" customWidth="1"/>
    <col min="6149" max="6150" width="8.7109375" style="442" customWidth="1"/>
    <col min="6151" max="6154" width="9.85546875" style="442" bestFit="1" customWidth="1"/>
    <col min="6155" max="6156" width="8.7109375" style="442" customWidth="1"/>
    <col min="6157" max="6157" width="10.7109375" style="442" customWidth="1"/>
    <col min="6158" max="6158" width="34.7109375" style="442" customWidth="1"/>
    <col min="6159" max="6160" width="11.28515625" style="442" customWidth="1"/>
    <col min="6161" max="6161" width="11.85546875" style="442" customWidth="1"/>
    <col min="6162" max="6164" width="11.28515625" style="442" customWidth="1"/>
    <col min="6165" max="6165" width="11.85546875" style="442" customWidth="1"/>
    <col min="6166" max="6400" width="9.140625" style="442"/>
    <col min="6401" max="6401" width="6.42578125" style="442" customWidth="1"/>
    <col min="6402" max="6402" width="30.7109375" style="442" customWidth="1"/>
    <col min="6403" max="6404" width="11.5703125" style="442" customWidth="1"/>
    <col min="6405" max="6406" width="8.7109375" style="442" customWidth="1"/>
    <col min="6407" max="6410" width="9.85546875" style="442" bestFit="1" customWidth="1"/>
    <col min="6411" max="6412" width="8.7109375" style="442" customWidth="1"/>
    <col min="6413" max="6413" width="10.7109375" style="442" customWidth="1"/>
    <col min="6414" max="6414" width="34.7109375" style="442" customWidth="1"/>
    <col min="6415" max="6416" width="11.28515625" style="442" customWidth="1"/>
    <col min="6417" max="6417" width="11.85546875" style="442" customWidth="1"/>
    <col min="6418" max="6420" width="11.28515625" style="442" customWidth="1"/>
    <col min="6421" max="6421" width="11.85546875" style="442" customWidth="1"/>
    <col min="6422" max="6656" width="9.140625" style="442"/>
    <col min="6657" max="6657" width="6.42578125" style="442" customWidth="1"/>
    <col min="6658" max="6658" width="30.7109375" style="442" customWidth="1"/>
    <col min="6659" max="6660" width="11.5703125" style="442" customWidth="1"/>
    <col min="6661" max="6662" width="8.7109375" style="442" customWidth="1"/>
    <col min="6663" max="6666" width="9.85546875" style="442" bestFit="1" customWidth="1"/>
    <col min="6667" max="6668" width="8.7109375" style="442" customWidth="1"/>
    <col min="6669" max="6669" width="10.7109375" style="442" customWidth="1"/>
    <col min="6670" max="6670" width="34.7109375" style="442" customWidth="1"/>
    <col min="6671" max="6672" width="11.28515625" style="442" customWidth="1"/>
    <col min="6673" max="6673" width="11.85546875" style="442" customWidth="1"/>
    <col min="6674" max="6676" width="11.28515625" style="442" customWidth="1"/>
    <col min="6677" max="6677" width="11.85546875" style="442" customWidth="1"/>
    <col min="6678" max="6912" width="9.140625" style="442"/>
    <col min="6913" max="6913" width="6.42578125" style="442" customWidth="1"/>
    <col min="6914" max="6914" width="30.7109375" style="442" customWidth="1"/>
    <col min="6915" max="6916" width="11.5703125" style="442" customWidth="1"/>
    <col min="6917" max="6918" width="8.7109375" style="442" customWidth="1"/>
    <col min="6919" max="6922" width="9.85546875" style="442" bestFit="1" customWidth="1"/>
    <col min="6923" max="6924" width="8.7109375" style="442" customWidth="1"/>
    <col min="6925" max="6925" width="10.7109375" style="442" customWidth="1"/>
    <col min="6926" max="6926" width="34.7109375" style="442" customWidth="1"/>
    <col min="6927" max="6928" width="11.28515625" style="442" customWidth="1"/>
    <col min="6929" max="6929" width="11.85546875" style="442" customWidth="1"/>
    <col min="6930" max="6932" width="11.28515625" style="442" customWidth="1"/>
    <col min="6933" max="6933" width="11.85546875" style="442" customWidth="1"/>
    <col min="6934" max="7168" width="9.140625" style="442"/>
    <col min="7169" max="7169" width="6.42578125" style="442" customWidth="1"/>
    <col min="7170" max="7170" width="30.7109375" style="442" customWidth="1"/>
    <col min="7171" max="7172" width="11.5703125" style="442" customWidth="1"/>
    <col min="7173" max="7174" width="8.7109375" style="442" customWidth="1"/>
    <col min="7175" max="7178" width="9.85546875" style="442" bestFit="1" customWidth="1"/>
    <col min="7179" max="7180" width="8.7109375" style="442" customWidth="1"/>
    <col min="7181" max="7181" width="10.7109375" style="442" customWidth="1"/>
    <col min="7182" max="7182" width="34.7109375" style="442" customWidth="1"/>
    <col min="7183" max="7184" width="11.28515625" style="442" customWidth="1"/>
    <col min="7185" max="7185" width="11.85546875" style="442" customWidth="1"/>
    <col min="7186" max="7188" width="11.28515625" style="442" customWidth="1"/>
    <col min="7189" max="7189" width="11.85546875" style="442" customWidth="1"/>
    <col min="7190" max="7424" width="9.140625" style="442"/>
    <col min="7425" max="7425" width="6.42578125" style="442" customWidth="1"/>
    <col min="7426" max="7426" width="30.7109375" style="442" customWidth="1"/>
    <col min="7427" max="7428" width="11.5703125" style="442" customWidth="1"/>
    <col min="7429" max="7430" width="8.7109375" style="442" customWidth="1"/>
    <col min="7431" max="7434" width="9.85546875" style="442" bestFit="1" customWidth="1"/>
    <col min="7435" max="7436" width="8.7109375" style="442" customWidth="1"/>
    <col min="7437" max="7437" width="10.7109375" style="442" customWidth="1"/>
    <col min="7438" max="7438" width="34.7109375" style="442" customWidth="1"/>
    <col min="7439" max="7440" width="11.28515625" style="442" customWidth="1"/>
    <col min="7441" max="7441" width="11.85546875" style="442" customWidth="1"/>
    <col min="7442" max="7444" width="11.28515625" style="442" customWidth="1"/>
    <col min="7445" max="7445" width="11.85546875" style="442" customWidth="1"/>
    <col min="7446" max="7680" width="9.140625" style="442"/>
    <col min="7681" max="7681" width="6.42578125" style="442" customWidth="1"/>
    <col min="7682" max="7682" width="30.7109375" style="442" customWidth="1"/>
    <col min="7683" max="7684" width="11.5703125" style="442" customWidth="1"/>
    <col min="7685" max="7686" width="8.7109375" style="442" customWidth="1"/>
    <col min="7687" max="7690" width="9.85546875" style="442" bestFit="1" customWidth="1"/>
    <col min="7691" max="7692" width="8.7109375" style="442" customWidth="1"/>
    <col min="7693" max="7693" width="10.7109375" style="442" customWidth="1"/>
    <col min="7694" max="7694" width="34.7109375" style="442" customWidth="1"/>
    <col min="7695" max="7696" width="11.28515625" style="442" customWidth="1"/>
    <col min="7697" max="7697" width="11.85546875" style="442" customWidth="1"/>
    <col min="7698" max="7700" width="11.28515625" style="442" customWidth="1"/>
    <col min="7701" max="7701" width="11.85546875" style="442" customWidth="1"/>
    <col min="7702" max="7936" width="9.140625" style="442"/>
    <col min="7937" max="7937" width="6.42578125" style="442" customWidth="1"/>
    <col min="7938" max="7938" width="30.7109375" style="442" customWidth="1"/>
    <col min="7939" max="7940" width="11.5703125" style="442" customWidth="1"/>
    <col min="7941" max="7942" width="8.7109375" style="442" customWidth="1"/>
    <col min="7943" max="7946" width="9.85546875" style="442" bestFit="1" customWidth="1"/>
    <col min="7947" max="7948" width="8.7109375" style="442" customWidth="1"/>
    <col min="7949" max="7949" width="10.7109375" style="442" customWidth="1"/>
    <col min="7950" max="7950" width="34.7109375" style="442" customWidth="1"/>
    <col min="7951" max="7952" width="11.28515625" style="442" customWidth="1"/>
    <col min="7953" max="7953" width="11.85546875" style="442" customWidth="1"/>
    <col min="7954" max="7956" width="11.28515625" style="442" customWidth="1"/>
    <col min="7957" max="7957" width="11.85546875" style="442" customWidth="1"/>
    <col min="7958" max="8192" width="9.140625" style="442"/>
    <col min="8193" max="8193" width="6.42578125" style="442" customWidth="1"/>
    <col min="8194" max="8194" width="30.7109375" style="442" customWidth="1"/>
    <col min="8195" max="8196" width="11.5703125" style="442" customWidth="1"/>
    <col min="8197" max="8198" width="8.7109375" style="442" customWidth="1"/>
    <col min="8199" max="8202" width="9.85546875" style="442" bestFit="1" customWidth="1"/>
    <col min="8203" max="8204" width="8.7109375" style="442" customWidth="1"/>
    <col min="8205" max="8205" width="10.7109375" style="442" customWidth="1"/>
    <col min="8206" max="8206" width="34.7109375" style="442" customWidth="1"/>
    <col min="8207" max="8208" width="11.28515625" style="442" customWidth="1"/>
    <col min="8209" max="8209" width="11.85546875" style="442" customWidth="1"/>
    <col min="8210" max="8212" width="11.28515625" style="442" customWidth="1"/>
    <col min="8213" max="8213" width="11.85546875" style="442" customWidth="1"/>
    <col min="8214" max="8448" width="9.140625" style="442"/>
    <col min="8449" max="8449" width="6.42578125" style="442" customWidth="1"/>
    <col min="8450" max="8450" width="30.7109375" style="442" customWidth="1"/>
    <col min="8451" max="8452" width="11.5703125" style="442" customWidth="1"/>
    <col min="8453" max="8454" width="8.7109375" style="442" customWidth="1"/>
    <col min="8455" max="8458" width="9.85546875" style="442" bestFit="1" customWidth="1"/>
    <col min="8459" max="8460" width="8.7109375" style="442" customWidth="1"/>
    <col min="8461" max="8461" width="10.7109375" style="442" customWidth="1"/>
    <col min="8462" max="8462" width="34.7109375" style="442" customWidth="1"/>
    <col min="8463" max="8464" width="11.28515625" style="442" customWidth="1"/>
    <col min="8465" max="8465" width="11.85546875" style="442" customWidth="1"/>
    <col min="8466" max="8468" width="11.28515625" style="442" customWidth="1"/>
    <col min="8469" max="8469" width="11.85546875" style="442" customWidth="1"/>
    <col min="8470" max="8704" width="9.140625" style="442"/>
    <col min="8705" max="8705" width="6.42578125" style="442" customWidth="1"/>
    <col min="8706" max="8706" width="30.7109375" style="442" customWidth="1"/>
    <col min="8707" max="8708" width="11.5703125" style="442" customWidth="1"/>
    <col min="8709" max="8710" width="8.7109375" style="442" customWidth="1"/>
    <col min="8711" max="8714" width="9.85546875" style="442" bestFit="1" customWidth="1"/>
    <col min="8715" max="8716" width="8.7109375" style="442" customWidth="1"/>
    <col min="8717" max="8717" width="10.7109375" style="442" customWidth="1"/>
    <col min="8718" max="8718" width="34.7109375" style="442" customWidth="1"/>
    <col min="8719" max="8720" width="11.28515625" style="442" customWidth="1"/>
    <col min="8721" max="8721" width="11.85546875" style="442" customWidth="1"/>
    <col min="8722" max="8724" width="11.28515625" style="442" customWidth="1"/>
    <col min="8725" max="8725" width="11.85546875" style="442" customWidth="1"/>
    <col min="8726" max="8960" width="9.140625" style="442"/>
    <col min="8961" max="8961" width="6.42578125" style="442" customWidth="1"/>
    <col min="8962" max="8962" width="30.7109375" style="442" customWidth="1"/>
    <col min="8963" max="8964" width="11.5703125" style="442" customWidth="1"/>
    <col min="8965" max="8966" width="8.7109375" style="442" customWidth="1"/>
    <col min="8967" max="8970" width="9.85546875" style="442" bestFit="1" customWidth="1"/>
    <col min="8971" max="8972" width="8.7109375" style="442" customWidth="1"/>
    <col min="8973" max="8973" width="10.7109375" style="442" customWidth="1"/>
    <col min="8974" max="8974" width="34.7109375" style="442" customWidth="1"/>
    <col min="8975" max="8976" width="11.28515625" style="442" customWidth="1"/>
    <col min="8977" max="8977" width="11.85546875" style="442" customWidth="1"/>
    <col min="8978" max="8980" width="11.28515625" style="442" customWidth="1"/>
    <col min="8981" max="8981" width="11.85546875" style="442" customWidth="1"/>
    <col min="8982" max="9216" width="9.140625" style="442"/>
    <col min="9217" max="9217" width="6.42578125" style="442" customWidth="1"/>
    <col min="9218" max="9218" width="30.7109375" style="442" customWidth="1"/>
    <col min="9219" max="9220" width="11.5703125" style="442" customWidth="1"/>
    <col min="9221" max="9222" width="8.7109375" style="442" customWidth="1"/>
    <col min="9223" max="9226" width="9.85546875" style="442" bestFit="1" customWidth="1"/>
    <col min="9227" max="9228" width="8.7109375" style="442" customWidth="1"/>
    <col min="9229" max="9229" width="10.7109375" style="442" customWidth="1"/>
    <col min="9230" max="9230" width="34.7109375" style="442" customWidth="1"/>
    <col min="9231" max="9232" width="11.28515625" style="442" customWidth="1"/>
    <col min="9233" max="9233" width="11.85546875" style="442" customWidth="1"/>
    <col min="9234" max="9236" width="11.28515625" style="442" customWidth="1"/>
    <col min="9237" max="9237" width="11.85546875" style="442" customWidth="1"/>
    <col min="9238" max="9472" width="9.140625" style="442"/>
    <col min="9473" max="9473" width="6.42578125" style="442" customWidth="1"/>
    <col min="9474" max="9474" width="30.7109375" style="442" customWidth="1"/>
    <col min="9475" max="9476" width="11.5703125" style="442" customWidth="1"/>
    <col min="9477" max="9478" width="8.7109375" style="442" customWidth="1"/>
    <col min="9479" max="9482" width="9.85546875" style="442" bestFit="1" customWidth="1"/>
    <col min="9483" max="9484" width="8.7109375" style="442" customWidth="1"/>
    <col min="9485" max="9485" width="10.7109375" style="442" customWidth="1"/>
    <col min="9486" max="9486" width="34.7109375" style="442" customWidth="1"/>
    <col min="9487" max="9488" width="11.28515625" style="442" customWidth="1"/>
    <col min="9489" max="9489" width="11.85546875" style="442" customWidth="1"/>
    <col min="9490" max="9492" width="11.28515625" style="442" customWidth="1"/>
    <col min="9493" max="9493" width="11.85546875" style="442" customWidth="1"/>
    <col min="9494" max="9728" width="9.140625" style="442"/>
    <col min="9729" max="9729" width="6.42578125" style="442" customWidth="1"/>
    <col min="9730" max="9730" width="30.7109375" style="442" customWidth="1"/>
    <col min="9731" max="9732" width="11.5703125" style="442" customWidth="1"/>
    <col min="9733" max="9734" width="8.7109375" style="442" customWidth="1"/>
    <col min="9735" max="9738" width="9.85546875" style="442" bestFit="1" customWidth="1"/>
    <col min="9739" max="9740" width="8.7109375" style="442" customWidth="1"/>
    <col min="9741" max="9741" width="10.7109375" style="442" customWidth="1"/>
    <col min="9742" max="9742" width="34.7109375" style="442" customWidth="1"/>
    <col min="9743" max="9744" width="11.28515625" style="442" customWidth="1"/>
    <col min="9745" max="9745" width="11.85546875" style="442" customWidth="1"/>
    <col min="9746" max="9748" width="11.28515625" style="442" customWidth="1"/>
    <col min="9749" max="9749" width="11.85546875" style="442" customWidth="1"/>
    <col min="9750" max="9984" width="9.140625" style="442"/>
    <col min="9985" max="9985" width="6.42578125" style="442" customWidth="1"/>
    <col min="9986" max="9986" width="30.7109375" style="442" customWidth="1"/>
    <col min="9987" max="9988" width="11.5703125" style="442" customWidth="1"/>
    <col min="9989" max="9990" width="8.7109375" style="442" customWidth="1"/>
    <col min="9991" max="9994" width="9.85546875" style="442" bestFit="1" customWidth="1"/>
    <col min="9995" max="9996" width="8.7109375" style="442" customWidth="1"/>
    <col min="9997" max="9997" width="10.7109375" style="442" customWidth="1"/>
    <col min="9998" max="9998" width="34.7109375" style="442" customWidth="1"/>
    <col min="9999" max="10000" width="11.28515625" style="442" customWidth="1"/>
    <col min="10001" max="10001" width="11.85546875" style="442" customWidth="1"/>
    <col min="10002" max="10004" width="11.28515625" style="442" customWidth="1"/>
    <col min="10005" max="10005" width="11.85546875" style="442" customWidth="1"/>
    <col min="10006" max="10240" width="9.140625" style="442"/>
    <col min="10241" max="10241" width="6.42578125" style="442" customWidth="1"/>
    <col min="10242" max="10242" width="30.7109375" style="442" customWidth="1"/>
    <col min="10243" max="10244" width="11.5703125" style="442" customWidth="1"/>
    <col min="10245" max="10246" width="8.7109375" style="442" customWidth="1"/>
    <col min="10247" max="10250" width="9.85546875" style="442" bestFit="1" customWidth="1"/>
    <col min="10251" max="10252" width="8.7109375" style="442" customWidth="1"/>
    <col min="10253" max="10253" width="10.7109375" style="442" customWidth="1"/>
    <col min="10254" max="10254" width="34.7109375" style="442" customWidth="1"/>
    <col min="10255" max="10256" width="11.28515625" style="442" customWidth="1"/>
    <col min="10257" max="10257" width="11.85546875" style="442" customWidth="1"/>
    <col min="10258" max="10260" width="11.28515625" style="442" customWidth="1"/>
    <col min="10261" max="10261" width="11.85546875" style="442" customWidth="1"/>
    <col min="10262" max="10496" width="9.140625" style="442"/>
    <col min="10497" max="10497" width="6.42578125" style="442" customWidth="1"/>
    <col min="10498" max="10498" width="30.7109375" style="442" customWidth="1"/>
    <col min="10499" max="10500" width="11.5703125" style="442" customWidth="1"/>
    <col min="10501" max="10502" width="8.7109375" style="442" customWidth="1"/>
    <col min="10503" max="10506" width="9.85546875" style="442" bestFit="1" customWidth="1"/>
    <col min="10507" max="10508" width="8.7109375" style="442" customWidth="1"/>
    <col min="10509" max="10509" width="10.7109375" style="442" customWidth="1"/>
    <col min="10510" max="10510" width="34.7109375" style="442" customWidth="1"/>
    <col min="10511" max="10512" width="11.28515625" style="442" customWidth="1"/>
    <col min="10513" max="10513" width="11.85546875" style="442" customWidth="1"/>
    <col min="10514" max="10516" width="11.28515625" style="442" customWidth="1"/>
    <col min="10517" max="10517" width="11.85546875" style="442" customWidth="1"/>
    <col min="10518" max="10752" width="9.140625" style="442"/>
    <col min="10753" max="10753" width="6.42578125" style="442" customWidth="1"/>
    <col min="10754" max="10754" width="30.7109375" style="442" customWidth="1"/>
    <col min="10755" max="10756" width="11.5703125" style="442" customWidth="1"/>
    <col min="10757" max="10758" width="8.7109375" style="442" customWidth="1"/>
    <col min="10759" max="10762" width="9.85546875" style="442" bestFit="1" customWidth="1"/>
    <col min="10763" max="10764" width="8.7109375" style="442" customWidth="1"/>
    <col min="10765" max="10765" width="10.7109375" style="442" customWidth="1"/>
    <col min="10766" max="10766" width="34.7109375" style="442" customWidth="1"/>
    <col min="10767" max="10768" width="11.28515625" style="442" customWidth="1"/>
    <col min="10769" max="10769" width="11.85546875" style="442" customWidth="1"/>
    <col min="10770" max="10772" width="11.28515625" style="442" customWidth="1"/>
    <col min="10773" max="10773" width="11.85546875" style="442" customWidth="1"/>
    <col min="10774" max="11008" width="9.140625" style="442"/>
    <col min="11009" max="11009" width="6.42578125" style="442" customWidth="1"/>
    <col min="11010" max="11010" width="30.7109375" style="442" customWidth="1"/>
    <col min="11011" max="11012" width="11.5703125" style="442" customWidth="1"/>
    <col min="11013" max="11014" width="8.7109375" style="442" customWidth="1"/>
    <col min="11015" max="11018" width="9.85546875" style="442" bestFit="1" customWidth="1"/>
    <col min="11019" max="11020" width="8.7109375" style="442" customWidth="1"/>
    <col min="11021" max="11021" width="10.7109375" style="442" customWidth="1"/>
    <col min="11022" max="11022" width="34.7109375" style="442" customWidth="1"/>
    <col min="11023" max="11024" width="11.28515625" style="442" customWidth="1"/>
    <col min="11025" max="11025" width="11.85546875" style="442" customWidth="1"/>
    <col min="11026" max="11028" width="11.28515625" style="442" customWidth="1"/>
    <col min="11029" max="11029" width="11.85546875" style="442" customWidth="1"/>
    <col min="11030" max="11264" width="9.140625" style="442"/>
    <col min="11265" max="11265" width="6.42578125" style="442" customWidth="1"/>
    <col min="11266" max="11266" width="30.7109375" style="442" customWidth="1"/>
    <col min="11267" max="11268" width="11.5703125" style="442" customWidth="1"/>
    <col min="11269" max="11270" width="8.7109375" style="442" customWidth="1"/>
    <col min="11271" max="11274" width="9.85546875" style="442" bestFit="1" customWidth="1"/>
    <col min="11275" max="11276" width="8.7109375" style="442" customWidth="1"/>
    <col min="11277" max="11277" width="10.7109375" style="442" customWidth="1"/>
    <col min="11278" max="11278" width="34.7109375" style="442" customWidth="1"/>
    <col min="11279" max="11280" width="11.28515625" style="442" customWidth="1"/>
    <col min="11281" max="11281" width="11.85546875" style="442" customWidth="1"/>
    <col min="11282" max="11284" width="11.28515625" style="442" customWidth="1"/>
    <col min="11285" max="11285" width="11.85546875" style="442" customWidth="1"/>
    <col min="11286" max="11520" width="9.140625" style="442"/>
    <col min="11521" max="11521" width="6.42578125" style="442" customWidth="1"/>
    <col min="11522" max="11522" width="30.7109375" style="442" customWidth="1"/>
    <col min="11523" max="11524" width="11.5703125" style="442" customWidth="1"/>
    <col min="11525" max="11526" width="8.7109375" style="442" customWidth="1"/>
    <col min="11527" max="11530" width="9.85546875" style="442" bestFit="1" customWidth="1"/>
    <col min="11531" max="11532" width="8.7109375" style="442" customWidth="1"/>
    <col min="11533" max="11533" width="10.7109375" style="442" customWidth="1"/>
    <col min="11534" max="11534" width="34.7109375" style="442" customWidth="1"/>
    <col min="11535" max="11536" width="11.28515625" style="442" customWidth="1"/>
    <col min="11537" max="11537" width="11.85546875" style="442" customWidth="1"/>
    <col min="11538" max="11540" width="11.28515625" style="442" customWidth="1"/>
    <col min="11541" max="11541" width="11.85546875" style="442" customWidth="1"/>
    <col min="11542" max="11776" width="9.140625" style="442"/>
    <col min="11777" max="11777" width="6.42578125" style="442" customWidth="1"/>
    <col min="11778" max="11778" width="30.7109375" style="442" customWidth="1"/>
    <col min="11779" max="11780" width="11.5703125" style="442" customWidth="1"/>
    <col min="11781" max="11782" width="8.7109375" style="442" customWidth="1"/>
    <col min="11783" max="11786" width="9.85546875" style="442" bestFit="1" customWidth="1"/>
    <col min="11787" max="11788" width="8.7109375" style="442" customWidth="1"/>
    <col min="11789" max="11789" width="10.7109375" style="442" customWidth="1"/>
    <col min="11790" max="11790" width="34.7109375" style="442" customWidth="1"/>
    <col min="11791" max="11792" width="11.28515625" style="442" customWidth="1"/>
    <col min="11793" max="11793" width="11.85546875" style="442" customWidth="1"/>
    <col min="11794" max="11796" width="11.28515625" style="442" customWidth="1"/>
    <col min="11797" max="11797" width="11.85546875" style="442" customWidth="1"/>
    <col min="11798" max="12032" width="9.140625" style="442"/>
    <col min="12033" max="12033" width="6.42578125" style="442" customWidth="1"/>
    <col min="12034" max="12034" width="30.7109375" style="442" customWidth="1"/>
    <col min="12035" max="12036" width="11.5703125" style="442" customWidth="1"/>
    <col min="12037" max="12038" width="8.7109375" style="442" customWidth="1"/>
    <col min="12039" max="12042" width="9.85546875" style="442" bestFit="1" customWidth="1"/>
    <col min="12043" max="12044" width="8.7109375" style="442" customWidth="1"/>
    <col min="12045" max="12045" width="10.7109375" style="442" customWidth="1"/>
    <col min="12046" max="12046" width="34.7109375" style="442" customWidth="1"/>
    <col min="12047" max="12048" width="11.28515625" style="442" customWidth="1"/>
    <col min="12049" max="12049" width="11.85546875" style="442" customWidth="1"/>
    <col min="12050" max="12052" width="11.28515625" style="442" customWidth="1"/>
    <col min="12053" max="12053" width="11.85546875" style="442" customWidth="1"/>
    <col min="12054" max="12288" width="9.140625" style="442"/>
    <col min="12289" max="12289" width="6.42578125" style="442" customWidth="1"/>
    <col min="12290" max="12290" width="30.7109375" style="442" customWidth="1"/>
    <col min="12291" max="12292" width="11.5703125" style="442" customWidth="1"/>
    <col min="12293" max="12294" width="8.7109375" style="442" customWidth="1"/>
    <col min="12295" max="12298" width="9.85546875" style="442" bestFit="1" customWidth="1"/>
    <col min="12299" max="12300" width="8.7109375" style="442" customWidth="1"/>
    <col min="12301" max="12301" width="10.7109375" style="442" customWidth="1"/>
    <col min="12302" max="12302" width="34.7109375" style="442" customWidth="1"/>
    <col min="12303" max="12304" width="11.28515625" style="442" customWidth="1"/>
    <col min="12305" max="12305" width="11.85546875" style="442" customWidth="1"/>
    <col min="12306" max="12308" width="11.28515625" style="442" customWidth="1"/>
    <col min="12309" max="12309" width="11.85546875" style="442" customWidth="1"/>
    <col min="12310" max="12544" width="9.140625" style="442"/>
    <col min="12545" max="12545" width="6.42578125" style="442" customWidth="1"/>
    <col min="12546" max="12546" width="30.7109375" style="442" customWidth="1"/>
    <col min="12547" max="12548" width="11.5703125" style="442" customWidth="1"/>
    <col min="12549" max="12550" width="8.7109375" style="442" customWidth="1"/>
    <col min="12551" max="12554" width="9.85546875" style="442" bestFit="1" customWidth="1"/>
    <col min="12555" max="12556" width="8.7109375" style="442" customWidth="1"/>
    <col min="12557" max="12557" width="10.7109375" style="442" customWidth="1"/>
    <col min="12558" max="12558" width="34.7109375" style="442" customWidth="1"/>
    <col min="12559" max="12560" width="11.28515625" style="442" customWidth="1"/>
    <col min="12561" max="12561" width="11.85546875" style="442" customWidth="1"/>
    <col min="12562" max="12564" width="11.28515625" style="442" customWidth="1"/>
    <col min="12565" max="12565" width="11.85546875" style="442" customWidth="1"/>
    <col min="12566" max="12800" width="9.140625" style="442"/>
    <col min="12801" max="12801" width="6.42578125" style="442" customWidth="1"/>
    <col min="12802" max="12802" width="30.7109375" style="442" customWidth="1"/>
    <col min="12803" max="12804" width="11.5703125" style="442" customWidth="1"/>
    <col min="12805" max="12806" width="8.7109375" style="442" customWidth="1"/>
    <col min="12807" max="12810" width="9.85546875" style="442" bestFit="1" customWidth="1"/>
    <col min="12811" max="12812" width="8.7109375" style="442" customWidth="1"/>
    <col min="12813" max="12813" width="10.7109375" style="442" customWidth="1"/>
    <col min="12814" max="12814" width="34.7109375" style="442" customWidth="1"/>
    <col min="12815" max="12816" width="11.28515625" style="442" customWidth="1"/>
    <col min="12817" max="12817" width="11.85546875" style="442" customWidth="1"/>
    <col min="12818" max="12820" width="11.28515625" style="442" customWidth="1"/>
    <col min="12821" max="12821" width="11.85546875" style="442" customWidth="1"/>
    <col min="12822" max="13056" width="9.140625" style="442"/>
    <col min="13057" max="13057" width="6.42578125" style="442" customWidth="1"/>
    <col min="13058" max="13058" width="30.7109375" style="442" customWidth="1"/>
    <col min="13059" max="13060" width="11.5703125" style="442" customWidth="1"/>
    <col min="13061" max="13062" width="8.7109375" style="442" customWidth="1"/>
    <col min="13063" max="13066" width="9.85546875" style="442" bestFit="1" customWidth="1"/>
    <col min="13067" max="13068" width="8.7109375" style="442" customWidth="1"/>
    <col min="13069" max="13069" width="10.7109375" style="442" customWidth="1"/>
    <col min="13070" max="13070" width="34.7109375" style="442" customWidth="1"/>
    <col min="13071" max="13072" width="11.28515625" style="442" customWidth="1"/>
    <col min="13073" max="13073" width="11.85546875" style="442" customWidth="1"/>
    <col min="13074" max="13076" width="11.28515625" style="442" customWidth="1"/>
    <col min="13077" max="13077" width="11.85546875" style="442" customWidth="1"/>
    <col min="13078" max="13312" width="9.140625" style="442"/>
    <col min="13313" max="13313" width="6.42578125" style="442" customWidth="1"/>
    <col min="13314" max="13314" width="30.7109375" style="442" customWidth="1"/>
    <col min="13315" max="13316" width="11.5703125" style="442" customWidth="1"/>
    <col min="13317" max="13318" width="8.7109375" style="442" customWidth="1"/>
    <col min="13319" max="13322" width="9.85546875" style="442" bestFit="1" customWidth="1"/>
    <col min="13323" max="13324" width="8.7109375" style="442" customWidth="1"/>
    <col min="13325" max="13325" width="10.7109375" style="442" customWidth="1"/>
    <col min="13326" max="13326" width="34.7109375" style="442" customWidth="1"/>
    <col min="13327" max="13328" width="11.28515625" style="442" customWidth="1"/>
    <col min="13329" max="13329" width="11.85546875" style="442" customWidth="1"/>
    <col min="13330" max="13332" width="11.28515625" style="442" customWidth="1"/>
    <col min="13333" max="13333" width="11.85546875" style="442" customWidth="1"/>
    <col min="13334" max="13568" width="9.140625" style="442"/>
    <col min="13569" max="13569" width="6.42578125" style="442" customWidth="1"/>
    <col min="13570" max="13570" width="30.7109375" style="442" customWidth="1"/>
    <col min="13571" max="13572" width="11.5703125" style="442" customWidth="1"/>
    <col min="13573" max="13574" width="8.7109375" style="442" customWidth="1"/>
    <col min="13575" max="13578" width="9.85546875" style="442" bestFit="1" customWidth="1"/>
    <col min="13579" max="13580" width="8.7109375" style="442" customWidth="1"/>
    <col min="13581" max="13581" width="10.7109375" style="442" customWidth="1"/>
    <col min="13582" max="13582" width="34.7109375" style="442" customWidth="1"/>
    <col min="13583" max="13584" width="11.28515625" style="442" customWidth="1"/>
    <col min="13585" max="13585" width="11.85546875" style="442" customWidth="1"/>
    <col min="13586" max="13588" width="11.28515625" style="442" customWidth="1"/>
    <col min="13589" max="13589" width="11.85546875" style="442" customWidth="1"/>
    <col min="13590" max="13824" width="9.140625" style="442"/>
    <col min="13825" max="13825" width="6.42578125" style="442" customWidth="1"/>
    <col min="13826" max="13826" width="30.7109375" style="442" customWidth="1"/>
    <col min="13827" max="13828" width="11.5703125" style="442" customWidth="1"/>
    <col min="13829" max="13830" width="8.7109375" style="442" customWidth="1"/>
    <col min="13831" max="13834" width="9.85546875" style="442" bestFit="1" customWidth="1"/>
    <col min="13835" max="13836" width="8.7109375" style="442" customWidth="1"/>
    <col min="13837" max="13837" width="10.7109375" style="442" customWidth="1"/>
    <col min="13838" max="13838" width="34.7109375" style="442" customWidth="1"/>
    <col min="13839" max="13840" width="11.28515625" style="442" customWidth="1"/>
    <col min="13841" max="13841" width="11.85546875" style="442" customWidth="1"/>
    <col min="13842" max="13844" width="11.28515625" style="442" customWidth="1"/>
    <col min="13845" max="13845" width="11.85546875" style="442" customWidth="1"/>
    <col min="13846" max="14080" width="9.140625" style="442"/>
    <col min="14081" max="14081" width="6.42578125" style="442" customWidth="1"/>
    <col min="14082" max="14082" width="30.7109375" style="442" customWidth="1"/>
    <col min="14083" max="14084" width="11.5703125" style="442" customWidth="1"/>
    <col min="14085" max="14086" width="8.7109375" style="442" customWidth="1"/>
    <col min="14087" max="14090" width="9.85546875" style="442" bestFit="1" customWidth="1"/>
    <col min="14091" max="14092" width="8.7109375" style="442" customWidth="1"/>
    <col min="14093" max="14093" width="10.7109375" style="442" customWidth="1"/>
    <col min="14094" max="14094" width="34.7109375" style="442" customWidth="1"/>
    <col min="14095" max="14096" width="11.28515625" style="442" customWidth="1"/>
    <col min="14097" max="14097" width="11.85546875" style="442" customWidth="1"/>
    <col min="14098" max="14100" width="11.28515625" style="442" customWidth="1"/>
    <col min="14101" max="14101" width="11.85546875" style="442" customWidth="1"/>
    <col min="14102" max="14336" width="9.140625" style="442"/>
    <col min="14337" max="14337" width="6.42578125" style="442" customWidth="1"/>
    <col min="14338" max="14338" width="30.7109375" style="442" customWidth="1"/>
    <col min="14339" max="14340" width="11.5703125" style="442" customWidth="1"/>
    <col min="14341" max="14342" width="8.7109375" style="442" customWidth="1"/>
    <col min="14343" max="14346" width="9.85546875" style="442" bestFit="1" customWidth="1"/>
    <col min="14347" max="14348" width="8.7109375" style="442" customWidth="1"/>
    <col min="14349" max="14349" width="10.7109375" style="442" customWidth="1"/>
    <col min="14350" max="14350" width="34.7109375" style="442" customWidth="1"/>
    <col min="14351" max="14352" width="11.28515625" style="442" customWidth="1"/>
    <col min="14353" max="14353" width="11.85546875" style="442" customWidth="1"/>
    <col min="14354" max="14356" width="11.28515625" style="442" customWidth="1"/>
    <col min="14357" max="14357" width="11.85546875" style="442" customWidth="1"/>
    <col min="14358" max="14592" width="9.140625" style="442"/>
    <col min="14593" max="14593" width="6.42578125" style="442" customWidth="1"/>
    <col min="14594" max="14594" width="30.7109375" style="442" customWidth="1"/>
    <col min="14595" max="14596" width="11.5703125" style="442" customWidth="1"/>
    <col min="14597" max="14598" width="8.7109375" style="442" customWidth="1"/>
    <col min="14599" max="14602" width="9.85546875" style="442" bestFit="1" customWidth="1"/>
    <col min="14603" max="14604" width="8.7109375" style="442" customWidth="1"/>
    <col min="14605" max="14605" width="10.7109375" style="442" customWidth="1"/>
    <col min="14606" max="14606" width="34.7109375" style="442" customWidth="1"/>
    <col min="14607" max="14608" width="11.28515625" style="442" customWidth="1"/>
    <col min="14609" max="14609" width="11.85546875" style="442" customWidth="1"/>
    <col min="14610" max="14612" width="11.28515625" style="442" customWidth="1"/>
    <col min="14613" max="14613" width="11.85546875" style="442" customWidth="1"/>
    <col min="14614" max="14848" width="9.140625" style="442"/>
    <col min="14849" max="14849" width="6.42578125" style="442" customWidth="1"/>
    <col min="14850" max="14850" width="30.7109375" style="442" customWidth="1"/>
    <col min="14851" max="14852" width="11.5703125" style="442" customWidth="1"/>
    <col min="14853" max="14854" width="8.7109375" style="442" customWidth="1"/>
    <col min="14855" max="14858" width="9.85546875" style="442" bestFit="1" customWidth="1"/>
    <col min="14859" max="14860" width="8.7109375" style="442" customWidth="1"/>
    <col min="14861" max="14861" width="10.7109375" style="442" customWidth="1"/>
    <col min="14862" max="14862" width="34.7109375" style="442" customWidth="1"/>
    <col min="14863" max="14864" width="11.28515625" style="442" customWidth="1"/>
    <col min="14865" max="14865" width="11.85546875" style="442" customWidth="1"/>
    <col min="14866" max="14868" width="11.28515625" style="442" customWidth="1"/>
    <col min="14869" max="14869" width="11.85546875" style="442" customWidth="1"/>
    <col min="14870" max="15104" width="9.140625" style="442"/>
    <col min="15105" max="15105" width="6.42578125" style="442" customWidth="1"/>
    <col min="15106" max="15106" width="30.7109375" style="442" customWidth="1"/>
    <col min="15107" max="15108" width="11.5703125" style="442" customWidth="1"/>
    <col min="15109" max="15110" width="8.7109375" style="442" customWidth="1"/>
    <col min="15111" max="15114" width="9.85546875" style="442" bestFit="1" customWidth="1"/>
    <col min="15115" max="15116" width="8.7109375" style="442" customWidth="1"/>
    <col min="15117" max="15117" width="10.7109375" style="442" customWidth="1"/>
    <col min="15118" max="15118" width="34.7109375" style="442" customWidth="1"/>
    <col min="15119" max="15120" width="11.28515625" style="442" customWidth="1"/>
    <col min="15121" max="15121" width="11.85546875" style="442" customWidth="1"/>
    <col min="15122" max="15124" width="11.28515625" style="442" customWidth="1"/>
    <col min="15125" max="15125" width="11.85546875" style="442" customWidth="1"/>
    <col min="15126" max="15360" width="9.140625" style="442"/>
    <col min="15361" max="15361" width="6.42578125" style="442" customWidth="1"/>
    <col min="15362" max="15362" width="30.7109375" style="442" customWidth="1"/>
    <col min="15363" max="15364" width="11.5703125" style="442" customWidth="1"/>
    <col min="15365" max="15366" width="8.7109375" style="442" customWidth="1"/>
    <col min="15367" max="15370" width="9.85546875" style="442" bestFit="1" customWidth="1"/>
    <col min="15371" max="15372" width="8.7109375" style="442" customWidth="1"/>
    <col min="15373" max="15373" width="10.7109375" style="442" customWidth="1"/>
    <col min="15374" max="15374" width="34.7109375" style="442" customWidth="1"/>
    <col min="15375" max="15376" width="11.28515625" style="442" customWidth="1"/>
    <col min="15377" max="15377" width="11.85546875" style="442" customWidth="1"/>
    <col min="15378" max="15380" width="11.28515625" style="442" customWidth="1"/>
    <col min="15381" max="15381" width="11.85546875" style="442" customWidth="1"/>
    <col min="15382" max="15616" width="9.140625" style="442"/>
    <col min="15617" max="15617" width="6.42578125" style="442" customWidth="1"/>
    <col min="15618" max="15618" width="30.7109375" style="442" customWidth="1"/>
    <col min="15619" max="15620" width="11.5703125" style="442" customWidth="1"/>
    <col min="15621" max="15622" width="8.7109375" style="442" customWidth="1"/>
    <col min="15623" max="15626" width="9.85546875" style="442" bestFit="1" customWidth="1"/>
    <col min="15627" max="15628" width="8.7109375" style="442" customWidth="1"/>
    <col min="15629" max="15629" width="10.7109375" style="442" customWidth="1"/>
    <col min="15630" max="15630" width="34.7109375" style="442" customWidth="1"/>
    <col min="15631" max="15632" width="11.28515625" style="442" customWidth="1"/>
    <col min="15633" max="15633" width="11.85546875" style="442" customWidth="1"/>
    <col min="15634" max="15636" width="11.28515625" style="442" customWidth="1"/>
    <col min="15637" max="15637" width="11.85546875" style="442" customWidth="1"/>
    <col min="15638" max="15872" width="9.140625" style="442"/>
    <col min="15873" max="15873" width="6.42578125" style="442" customWidth="1"/>
    <col min="15874" max="15874" width="30.7109375" style="442" customWidth="1"/>
    <col min="15875" max="15876" width="11.5703125" style="442" customWidth="1"/>
    <col min="15877" max="15878" width="8.7109375" style="442" customWidth="1"/>
    <col min="15879" max="15882" width="9.85546875" style="442" bestFit="1" customWidth="1"/>
    <col min="15883" max="15884" width="8.7109375" style="442" customWidth="1"/>
    <col min="15885" max="15885" width="10.7109375" style="442" customWidth="1"/>
    <col min="15886" max="15886" width="34.7109375" style="442" customWidth="1"/>
    <col min="15887" max="15888" width="11.28515625" style="442" customWidth="1"/>
    <col min="15889" max="15889" width="11.85546875" style="442" customWidth="1"/>
    <col min="15890" max="15892" width="11.28515625" style="442" customWidth="1"/>
    <col min="15893" max="15893" width="11.85546875" style="442" customWidth="1"/>
    <col min="15894" max="16128" width="9.140625" style="442"/>
    <col min="16129" max="16129" width="6.42578125" style="442" customWidth="1"/>
    <col min="16130" max="16130" width="30.7109375" style="442" customWidth="1"/>
    <col min="16131" max="16132" width="11.5703125" style="442" customWidth="1"/>
    <col min="16133" max="16134" width="8.7109375" style="442" customWidth="1"/>
    <col min="16135" max="16138" width="9.85546875" style="442" bestFit="1" customWidth="1"/>
    <col min="16139" max="16140" width="8.7109375" style="442" customWidth="1"/>
    <col min="16141" max="16141" width="10.7109375" style="442" customWidth="1"/>
    <col min="16142" max="16142" width="34.7109375" style="442" customWidth="1"/>
    <col min="16143" max="16144" width="11.28515625" style="442" customWidth="1"/>
    <col min="16145" max="16145" width="11.85546875" style="442" customWidth="1"/>
    <col min="16146" max="16148" width="11.28515625" style="442" customWidth="1"/>
    <col min="16149" max="16149" width="11.85546875" style="442" customWidth="1"/>
    <col min="16150" max="16384" width="9.140625" style="442"/>
  </cols>
  <sheetData>
    <row r="1" spans="1:21" ht="12.75" customHeight="1" x14ac:dyDescent="0.25">
      <c r="A1" s="577" t="s">
        <v>1012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</row>
    <row r="2" spans="1:21" ht="12.75" customHeight="1" x14ac:dyDescent="0.25">
      <c r="A2" s="445"/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208"/>
    </row>
    <row r="3" spans="1:21" ht="12.75" customHeight="1" x14ac:dyDescent="0.2">
      <c r="A3" s="446"/>
      <c r="B3" s="447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</row>
    <row r="4" spans="1:21" ht="12.75" customHeight="1" x14ac:dyDescent="0.2">
      <c r="A4" s="590" t="s">
        <v>872</v>
      </c>
      <c r="B4" s="590"/>
      <c r="C4" s="590"/>
      <c r="D4" s="590"/>
      <c r="E4" s="590"/>
      <c r="F4" s="590"/>
      <c r="G4" s="590"/>
      <c r="H4" s="590"/>
      <c r="I4" s="590"/>
      <c r="J4" s="590"/>
      <c r="K4" s="590"/>
      <c r="L4" s="590"/>
      <c r="M4" s="590"/>
    </row>
    <row r="5" spans="1:21" ht="12.75" customHeight="1" x14ac:dyDescent="0.2">
      <c r="A5" s="446"/>
      <c r="B5" s="447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U5" s="448"/>
    </row>
    <row r="6" spans="1:21" ht="12.75" customHeight="1" x14ac:dyDescent="0.2">
      <c r="A6" s="449"/>
      <c r="B6" s="450"/>
      <c r="C6" s="451"/>
      <c r="D6" s="451"/>
      <c r="E6" s="451"/>
      <c r="F6" s="451"/>
      <c r="G6" s="451"/>
      <c r="H6" s="451"/>
      <c r="I6" s="451"/>
      <c r="J6" s="451"/>
      <c r="K6" s="452"/>
      <c r="L6" s="451"/>
      <c r="M6" s="451"/>
      <c r="N6" s="444"/>
      <c r="T6" s="442"/>
    </row>
    <row r="7" spans="1:21" ht="12.75" customHeight="1" x14ac:dyDescent="0.2">
      <c r="A7" s="591" t="s">
        <v>873</v>
      </c>
      <c r="B7" s="591"/>
      <c r="C7" s="591"/>
      <c r="D7" s="591"/>
      <c r="E7" s="591"/>
      <c r="F7" s="591"/>
      <c r="G7" s="591"/>
      <c r="H7" s="591"/>
      <c r="I7" s="591"/>
      <c r="J7" s="591"/>
      <c r="K7" s="591"/>
      <c r="L7" s="591"/>
      <c r="M7" s="591"/>
    </row>
    <row r="8" spans="1:21" ht="12.75" customHeight="1" x14ac:dyDescent="0.2">
      <c r="A8" s="451"/>
      <c r="B8" s="450"/>
      <c r="C8" s="451"/>
      <c r="D8" s="451"/>
      <c r="E8" s="451"/>
      <c r="F8" s="451"/>
      <c r="G8" s="451"/>
      <c r="H8" s="451"/>
      <c r="I8" s="451"/>
      <c r="J8" s="451"/>
      <c r="K8" s="451"/>
      <c r="L8" s="452"/>
      <c r="M8" s="453" t="s">
        <v>203</v>
      </c>
    </row>
    <row r="9" spans="1:21" ht="35.25" customHeight="1" x14ac:dyDescent="0.2">
      <c r="A9" s="454" t="s">
        <v>874</v>
      </c>
      <c r="B9" s="455" t="s">
        <v>875</v>
      </c>
      <c r="C9" s="455" t="s">
        <v>876</v>
      </c>
      <c r="D9" s="455" t="s">
        <v>877</v>
      </c>
      <c r="E9" s="456" t="s">
        <v>204</v>
      </c>
      <c r="F9" s="454" t="s">
        <v>878</v>
      </c>
      <c r="G9" s="456" t="s">
        <v>879</v>
      </c>
      <c r="H9" s="454" t="s">
        <v>880</v>
      </c>
      <c r="I9" s="456" t="s">
        <v>881</v>
      </c>
      <c r="J9" s="454" t="s">
        <v>882</v>
      </c>
      <c r="K9" s="456" t="s">
        <v>883</v>
      </c>
      <c r="L9" s="454" t="s">
        <v>884</v>
      </c>
      <c r="M9" s="457" t="s">
        <v>164</v>
      </c>
      <c r="O9" s="442"/>
      <c r="P9" s="442"/>
      <c r="Q9" s="442"/>
      <c r="R9" s="442"/>
      <c r="S9" s="442"/>
      <c r="T9" s="442"/>
    </row>
    <row r="10" spans="1:21" x14ac:dyDescent="0.2">
      <c r="A10" s="458" t="s">
        <v>885</v>
      </c>
      <c r="B10" s="459"/>
      <c r="C10" s="460"/>
      <c r="D10" s="460"/>
      <c r="E10" s="460"/>
      <c r="F10" s="460"/>
      <c r="G10" s="461"/>
      <c r="H10" s="461"/>
      <c r="I10" s="461"/>
      <c r="J10" s="461"/>
      <c r="K10" s="462"/>
      <c r="L10" s="461"/>
      <c r="M10" s="460">
        <f>SUM(E10:L10)</f>
        <v>0</v>
      </c>
      <c r="O10" s="442"/>
      <c r="P10" s="442"/>
      <c r="Q10" s="442"/>
      <c r="R10" s="442"/>
      <c r="S10" s="442"/>
      <c r="T10" s="442"/>
    </row>
    <row r="11" spans="1:21" x14ac:dyDescent="0.2">
      <c r="A11" s="458" t="s">
        <v>886</v>
      </c>
      <c r="B11" s="459"/>
      <c r="C11" s="460"/>
      <c r="D11" s="460"/>
      <c r="E11" s="460"/>
      <c r="F11" s="460"/>
      <c r="G11" s="461"/>
      <c r="H11" s="461"/>
      <c r="I11" s="461"/>
      <c r="J11" s="461"/>
      <c r="K11" s="462"/>
      <c r="L11" s="461"/>
      <c r="M11" s="460">
        <f>SUM(E11:L11)</f>
        <v>0</v>
      </c>
      <c r="O11" s="442"/>
      <c r="P11" s="442"/>
      <c r="Q11" s="442"/>
      <c r="R11" s="442"/>
      <c r="S11" s="442"/>
      <c r="T11" s="442"/>
    </row>
    <row r="12" spans="1:21" x14ac:dyDescent="0.2">
      <c r="A12" s="458" t="s">
        <v>887</v>
      </c>
      <c r="B12" s="459"/>
      <c r="C12" s="460"/>
      <c r="D12" s="460"/>
      <c r="E12" s="460"/>
      <c r="F12" s="460"/>
      <c r="G12" s="461"/>
      <c r="H12" s="461"/>
      <c r="I12" s="461"/>
      <c r="J12" s="461"/>
      <c r="K12" s="462"/>
      <c r="L12" s="461"/>
      <c r="M12" s="460">
        <f>SUM(E12:L12)</f>
        <v>0</v>
      </c>
      <c r="O12" s="442"/>
      <c r="P12" s="442"/>
      <c r="Q12" s="442"/>
      <c r="R12" s="442"/>
      <c r="S12" s="442"/>
      <c r="T12" s="442"/>
    </row>
    <row r="13" spans="1:21" x14ac:dyDescent="0.2">
      <c r="A13" s="461"/>
      <c r="B13" s="463" t="s">
        <v>30</v>
      </c>
      <c r="C13" s="462">
        <f>SUM(C10:C12)</f>
        <v>0</v>
      </c>
      <c r="D13" s="462"/>
      <c r="E13" s="462">
        <f t="shared" ref="E13:M13" si="0">SUM(E10:E12)</f>
        <v>0</v>
      </c>
      <c r="F13" s="462">
        <f t="shared" si="0"/>
        <v>0</v>
      </c>
      <c r="G13" s="462">
        <f t="shared" si="0"/>
        <v>0</v>
      </c>
      <c r="H13" s="462">
        <f t="shared" si="0"/>
        <v>0</v>
      </c>
      <c r="I13" s="462">
        <f t="shared" si="0"/>
        <v>0</v>
      </c>
      <c r="J13" s="462">
        <f t="shared" si="0"/>
        <v>0</v>
      </c>
      <c r="K13" s="462">
        <f t="shared" si="0"/>
        <v>0</v>
      </c>
      <c r="L13" s="462">
        <f t="shared" si="0"/>
        <v>0</v>
      </c>
      <c r="M13" s="462">
        <f t="shared" si="0"/>
        <v>0</v>
      </c>
      <c r="O13" s="442"/>
      <c r="P13" s="442"/>
      <c r="Q13" s="442"/>
      <c r="R13" s="442"/>
      <c r="S13" s="442"/>
      <c r="T13" s="442"/>
    </row>
    <row r="14" spans="1:21" x14ac:dyDescent="0.2">
      <c r="A14" s="451"/>
      <c r="B14" s="464"/>
      <c r="C14" s="465"/>
      <c r="D14" s="465"/>
      <c r="E14" s="465"/>
      <c r="F14" s="465"/>
      <c r="G14" s="465"/>
      <c r="H14" s="465"/>
      <c r="I14" s="465"/>
      <c r="J14" s="465"/>
      <c r="K14" s="465"/>
      <c r="L14" s="465"/>
      <c r="M14" s="465"/>
      <c r="O14" s="442"/>
      <c r="P14" s="442"/>
      <c r="Q14" s="442"/>
      <c r="R14" s="442"/>
      <c r="S14" s="442"/>
      <c r="T14" s="442"/>
    </row>
    <row r="15" spans="1:21" ht="12.75" customHeight="1" x14ac:dyDescent="0.2">
      <c r="A15" s="590" t="s">
        <v>888</v>
      </c>
      <c r="B15" s="590"/>
      <c r="C15" s="590"/>
      <c r="D15" s="590"/>
      <c r="E15" s="590"/>
      <c r="F15" s="590"/>
      <c r="G15" s="590"/>
      <c r="H15" s="590"/>
      <c r="I15" s="590"/>
      <c r="J15" s="590"/>
      <c r="K15" s="590"/>
      <c r="L15" s="590"/>
      <c r="M15" s="590"/>
    </row>
    <row r="16" spans="1:21" ht="12.75" customHeight="1" x14ac:dyDescent="0.2">
      <c r="L16" s="466"/>
      <c r="M16" s="467" t="s">
        <v>203</v>
      </c>
    </row>
    <row r="17" spans="1:20" ht="12.75" customHeight="1" x14ac:dyDescent="0.2">
      <c r="A17" s="592" t="s">
        <v>874</v>
      </c>
      <c r="B17" s="594" t="s">
        <v>875</v>
      </c>
      <c r="C17" s="594" t="s">
        <v>876</v>
      </c>
      <c r="D17" s="594" t="s">
        <v>877</v>
      </c>
      <c r="E17" s="596" t="s">
        <v>889</v>
      </c>
      <c r="F17" s="596"/>
      <c r="G17" s="596"/>
      <c r="H17" s="596"/>
      <c r="I17" s="596"/>
      <c r="J17" s="596"/>
      <c r="K17" s="596"/>
      <c r="L17" s="596"/>
      <c r="M17" s="597" t="s">
        <v>164</v>
      </c>
    </row>
    <row r="18" spans="1:20" ht="35.25" customHeight="1" x14ac:dyDescent="0.2">
      <c r="A18" s="593"/>
      <c r="B18" s="595"/>
      <c r="C18" s="595"/>
      <c r="D18" s="595"/>
      <c r="E18" s="456" t="s">
        <v>204</v>
      </c>
      <c r="F18" s="454" t="s">
        <v>878</v>
      </c>
      <c r="G18" s="456" t="s">
        <v>879</v>
      </c>
      <c r="H18" s="454" t="s">
        <v>880</v>
      </c>
      <c r="I18" s="456" t="s">
        <v>881</v>
      </c>
      <c r="J18" s="454" t="s">
        <v>882</v>
      </c>
      <c r="K18" s="456" t="s">
        <v>883</v>
      </c>
      <c r="L18" s="454" t="s">
        <v>884</v>
      </c>
      <c r="M18" s="598"/>
      <c r="O18" s="442"/>
      <c r="P18" s="442"/>
      <c r="Q18" s="442"/>
      <c r="R18" s="442"/>
      <c r="S18" s="442"/>
      <c r="T18" s="442"/>
    </row>
    <row r="19" spans="1:20" ht="12.75" customHeight="1" x14ac:dyDescent="0.2">
      <c r="A19" s="458" t="s">
        <v>885</v>
      </c>
      <c r="B19" s="459" t="s">
        <v>890</v>
      </c>
      <c r="C19" s="460">
        <v>8129000</v>
      </c>
      <c r="D19" s="460">
        <v>0</v>
      </c>
      <c r="E19" s="460">
        <v>2172000</v>
      </c>
      <c r="F19" s="460">
        <v>2172000</v>
      </c>
      <c r="G19" s="460">
        <v>2172000</v>
      </c>
      <c r="H19" s="460">
        <v>1613000</v>
      </c>
      <c r="I19" s="460">
        <v>0</v>
      </c>
      <c r="J19" s="460">
        <v>0</v>
      </c>
      <c r="K19" s="460">
        <v>0</v>
      </c>
      <c r="L19" s="460">
        <v>0</v>
      </c>
      <c r="M19" s="468">
        <f t="shared" ref="M19:M24" si="1">SUM(E19:L19)</f>
        <v>8129000</v>
      </c>
      <c r="O19" s="442"/>
      <c r="P19" s="442"/>
      <c r="Q19" s="442"/>
      <c r="R19" s="442"/>
      <c r="S19" s="442"/>
      <c r="T19" s="442"/>
    </row>
    <row r="20" spans="1:20" ht="12.75" customHeight="1" x14ac:dyDescent="0.2">
      <c r="A20" s="458" t="s">
        <v>886</v>
      </c>
      <c r="B20" s="459" t="s">
        <v>891</v>
      </c>
      <c r="C20" s="460">
        <v>3938984</v>
      </c>
      <c r="D20" s="460">
        <v>0</v>
      </c>
      <c r="E20" s="460">
        <v>1120000</v>
      </c>
      <c r="F20" s="460">
        <v>1120000</v>
      </c>
      <c r="G20" s="460">
        <v>1120000</v>
      </c>
      <c r="H20" s="460">
        <v>578984</v>
      </c>
      <c r="I20" s="460">
        <v>0</v>
      </c>
      <c r="J20" s="460">
        <v>0</v>
      </c>
      <c r="K20" s="460">
        <v>0</v>
      </c>
      <c r="L20" s="460">
        <v>0</v>
      </c>
      <c r="M20" s="468">
        <f t="shared" si="1"/>
        <v>3938984</v>
      </c>
      <c r="O20" s="442"/>
      <c r="P20" s="442"/>
      <c r="Q20" s="442"/>
      <c r="R20" s="442"/>
      <c r="S20" s="442"/>
      <c r="T20" s="442"/>
    </row>
    <row r="21" spans="1:20" ht="12.75" customHeight="1" x14ac:dyDescent="0.2">
      <c r="A21" s="458" t="s">
        <v>887</v>
      </c>
      <c r="B21" s="459" t="s">
        <v>892</v>
      </c>
      <c r="C21" s="460">
        <v>8380000</v>
      </c>
      <c r="D21" s="460">
        <v>0</v>
      </c>
      <c r="E21" s="460">
        <v>2240000</v>
      </c>
      <c r="F21" s="460">
        <v>2240000</v>
      </c>
      <c r="G21" s="460">
        <v>2240000</v>
      </c>
      <c r="H21" s="460">
        <v>1660000</v>
      </c>
      <c r="I21" s="460">
        <v>0</v>
      </c>
      <c r="J21" s="460">
        <v>0</v>
      </c>
      <c r="K21" s="460">
        <v>0</v>
      </c>
      <c r="L21" s="460">
        <v>0</v>
      </c>
      <c r="M21" s="468">
        <f t="shared" si="1"/>
        <v>8380000</v>
      </c>
      <c r="O21" s="442"/>
      <c r="P21" s="442"/>
      <c r="Q21" s="442"/>
      <c r="R21" s="442"/>
      <c r="S21" s="442"/>
      <c r="T21" s="442"/>
    </row>
    <row r="22" spans="1:20" ht="12.75" customHeight="1" x14ac:dyDescent="0.2">
      <c r="A22" s="458" t="s">
        <v>893</v>
      </c>
      <c r="B22" s="459" t="s">
        <v>894</v>
      </c>
      <c r="C22" s="460">
        <v>5030000</v>
      </c>
      <c r="D22" s="460">
        <v>0</v>
      </c>
      <c r="E22" s="460">
        <v>1340000</v>
      </c>
      <c r="F22" s="460">
        <v>1340000</v>
      </c>
      <c r="G22" s="460">
        <v>1340000</v>
      </c>
      <c r="H22" s="460">
        <v>1010000</v>
      </c>
      <c r="I22" s="460">
        <v>0</v>
      </c>
      <c r="J22" s="460">
        <v>0</v>
      </c>
      <c r="K22" s="460">
        <v>0</v>
      </c>
      <c r="L22" s="460">
        <v>0</v>
      </c>
      <c r="M22" s="468">
        <f t="shared" si="1"/>
        <v>5030000</v>
      </c>
      <c r="O22" s="442"/>
      <c r="P22" s="442"/>
      <c r="Q22" s="442"/>
      <c r="R22" s="442"/>
      <c r="S22" s="442"/>
      <c r="T22" s="442"/>
    </row>
    <row r="23" spans="1:20" ht="12.75" customHeight="1" x14ac:dyDescent="0.2">
      <c r="A23" s="458" t="s">
        <v>895</v>
      </c>
      <c r="B23" s="459" t="s">
        <v>896</v>
      </c>
      <c r="C23" s="460">
        <v>2095000</v>
      </c>
      <c r="D23" s="460">
        <v>0</v>
      </c>
      <c r="E23" s="460">
        <v>560000</v>
      </c>
      <c r="F23" s="460">
        <v>560000</v>
      </c>
      <c r="G23" s="460">
        <v>560000</v>
      </c>
      <c r="H23" s="460">
        <v>415000</v>
      </c>
      <c r="I23" s="460">
        <v>0</v>
      </c>
      <c r="J23" s="460">
        <v>0</v>
      </c>
      <c r="K23" s="460">
        <v>0</v>
      </c>
      <c r="L23" s="460">
        <v>0</v>
      </c>
      <c r="M23" s="468">
        <f t="shared" si="1"/>
        <v>2095000</v>
      </c>
      <c r="O23" s="442"/>
      <c r="P23" s="442"/>
      <c r="Q23" s="442"/>
      <c r="R23" s="442"/>
      <c r="S23" s="442"/>
      <c r="T23" s="442"/>
    </row>
    <row r="24" spans="1:20" ht="12.75" customHeight="1" x14ac:dyDescent="0.2">
      <c r="A24" s="458" t="s">
        <v>897</v>
      </c>
      <c r="B24" s="459" t="s">
        <v>898</v>
      </c>
      <c r="C24" s="460">
        <v>52268540</v>
      </c>
      <c r="D24" s="460">
        <v>0</v>
      </c>
      <c r="E24" s="460">
        <v>13572000</v>
      </c>
      <c r="F24" s="460">
        <v>13572000</v>
      </c>
      <c r="G24" s="460">
        <v>13572000</v>
      </c>
      <c r="H24" s="460">
        <v>11552540</v>
      </c>
      <c r="I24" s="460">
        <v>0</v>
      </c>
      <c r="J24" s="460">
        <v>0</v>
      </c>
      <c r="K24" s="460">
        <v>0</v>
      </c>
      <c r="L24" s="460">
        <v>0</v>
      </c>
      <c r="M24" s="468">
        <f t="shared" si="1"/>
        <v>52268540</v>
      </c>
      <c r="O24" s="442"/>
      <c r="P24" s="442"/>
      <c r="Q24" s="442"/>
      <c r="R24" s="442"/>
      <c r="S24" s="442"/>
      <c r="T24" s="442"/>
    </row>
    <row r="25" spans="1:20" ht="12.75" customHeight="1" x14ac:dyDescent="0.2">
      <c r="A25" s="458"/>
      <c r="B25" s="463" t="s">
        <v>30</v>
      </c>
      <c r="C25" s="468">
        <f>SUM(C19:C24)</f>
        <v>79841524</v>
      </c>
      <c r="D25" s="468">
        <f>SUM(D19:D24)</f>
        <v>0</v>
      </c>
      <c r="E25" s="468">
        <f t="shared" ref="E25:M25" si="2">SUM(E19:E24)</f>
        <v>21004000</v>
      </c>
      <c r="F25" s="468">
        <f t="shared" si="2"/>
        <v>21004000</v>
      </c>
      <c r="G25" s="468">
        <f t="shared" si="2"/>
        <v>21004000</v>
      </c>
      <c r="H25" s="468">
        <f t="shared" si="2"/>
        <v>16829524</v>
      </c>
      <c r="I25" s="468">
        <f t="shared" si="2"/>
        <v>0</v>
      </c>
      <c r="J25" s="468">
        <f t="shared" si="2"/>
        <v>0</v>
      </c>
      <c r="K25" s="468">
        <f t="shared" si="2"/>
        <v>0</v>
      </c>
      <c r="L25" s="468">
        <f t="shared" si="2"/>
        <v>0</v>
      </c>
      <c r="M25" s="468">
        <f t="shared" si="2"/>
        <v>79841524</v>
      </c>
      <c r="O25" s="442"/>
      <c r="P25" s="442"/>
      <c r="Q25" s="442"/>
      <c r="R25" s="442"/>
      <c r="S25" s="442"/>
      <c r="T25" s="442"/>
    </row>
  </sheetData>
  <mergeCells count="10">
    <mergeCell ref="A1:M1"/>
    <mergeCell ref="A4:M4"/>
    <mergeCell ref="A7:M7"/>
    <mergeCell ref="A15:M15"/>
    <mergeCell ref="A17:A18"/>
    <mergeCell ref="B17:B18"/>
    <mergeCell ref="C17:C18"/>
    <mergeCell ref="D17:D18"/>
    <mergeCell ref="E17:L17"/>
    <mergeCell ref="M17:M18"/>
  </mergeCells>
  <printOptions horizontalCentered="1"/>
  <pageMargins left="0.19685039370078741" right="0.19685039370078741" top="0.5" bottom="0.19685039370078741" header="0.51181102362204722" footer="0.17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zoomScaleNormal="100" zoomScaleSheetLayoutView="100" workbookViewId="0">
      <selection activeCell="A2" sqref="A2"/>
    </sheetView>
  </sheetViews>
  <sheetFormatPr defaultRowHeight="12.75" x14ac:dyDescent="0.2"/>
  <cols>
    <col min="1" max="1" width="2.42578125" style="545" customWidth="1"/>
    <col min="2" max="2" width="24.42578125" style="546" customWidth="1"/>
    <col min="3" max="3" width="15.42578125" style="545" customWidth="1"/>
    <col min="4" max="4" width="17.85546875" style="545" customWidth="1"/>
    <col min="5" max="5" width="14.140625" style="545" customWidth="1"/>
    <col min="6" max="6" width="14.42578125" style="547" customWidth="1"/>
    <col min="7" max="7" width="10.42578125" style="545" bestFit="1" customWidth="1"/>
    <col min="8" max="8" width="10.42578125" style="545" customWidth="1"/>
    <col min="9" max="9" width="10.140625" style="545" customWidth="1"/>
    <col min="10" max="10" width="10.5703125" style="545" customWidth="1"/>
    <col min="11" max="11" width="10.42578125" style="545" bestFit="1" customWidth="1"/>
    <col min="12" max="256" width="9.140625" style="545"/>
    <col min="257" max="257" width="2.42578125" style="545" customWidth="1"/>
    <col min="258" max="258" width="24.42578125" style="545" customWidth="1"/>
    <col min="259" max="259" width="15.42578125" style="545" customWidth="1"/>
    <col min="260" max="260" width="17.85546875" style="545" customWidth="1"/>
    <col min="261" max="261" width="14.140625" style="545" customWidth="1"/>
    <col min="262" max="262" width="14.42578125" style="545" customWidth="1"/>
    <col min="263" max="263" width="10.42578125" style="545" bestFit="1" customWidth="1"/>
    <col min="264" max="264" width="10.42578125" style="545" customWidth="1"/>
    <col min="265" max="265" width="10.140625" style="545" customWidth="1"/>
    <col min="266" max="266" width="10.5703125" style="545" customWidth="1"/>
    <col min="267" max="267" width="10.42578125" style="545" bestFit="1" customWidth="1"/>
    <col min="268" max="512" width="9.140625" style="545"/>
    <col min="513" max="513" width="2.42578125" style="545" customWidth="1"/>
    <col min="514" max="514" width="24.42578125" style="545" customWidth="1"/>
    <col min="515" max="515" width="15.42578125" style="545" customWidth="1"/>
    <col min="516" max="516" width="17.85546875" style="545" customWidth="1"/>
    <col min="517" max="517" width="14.140625" style="545" customWidth="1"/>
    <col min="518" max="518" width="14.42578125" style="545" customWidth="1"/>
    <col min="519" max="519" width="10.42578125" style="545" bestFit="1" customWidth="1"/>
    <col min="520" max="520" width="10.42578125" style="545" customWidth="1"/>
    <col min="521" max="521" width="10.140625" style="545" customWidth="1"/>
    <col min="522" max="522" width="10.5703125" style="545" customWidth="1"/>
    <col min="523" max="523" width="10.42578125" style="545" bestFit="1" customWidth="1"/>
    <col min="524" max="768" width="9.140625" style="545"/>
    <col min="769" max="769" width="2.42578125" style="545" customWidth="1"/>
    <col min="770" max="770" width="24.42578125" style="545" customWidth="1"/>
    <col min="771" max="771" width="15.42578125" style="545" customWidth="1"/>
    <col min="772" max="772" width="17.85546875" style="545" customWidth="1"/>
    <col min="773" max="773" width="14.140625" style="545" customWidth="1"/>
    <col min="774" max="774" width="14.42578125" style="545" customWidth="1"/>
    <col min="775" max="775" width="10.42578125" style="545" bestFit="1" customWidth="1"/>
    <col min="776" max="776" width="10.42578125" style="545" customWidth="1"/>
    <col min="777" max="777" width="10.140625" style="545" customWidth="1"/>
    <col min="778" max="778" width="10.5703125" style="545" customWidth="1"/>
    <col min="779" max="779" width="10.42578125" style="545" bestFit="1" customWidth="1"/>
    <col min="780" max="1024" width="9.140625" style="545"/>
    <col min="1025" max="1025" width="2.42578125" style="545" customWidth="1"/>
    <col min="1026" max="1026" width="24.42578125" style="545" customWidth="1"/>
    <col min="1027" max="1027" width="15.42578125" style="545" customWidth="1"/>
    <col min="1028" max="1028" width="17.85546875" style="545" customWidth="1"/>
    <col min="1029" max="1029" width="14.140625" style="545" customWidth="1"/>
    <col min="1030" max="1030" width="14.42578125" style="545" customWidth="1"/>
    <col min="1031" max="1031" width="10.42578125" style="545" bestFit="1" customWidth="1"/>
    <col min="1032" max="1032" width="10.42578125" style="545" customWidth="1"/>
    <col min="1033" max="1033" width="10.140625" style="545" customWidth="1"/>
    <col min="1034" max="1034" width="10.5703125" style="545" customWidth="1"/>
    <col min="1035" max="1035" width="10.42578125" style="545" bestFit="1" customWidth="1"/>
    <col min="1036" max="1280" width="9.140625" style="545"/>
    <col min="1281" max="1281" width="2.42578125" style="545" customWidth="1"/>
    <col min="1282" max="1282" width="24.42578125" style="545" customWidth="1"/>
    <col min="1283" max="1283" width="15.42578125" style="545" customWidth="1"/>
    <col min="1284" max="1284" width="17.85546875" style="545" customWidth="1"/>
    <col min="1285" max="1285" width="14.140625" style="545" customWidth="1"/>
    <col min="1286" max="1286" width="14.42578125" style="545" customWidth="1"/>
    <col min="1287" max="1287" width="10.42578125" style="545" bestFit="1" customWidth="1"/>
    <col min="1288" max="1288" width="10.42578125" style="545" customWidth="1"/>
    <col min="1289" max="1289" width="10.140625" style="545" customWidth="1"/>
    <col min="1290" max="1290" width="10.5703125" style="545" customWidth="1"/>
    <col min="1291" max="1291" width="10.42578125" style="545" bestFit="1" customWidth="1"/>
    <col min="1292" max="1536" width="9.140625" style="545"/>
    <col min="1537" max="1537" width="2.42578125" style="545" customWidth="1"/>
    <col min="1538" max="1538" width="24.42578125" style="545" customWidth="1"/>
    <col min="1539" max="1539" width="15.42578125" style="545" customWidth="1"/>
    <col min="1540" max="1540" width="17.85546875" style="545" customWidth="1"/>
    <col min="1541" max="1541" width="14.140625" style="545" customWidth="1"/>
    <col min="1542" max="1542" width="14.42578125" style="545" customWidth="1"/>
    <col min="1543" max="1543" width="10.42578125" style="545" bestFit="1" customWidth="1"/>
    <col min="1544" max="1544" width="10.42578125" style="545" customWidth="1"/>
    <col min="1545" max="1545" width="10.140625" style="545" customWidth="1"/>
    <col min="1546" max="1546" width="10.5703125" style="545" customWidth="1"/>
    <col min="1547" max="1547" width="10.42578125" style="545" bestFit="1" customWidth="1"/>
    <col min="1548" max="1792" width="9.140625" style="545"/>
    <col min="1793" max="1793" width="2.42578125" style="545" customWidth="1"/>
    <col min="1794" max="1794" width="24.42578125" style="545" customWidth="1"/>
    <col min="1795" max="1795" width="15.42578125" style="545" customWidth="1"/>
    <col min="1796" max="1796" width="17.85546875" style="545" customWidth="1"/>
    <col min="1797" max="1797" width="14.140625" style="545" customWidth="1"/>
    <col min="1798" max="1798" width="14.42578125" style="545" customWidth="1"/>
    <col min="1799" max="1799" width="10.42578125" style="545" bestFit="1" customWidth="1"/>
    <col min="1800" max="1800" width="10.42578125" style="545" customWidth="1"/>
    <col min="1801" max="1801" width="10.140625" style="545" customWidth="1"/>
    <col min="1802" max="1802" width="10.5703125" style="545" customWidth="1"/>
    <col min="1803" max="1803" width="10.42578125" style="545" bestFit="1" customWidth="1"/>
    <col min="1804" max="2048" width="9.140625" style="545"/>
    <col min="2049" max="2049" width="2.42578125" style="545" customWidth="1"/>
    <col min="2050" max="2050" width="24.42578125" style="545" customWidth="1"/>
    <col min="2051" max="2051" width="15.42578125" style="545" customWidth="1"/>
    <col min="2052" max="2052" width="17.85546875" style="545" customWidth="1"/>
    <col min="2053" max="2053" width="14.140625" style="545" customWidth="1"/>
    <col min="2054" max="2054" width="14.42578125" style="545" customWidth="1"/>
    <col min="2055" max="2055" width="10.42578125" style="545" bestFit="1" customWidth="1"/>
    <col min="2056" max="2056" width="10.42578125" style="545" customWidth="1"/>
    <col min="2057" max="2057" width="10.140625" style="545" customWidth="1"/>
    <col min="2058" max="2058" width="10.5703125" style="545" customWidth="1"/>
    <col min="2059" max="2059" width="10.42578125" style="545" bestFit="1" customWidth="1"/>
    <col min="2060" max="2304" width="9.140625" style="545"/>
    <col min="2305" max="2305" width="2.42578125" style="545" customWidth="1"/>
    <col min="2306" max="2306" width="24.42578125" style="545" customWidth="1"/>
    <col min="2307" max="2307" width="15.42578125" style="545" customWidth="1"/>
    <col min="2308" max="2308" width="17.85546875" style="545" customWidth="1"/>
    <col min="2309" max="2309" width="14.140625" style="545" customWidth="1"/>
    <col min="2310" max="2310" width="14.42578125" style="545" customWidth="1"/>
    <col min="2311" max="2311" width="10.42578125" style="545" bestFit="1" customWidth="1"/>
    <col min="2312" max="2312" width="10.42578125" style="545" customWidth="1"/>
    <col min="2313" max="2313" width="10.140625" style="545" customWidth="1"/>
    <col min="2314" max="2314" width="10.5703125" style="545" customWidth="1"/>
    <col min="2315" max="2315" width="10.42578125" style="545" bestFit="1" customWidth="1"/>
    <col min="2316" max="2560" width="9.140625" style="545"/>
    <col min="2561" max="2561" width="2.42578125" style="545" customWidth="1"/>
    <col min="2562" max="2562" width="24.42578125" style="545" customWidth="1"/>
    <col min="2563" max="2563" width="15.42578125" style="545" customWidth="1"/>
    <col min="2564" max="2564" width="17.85546875" style="545" customWidth="1"/>
    <col min="2565" max="2565" width="14.140625" style="545" customWidth="1"/>
    <col min="2566" max="2566" width="14.42578125" style="545" customWidth="1"/>
    <col min="2567" max="2567" width="10.42578125" style="545" bestFit="1" customWidth="1"/>
    <col min="2568" max="2568" width="10.42578125" style="545" customWidth="1"/>
    <col min="2569" max="2569" width="10.140625" style="545" customWidth="1"/>
    <col min="2570" max="2570" width="10.5703125" style="545" customWidth="1"/>
    <col min="2571" max="2571" width="10.42578125" style="545" bestFit="1" customWidth="1"/>
    <col min="2572" max="2816" width="9.140625" style="545"/>
    <col min="2817" max="2817" width="2.42578125" style="545" customWidth="1"/>
    <col min="2818" max="2818" width="24.42578125" style="545" customWidth="1"/>
    <col min="2819" max="2819" width="15.42578125" style="545" customWidth="1"/>
    <col min="2820" max="2820" width="17.85546875" style="545" customWidth="1"/>
    <col min="2821" max="2821" width="14.140625" style="545" customWidth="1"/>
    <col min="2822" max="2822" width="14.42578125" style="545" customWidth="1"/>
    <col min="2823" max="2823" width="10.42578125" style="545" bestFit="1" customWidth="1"/>
    <col min="2824" max="2824" width="10.42578125" style="545" customWidth="1"/>
    <col min="2825" max="2825" width="10.140625" style="545" customWidth="1"/>
    <col min="2826" max="2826" width="10.5703125" style="545" customWidth="1"/>
    <col min="2827" max="2827" width="10.42578125" style="545" bestFit="1" customWidth="1"/>
    <col min="2828" max="3072" width="9.140625" style="545"/>
    <col min="3073" max="3073" width="2.42578125" style="545" customWidth="1"/>
    <col min="3074" max="3074" width="24.42578125" style="545" customWidth="1"/>
    <col min="3075" max="3075" width="15.42578125" style="545" customWidth="1"/>
    <col min="3076" max="3076" width="17.85546875" style="545" customWidth="1"/>
    <col min="3077" max="3077" width="14.140625" style="545" customWidth="1"/>
    <col min="3078" max="3078" width="14.42578125" style="545" customWidth="1"/>
    <col min="3079" max="3079" width="10.42578125" style="545" bestFit="1" customWidth="1"/>
    <col min="3080" max="3080" width="10.42578125" style="545" customWidth="1"/>
    <col min="3081" max="3081" width="10.140625" style="545" customWidth="1"/>
    <col min="3082" max="3082" width="10.5703125" style="545" customWidth="1"/>
    <col min="3083" max="3083" width="10.42578125" style="545" bestFit="1" customWidth="1"/>
    <col min="3084" max="3328" width="9.140625" style="545"/>
    <col min="3329" max="3329" width="2.42578125" style="545" customWidth="1"/>
    <col min="3330" max="3330" width="24.42578125" style="545" customWidth="1"/>
    <col min="3331" max="3331" width="15.42578125" style="545" customWidth="1"/>
    <col min="3332" max="3332" width="17.85546875" style="545" customWidth="1"/>
    <col min="3333" max="3333" width="14.140625" style="545" customWidth="1"/>
    <col min="3334" max="3334" width="14.42578125" style="545" customWidth="1"/>
    <col min="3335" max="3335" width="10.42578125" style="545" bestFit="1" customWidth="1"/>
    <col min="3336" max="3336" width="10.42578125" style="545" customWidth="1"/>
    <col min="3337" max="3337" width="10.140625" style="545" customWidth="1"/>
    <col min="3338" max="3338" width="10.5703125" style="545" customWidth="1"/>
    <col min="3339" max="3339" width="10.42578125" style="545" bestFit="1" customWidth="1"/>
    <col min="3340" max="3584" width="9.140625" style="545"/>
    <col min="3585" max="3585" width="2.42578125" style="545" customWidth="1"/>
    <col min="3586" max="3586" width="24.42578125" style="545" customWidth="1"/>
    <col min="3587" max="3587" width="15.42578125" style="545" customWidth="1"/>
    <col min="3588" max="3588" width="17.85546875" style="545" customWidth="1"/>
    <col min="3589" max="3589" width="14.140625" style="545" customWidth="1"/>
    <col min="3590" max="3590" width="14.42578125" style="545" customWidth="1"/>
    <col min="3591" max="3591" width="10.42578125" style="545" bestFit="1" customWidth="1"/>
    <col min="3592" max="3592" width="10.42578125" style="545" customWidth="1"/>
    <col min="3593" max="3593" width="10.140625" style="545" customWidth="1"/>
    <col min="3594" max="3594" width="10.5703125" style="545" customWidth="1"/>
    <col min="3595" max="3595" width="10.42578125" style="545" bestFit="1" customWidth="1"/>
    <col min="3596" max="3840" width="9.140625" style="545"/>
    <col min="3841" max="3841" width="2.42578125" style="545" customWidth="1"/>
    <col min="3842" max="3842" width="24.42578125" style="545" customWidth="1"/>
    <col min="3843" max="3843" width="15.42578125" style="545" customWidth="1"/>
    <col min="3844" max="3844" width="17.85546875" style="545" customWidth="1"/>
    <col min="3845" max="3845" width="14.140625" style="545" customWidth="1"/>
    <col min="3846" max="3846" width="14.42578125" style="545" customWidth="1"/>
    <col min="3847" max="3847" width="10.42578125" style="545" bestFit="1" customWidth="1"/>
    <col min="3848" max="3848" width="10.42578125" style="545" customWidth="1"/>
    <col min="3849" max="3849" width="10.140625" style="545" customWidth="1"/>
    <col min="3850" max="3850" width="10.5703125" style="545" customWidth="1"/>
    <col min="3851" max="3851" width="10.42578125" style="545" bestFit="1" customWidth="1"/>
    <col min="3852" max="4096" width="9.140625" style="545"/>
    <col min="4097" max="4097" width="2.42578125" style="545" customWidth="1"/>
    <col min="4098" max="4098" width="24.42578125" style="545" customWidth="1"/>
    <col min="4099" max="4099" width="15.42578125" style="545" customWidth="1"/>
    <col min="4100" max="4100" width="17.85546875" style="545" customWidth="1"/>
    <col min="4101" max="4101" width="14.140625" style="545" customWidth="1"/>
    <col min="4102" max="4102" width="14.42578125" style="545" customWidth="1"/>
    <col min="4103" max="4103" width="10.42578125" style="545" bestFit="1" customWidth="1"/>
    <col min="4104" max="4104" width="10.42578125" style="545" customWidth="1"/>
    <col min="4105" max="4105" width="10.140625" style="545" customWidth="1"/>
    <col min="4106" max="4106" width="10.5703125" style="545" customWidth="1"/>
    <col min="4107" max="4107" width="10.42578125" style="545" bestFit="1" customWidth="1"/>
    <col min="4108" max="4352" width="9.140625" style="545"/>
    <col min="4353" max="4353" width="2.42578125" style="545" customWidth="1"/>
    <col min="4354" max="4354" width="24.42578125" style="545" customWidth="1"/>
    <col min="4355" max="4355" width="15.42578125" style="545" customWidth="1"/>
    <col min="4356" max="4356" width="17.85546875" style="545" customWidth="1"/>
    <col min="4357" max="4357" width="14.140625" style="545" customWidth="1"/>
    <col min="4358" max="4358" width="14.42578125" style="545" customWidth="1"/>
    <col min="4359" max="4359" width="10.42578125" style="545" bestFit="1" customWidth="1"/>
    <col min="4360" max="4360" width="10.42578125" style="545" customWidth="1"/>
    <col min="4361" max="4361" width="10.140625" style="545" customWidth="1"/>
    <col min="4362" max="4362" width="10.5703125" style="545" customWidth="1"/>
    <col min="4363" max="4363" width="10.42578125" style="545" bestFit="1" customWidth="1"/>
    <col min="4364" max="4608" width="9.140625" style="545"/>
    <col min="4609" max="4609" width="2.42578125" style="545" customWidth="1"/>
    <col min="4610" max="4610" width="24.42578125" style="545" customWidth="1"/>
    <col min="4611" max="4611" width="15.42578125" style="545" customWidth="1"/>
    <col min="4612" max="4612" width="17.85546875" style="545" customWidth="1"/>
    <col min="4613" max="4613" width="14.140625" style="545" customWidth="1"/>
    <col min="4614" max="4614" width="14.42578125" style="545" customWidth="1"/>
    <col min="4615" max="4615" width="10.42578125" style="545" bestFit="1" customWidth="1"/>
    <col min="4616" max="4616" width="10.42578125" style="545" customWidth="1"/>
    <col min="4617" max="4617" width="10.140625" style="545" customWidth="1"/>
    <col min="4618" max="4618" width="10.5703125" style="545" customWidth="1"/>
    <col min="4619" max="4619" width="10.42578125" style="545" bestFit="1" customWidth="1"/>
    <col min="4620" max="4864" width="9.140625" style="545"/>
    <col min="4865" max="4865" width="2.42578125" style="545" customWidth="1"/>
    <col min="4866" max="4866" width="24.42578125" style="545" customWidth="1"/>
    <col min="4867" max="4867" width="15.42578125" style="545" customWidth="1"/>
    <col min="4868" max="4868" width="17.85546875" style="545" customWidth="1"/>
    <col min="4869" max="4869" width="14.140625" style="545" customWidth="1"/>
    <col min="4870" max="4870" width="14.42578125" style="545" customWidth="1"/>
    <col min="4871" max="4871" width="10.42578125" style="545" bestFit="1" customWidth="1"/>
    <col min="4872" max="4872" width="10.42578125" style="545" customWidth="1"/>
    <col min="4873" max="4873" width="10.140625" style="545" customWidth="1"/>
    <col min="4874" max="4874" width="10.5703125" style="545" customWidth="1"/>
    <col min="4875" max="4875" width="10.42578125" style="545" bestFit="1" customWidth="1"/>
    <col min="4876" max="5120" width="9.140625" style="545"/>
    <col min="5121" max="5121" width="2.42578125" style="545" customWidth="1"/>
    <col min="5122" max="5122" width="24.42578125" style="545" customWidth="1"/>
    <col min="5123" max="5123" width="15.42578125" style="545" customWidth="1"/>
    <col min="5124" max="5124" width="17.85546875" style="545" customWidth="1"/>
    <col min="5125" max="5125" width="14.140625" style="545" customWidth="1"/>
    <col min="5126" max="5126" width="14.42578125" style="545" customWidth="1"/>
    <col min="5127" max="5127" width="10.42578125" style="545" bestFit="1" customWidth="1"/>
    <col min="5128" max="5128" width="10.42578125" style="545" customWidth="1"/>
    <col min="5129" max="5129" width="10.140625" style="545" customWidth="1"/>
    <col min="5130" max="5130" width="10.5703125" style="545" customWidth="1"/>
    <col min="5131" max="5131" width="10.42578125" style="545" bestFit="1" customWidth="1"/>
    <col min="5132" max="5376" width="9.140625" style="545"/>
    <col min="5377" max="5377" width="2.42578125" style="545" customWidth="1"/>
    <col min="5378" max="5378" width="24.42578125" style="545" customWidth="1"/>
    <col min="5379" max="5379" width="15.42578125" style="545" customWidth="1"/>
    <col min="5380" max="5380" width="17.85546875" style="545" customWidth="1"/>
    <col min="5381" max="5381" width="14.140625" style="545" customWidth="1"/>
    <col min="5382" max="5382" width="14.42578125" style="545" customWidth="1"/>
    <col min="5383" max="5383" width="10.42578125" style="545" bestFit="1" customWidth="1"/>
    <col min="5384" max="5384" width="10.42578125" style="545" customWidth="1"/>
    <col min="5385" max="5385" width="10.140625" style="545" customWidth="1"/>
    <col min="5386" max="5386" width="10.5703125" style="545" customWidth="1"/>
    <col min="5387" max="5387" width="10.42578125" style="545" bestFit="1" customWidth="1"/>
    <col min="5388" max="5632" width="9.140625" style="545"/>
    <col min="5633" max="5633" width="2.42578125" style="545" customWidth="1"/>
    <col min="5634" max="5634" width="24.42578125" style="545" customWidth="1"/>
    <col min="5635" max="5635" width="15.42578125" style="545" customWidth="1"/>
    <col min="5636" max="5636" width="17.85546875" style="545" customWidth="1"/>
    <col min="5637" max="5637" width="14.140625" style="545" customWidth="1"/>
    <col min="5638" max="5638" width="14.42578125" style="545" customWidth="1"/>
    <col min="5639" max="5639" width="10.42578125" style="545" bestFit="1" customWidth="1"/>
    <col min="5640" max="5640" width="10.42578125" style="545" customWidth="1"/>
    <col min="5641" max="5641" width="10.140625" style="545" customWidth="1"/>
    <col min="5642" max="5642" width="10.5703125" style="545" customWidth="1"/>
    <col min="5643" max="5643" width="10.42578125" style="545" bestFit="1" customWidth="1"/>
    <col min="5644" max="5888" width="9.140625" style="545"/>
    <col min="5889" max="5889" width="2.42578125" style="545" customWidth="1"/>
    <col min="5890" max="5890" width="24.42578125" style="545" customWidth="1"/>
    <col min="5891" max="5891" width="15.42578125" style="545" customWidth="1"/>
    <col min="5892" max="5892" width="17.85546875" style="545" customWidth="1"/>
    <col min="5893" max="5893" width="14.140625" style="545" customWidth="1"/>
    <col min="5894" max="5894" width="14.42578125" style="545" customWidth="1"/>
    <col min="5895" max="5895" width="10.42578125" style="545" bestFit="1" customWidth="1"/>
    <col min="5896" max="5896" width="10.42578125" style="545" customWidth="1"/>
    <col min="5897" max="5897" width="10.140625" style="545" customWidth="1"/>
    <col min="5898" max="5898" width="10.5703125" style="545" customWidth="1"/>
    <col min="5899" max="5899" width="10.42578125" style="545" bestFit="1" customWidth="1"/>
    <col min="5900" max="6144" width="9.140625" style="545"/>
    <col min="6145" max="6145" width="2.42578125" style="545" customWidth="1"/>
    <col min="6146" max="6146" width="24.42578125" style="545" customWidth="1"/>
    <col min="6147" max="6147" width="15.42578125" style="545" customWidth="1"/>
    <col min="6148" max="6148" width="17.85546875" style="545" customWidth="1"/>
    <col min="6149" max="6149" width="14.140625" style="545" customWidth="1"/>
    <col min="6150" max="6150" width="14.42578125" style="545" customWidth="1"/>
    <col min="6151" max="6151" width="10.42578125" style="545" bestFit="1" customWidth="1"/>
    <col min="6152" max="6152" width="10.42578125" style="545" customWidth="1"/>
    <col min="6153" max="6153" width="10.140625" style="545" customWidth="1"/>
    <col min="6154" max="6154" width="10.5703125" style="545" customWidth="1"/>
    <col min="6155" max="6155" width="10.42578125" style="545" bestFit="1" customWidth="1"/>
    <col min="6156" max="6400" width="9.140625" style="545"/>
    <col min="6401" max="6401" width="2.42578125" style="545" customWidth="1"/>
    <col min="6402" max="6402" width="24.42578125" style="545" customWidth="1"/>
    <col min="6403" max="6403" width="15.42578125" style="545" customWidth="1"/>
    <col min="6404" max="6404" width="17.85546875" style="545" customWidth="1"/>
    <col min="6405" max="6405" width="14.140625" style="545" customWidth="1"/>
    <col min="6406" max="6406" width="14.42578125" style="545" customWidth="1"/>
    <col min="6407" max="6407" width="10.42578125" style="545" bestFit="1" customWidth="1"/>
    <col min="6408" max="6408" width="10.42578125" style="545" customWidth="1"/>
    <col min="6409" max="6409" width="10.140625" style="545" customWidth="1"/>
    <col min="6410" max="6410" width="10.5703125" style="545" customWidth="1"/>
    <col min="6411" max="6411" width="10.42578125" style="545" bestFit="1" customWidth="1"/>
    <col min="6412" max="6656" width="9.140625" style="545"/>
    <col min="6657" max="6657" width="2.42578125" style="545" customWidth="1"/>
    <col min="6658" max="6658" width="24.42578125" style="545" customWidth="1"/>
    <col min="6659" max="6659" width="15.42578125" style="545" customWidth="1"/>
    <col min="6660" max="6660" width="17.85546875" style="545" customWidth="1"/>
    <col min="6661" max="6661" width="14.140625" style="545" customWidth="1"/>
    <col min="6662" max="6662" width="14.42578125" style="545" customWidth="1"/>
    <col min="6663" max="6663" width="10.42578125" style="545" bestFit="1" customWidth="1"/>
    <col min="6664" max="6664" width="10.42578125" style="545" customWidth="1"/>
    <col min="6665" max="6665" width="10.140625" style="545" customWidth="1"/>
    <col min="6666" max="6666" width="10.5703125" style="545" customWidth="1"/>
    <col min="6667" max="6667" width="10.42578125" style="545" bestFit="1" customWidth="1"/>
    <col min="6668" max="6912" width="9.140625" style="545"/>
    <col min="6913" max="6913" width="2.42578125" style="545" customWidth="1"/>
    <col min="6914" max="6914" width="24.42578125" style="545" customWidth="1"/>
    <col min="6915" max="6915" width="15.42578125" style="545" customWidth="1"/>
    <col min="6916" max="6916" width="17.85546875" style="545" customWidth="1"/>
    <col min="6917" max="6917" width="14.140625" style="545" customWidth="1"/>
    <col min="6918" max="6918" width="14.42578125" style="545" customWidth="1"/>
    <col min="6919" max="6919" width="10.42578125" style="545" bestFit="1" customWidth="1"/>
    <col min="6920" max="6920" width="10.42578125" style="545" customWidth="1"/>
    <col min="6921" max="6921" width="10.140625" style="545" customWidth="1"/>
    <col min="6922" max="6922" width="10.5703125" style="545" customWidth="1"/>
    <col min="6923" max="6923" width="10.42578125" style="545" bestFit="1" customWidth="1"/>
    <col min="6924" max="7168" width="9.140625" style="545"/>
    <col min="7169" max="7169" width="2.42578125" style="545" customWidth="1"/>
    <col min="7170" max="7170" width="24.42578125" style="545" customWidth="1"/>
    <col min="7171" max="7171" width="15.42578125" style="545" customWidth="1"/>
    <col min="7172" max="7172" width="17.85546875" style="545" customWidth="1"/>
    <col min="7173" max="7173" width="14.140625" style="545" customWidth="1"/>
    <col min="7174" max="7174" width="14.42578125" style="545" customWidth="1"/>
    <col min="7175" max="7175" width="10.42578125" style="545" bestFit="1" customWidth="1"/>
    <col min="7176" max="7176" width="10.42578125" style="545" customWidth="1"/>
    <col min="7177" max="7177" width="10.140625" style="545" customWidth="1"/>
    <col min="7178" max="7178" width="10.5703125" style="545" customWidth="1"/>
    <col min="7179" max="7179" width="10.42578125" style="545" bestFit="1" customWidth="1"/>
    <col min="7180" max="7424" width="9.140625" style="545"/>
    <col min="7425" max="7425" width="2.42578125" style="545" customWidth="1"/>
    <col min="7426" max="7426" width="24.42578125" style="545" customWidth="1"/>
    <col min="7427" max="7427" width="15.42578125" style="545" customWidth="1"/>
    <col min="7428" max="7428" width="17.85546875" style="545" customWidth="1"/>
    <col min="7429" max="7429" width="14.140625" style="545" customWidth="1"/>
    <col min="7430" max="7430" width="14.42578125" style="545" customWidth="1"/>
    <col min="7431" max="7431" width="10.42578125" style="545" bestFit="1" customWidth="1"/>
    <col min="7432" max="7432" width="10.42578125" style="545" customWidth="1"/>
    <col min="7433" max="7433" width="10.140625" style="545" customWidth="1"/>
    <col min="7434" max="7434" width="10.5703125" style="545" customWidth="1"/>
    <col min="7435" max="7435" width="10.42578125" style="545" bestFit="1" customWidth="1"/>
    <col min="7436" max="7680" width="9.140625" style="545"/>
    <col min="7681" max="7681" width="2.42578125" style="545" customWidth="1"/>
    <col min="7682" max="7682" width="24.42578125" style="545" customWidth="1"/>
    <col min="7683" max="7683" width="15.42578125" style="545" customWidth="1"/>
    <col min="7684" max="7684" width="17.85546875" style="545" customWidth="1"/>
    <col min="7685" max="7685" width="14.140625" style="545" customWidth="1"/>
    <col min="7686" max="7686" width="14.42578125" style="545" customWidth="1"/>
    <col min="7687" max="7687" width="10.42578125" style="545" bestFit="1" customWidth="1"/>
    <col min="7688" max="7688" width="10.42578125" style="545" customWidth="1"/>
    <col min="7689" max="7689" width="10.140625" style="545" customWidth="1"/>
    <col min="7690" max="7690" width="10.5703125" style="545" customWidth="1"/>
    <col min="7691" max="7691" width="10.42578125" style="545" bestFit="1" customWidth="1"/>
    <col min="7692" max="7936" width="9.140625" style="545"/>
    <col min="7937" max="7937" width="2.42578125" style="545" customWidth="1"/>
    <col min="7938" max="7938" width="24.42578125" style="545" customWidth="1"/>
    <col min="7939" max="7939" width="15.42578125" style="545" customWidth="1"/>
    <col min="7940" max="7940" width="17.85546875" style="545" customWidth="1"/>
    <col min="7941" max="7941" width="14.140625" style="545" customWidth="1"/>
    <col min="7942" max="7942" width="14.42578125" style="545" customWidth="1"/>
    <col min="7943" max="7943" width="10.42578125" style="545" bestFit="1" customWidth="1"/>
    <col min="7944" max="7944" width="10.42578125" style="545" customWidth="1"/>
    <col min="7945" max="7945" width="10.140625" style="545" customWidth="1"/>
    <col min="7946" max="7946" width="10.5703125" style="545" customWidth="1"/>
    <col min="7947" max="7947" width="10.42578125" style="545" bestFit="1" customWidth="1"/>
    <col min="7948" max="8192" width="9.140625" style="545"/>
    <col min="8193" max="8193" width="2.42578125" style="545" customWidth="1"/>
    <col min="8194" max="8194" width="24.42578125" style="545" customWidth="1"/>
    <col min="8195" max="8195" width="15.42578125" style="545" customWidth="1"/>
    <col min="8196" max="8196" width="17.85546875" style="545" customWidth="1"/>
    <col min="8197" max="8197" width="14.140625" style="545" customWidth="1"/>
    <col min="8198" max="8198" width="14.42578125" style="545" customWidth="1"/>
    <col min="8199" max="8199" width="10.42578125" style="545" bestFit="1" customWidth="1"/>
    <col min="8200" max="8200" width="10.42578125" style="545" customWidth="1"/>
    <col min="8201" max="8201" width="10.140625" style="545" customWidth="1"/>
    <col min="8202" max="8202" width="10.5703125" style="545" customWidth="1"/>
    <col min="8203" max="8203" width="10.42578125" style="545" bestFit="1" customWidth="1"/>
    <col min="8204" max="8448" width="9.140625" style="545"/>
    <col min="8449" max="8449" width="2.42578125" style="545" customWidth="1"/>
    <col min="8450" max="8450" width="24.42578125" style="545" customWidth="1"/>
    <col min="8451" max="8451" width="15.42578125" style="545" customWidth="1"/>
    <col min="8452" max="8452" width="17.85546875" style="545" customWidth="1"/>
    <col min="8453" max="8453" width="14.140625" style="545" customWidth="1"/>
    <col min="8454" max="8454" width="14.42578125" style="545" customWidth="1"/>
    <col min="8455" max="8455" width="10.42578125" style="545" bestFit="1" customWidth="1"/>
    <col min="8456" max="8456" width="10.42578125" style="545" customWidth="1"/>
    <col min="8457" max="8457" width="10.140625" style="545" customWidth="1"/>
    <col min="8458" max="8458" width="10.5703125" style="545" customWidth="1"/>
    <col min="8459" max="8459" width="10.42578125" style="545" bestFit="1" customWidth="1"/>
    <col min="8460" max="8704" width="9.140625" style="545"/>
    <col min="8705" max="8705" width="2.42578125" style="545" customWidth="1"/>
    <col min="8706" max="8706" width="24.42578125" style="545" customWidth="1"/>
    <col min="8707" max="8707" width="15.42578125" style="545" customWidth="1"/>
    <col min="8708" max="8708" width="17.85546875" style="545" customWidth="1"/>
    <col min="8709" max="8709" width="14.140625" style="545" customWidth="1"/>
    <col min="8710" max="8710" width="14.42578125" style="545" customWidth="1"/>
    <col min="8711" max="8711" width="10.42578125" style="545" bestFit="1" customWidth="1"/>
    <col min="8712" max="8712" width="10.42578125" style="545" customWidth="1"/>
    <col min="8713" max="8713" width="10.140625" style="545" customWidth="1"/>
    <col min="8714" max="8714" width="10.5703125" style="545" customWidth="1"/>
    <col min="8715" max="8715" width="10.42578125" style="545" bestFit="1" customWidth="1"/>
    <col min="8716" max="8960" width="9.140625" style="545"/>
    <col min="8961" max="8961" width="2.42578125" style="545" customWidth="1"/>
    <col min="8962" max="8962" width="24.42578125" style="545" customWidth="1"/>
    <col min="8963" max="8963" width="15.42578125" style="545" customWidth="1"/>
    <col min="8964" max="8964" width="17.85546875" style="545" customWidth="1"/>
    <col min="8965" max="8965" width="14.140625" style="545" customWidth="1"/>
    <col min="8966" max="8966" width="14.42578125" style="545" customWidth="1"/>
    <col min="8967" max="8967" width="10.42578125" style="545" bestFit="1" customWidth="1"/>
    <col min="8968" max="8968" width="10.42578125" style="545" customWidth="1"/>
    <col min="8969" max="8969" width="10.140625" style="545" customWidth="1"/>
    <col min="8970" max="8970" width="10.5703125" style="545" customWidth="1"/>
    <col min="8971" max="8971" width="10.42578125" style="545" bestFit="1" customWidth="1"/>
    <col min="8972" max="9216" width="9.140625" style="545"/>
    <col min="9217" max="9217" width="2.42578125" style="545" customWidth="1"/>
    <col min="9218" max="9218" width="24.42578125" style="545" customWidth="1"/>
    <col min="9219" max="9219" width="15.42578125" style="545" customWidth="1"/>
    <col min="9220" max="9220" width="17.85546875" style="545" customWidth="1"/>
    <col min="9221" max="9221" width="14.140625" style="545" customWidth="1"/>
    <col min="9222" max="9222" width="14.42578125" style="545" customWidth="1"/>
    <col min="9223" max="9223" width="10.42578125" style="545" bestFit="1" customWidth="1"/>
    <col min="9224" max="9224" width="10.42578125" style="545" customWidth="1"/>
    <col min="9225" max="9225" width="10.140625" style="545" customWidth="1"/>
    <col min="9226" max="9226" width="10.5703125" style="545" customWidth="1"/>
    <col min="9227" max="9227" width="10.42578125" style="545" bestFit="1" customWidth="1"/>
    <col min="9228" max="9472" width="9.140625" style="545"/>
    <col min="9473" max="9473" width="2.42578125" style="545" customWidth="1"/>
    <col min="9474" max="9474" width="24.42578125" style="545" customWidth="1"/>
    <col min="9475" max="9475" width="15.42578125" style="545" customWidth="1"/>
    <col min="9476" max="9476" width="17.85546875" style="545" customWidth="1"/>
    <col min="9477" max="9477" width="14.140625" style="545" customWidth="1"/>
    <col min="9478" max="9478" width="14.42578125" style="545" customWidth="1"/>
    <col min="9479" max="9479" width="10.42578125" style="545" bestFit="1" customWidth="1"/>
    <col min="9480" max="9480" width="10.42578125" style="545" customWidth="1"/>
    <col min="9481" max="9481" width="10.140625" style="545" customWidth="1"/>
    <col min="9482" max="9482" width="10.5703125" style="545" customWidth="1"/>
    <col min="9483" max="9483" width="10.42578125" style="545" bestFit="1" customWidth="1"/>
    <col min="9484" max="9728" width="9.140625" style="545"/>
    <col min="9729" max="9729" width="2.42578125" style="545" customWidth="1"/>
    <col min="9730" max="9730" width="24.42578125" style="545" customWidth="1"/>
    <col min="9731" max="9731" width="15.42578125" style="545" customWidth="1"/>
    <col min="9732" max="9732" width="17.85546875" style="545" customWidth="1"/>
    <col min="9733" max="9733" width="14.140625" style="545" customWidth="1"/>
    <col min="9734" max="9734" width="14.42578125" style="545" customWidth="1"/>
    <col min="9735" max="9735" width="10.42578125" style="545" bestFit="1" customWidth="1"/>
    <col min="9736" max="9736" width="10.42578125" style="545" customWidth="1"/>
    <col min="9737" max="9737" width="10.140625" style="545" customWidth="1"/>
    <col min="9738" max="9738" width="10.5703125" style="545" customWidth="1"/>
    <col min="9739" max="9739" width="10.42578125" style="545" bestFit="1" customWidth="1"/>
    <col min="9740" max="9984" width="9.140625" style="545"/>
    <col min="9985" max="9985" width="2.42578125" style="545" customWidth="1"/>
    <col min="9986" max="9986" width="24.42578125" style="545" customWidth="1"/>
    <col min="9987" max="9987" width="15.42578125" style="545" customWidth="1"/>
    <col min="9988" max="9988" width="17.85546875" style="545" customWidth="1"/>
    <col min="9989" max="9989" width="14.140625" style="545" customWidth="1"/>
    <col min="9990" max="9990" width="14.42578125" style="545" customWidth="1"/>
    <col min="9991" max="9991" width="10.42578125" style="545" bestFit="1" customWidth="1"/>
    <col min="9992" max="9992" width="10.42578125" style="545" customWidth="1"/>
    <col min="9993" max="9993" width="10.140625" style="545" customWidth="1"/>
    <col min="9994" max="9994" width="10.5703125" style="545" customWidth="1"/>
    <col min="9995" max="9995" width="10.42578125" style="545" bestFit="1" customWidth="1"/>
    <col min="9996" max="10240" width="9.140625" style="545"/>
    <col min="10241" max="10241" width="2.42578125" style="545" customWidth="1"/>
    <col min="10242" max="10242" width="24.42578125" style="545" customWidth="1"/>
    <col min="10243" max="10243" width="15.42578125" style="545" customWidth="1"/>
    <col min="10244" max="10244" width="17.85546875" style="545" customWidth="1"/>
    <col min="10245" max="10245" width="14.140625" style="545" customWidth="1"/>
    <col min="10246" max="10246" width="14.42578125" style="545" customWidth="1"/>
    <col min="10247" max="10247" width="10.42578125" style="545" bestFit="1" customWidth="1"/>
    <col min="10248" max="10248" width="10.42578125" style="545" customWidth="1"/>
    <col min="10249" max="10249" width="10.140625" style="545" customWidth="1"/>
    <col min="10250" max="10250" width="10.5703125" style="545" customWidth="1"/>
    <col min="10251" max="10251" width="10.42578125" style="545" bestFit="1" customWidth="1"/>
    <col min="10252" max="10496" width="9.140625" style="545"/>
    <col min="10497" max="10497" width="2.42578125" style="545" customWidth="1"/>
    <col min="10498" max="10498" width="24.42578125" style="545" customWidth="1"/>
    <col min="10499" max="10499" width="15.42578125" style="545" customWidth="1"/>
    <col min="10500" max="10500" width="17.85546875" style="545" customWidth="1"/>
    <col min="10501" max="10501" width="14.140625" style="545" customWidth="1"/>
    <col min="10502" max="10502" width="14.42578125" style="545" customWidth="1"/>
    <col min="10503" max="10503" width="10.42578125" style="545" bestFit="1" customWidth="1"/>
    <col min="10504" max="10504" width="10.42578125" style="545" customWidth="1"/>
    <col min="10505" max="10505" width="10.140625" style="545" customWidth="1"/>
    <col min="10506" max="10506" width="10.5703125" style="545" customWidth="1"/>
    <col min="10507" max="10507" width="10.42578125" style="545" bestFit="1" customWidth="1"/>
    <col min="10508" max="10752" width="9.140625" style="545"/>
    <col min="10753" max="10753" width="2.42578125" style="545" customWidth="1"/>
    <col min="10754" max="10754" width="24.42578125" style="545" customWidth="1"/>
    <col min="10755" max="10755" width="15.42578125" style="545" customWidth="1"/>
    <col min="10756" max="10756" width="17.85546875" style="545" customWidth="1"/>
    <col min="10757" max="10757" width="14.140625" style="545" customWidth="1"/>
    <col min="10758" max="10758" width="14.42578125" style="545" customWidth="1"/>
    <col min="10759" max="10759" width="10.42578125" style="545" bestFit="1" customWidth="1"/>
    <col min="10760" max="10760" width="10.42578125" style="545" customWidth="1"/>
    <col min="10761" max="10761" width="10.140625" style="545" customWidth="1"/>
    <col min="10762" max="10762" width="10.5703125" style="545" customWidth="1"/>
    <col min="10763" max="10763" width="10.42578125" style="545" bestFit="1" customWidth="1"/>
    <col min="10764" max="11008" width="9.140625" style="545"/>
    <col min="11009" max="11009" width="2.42578125" style="545" customWidth="1"/>
    <col min="11010" max="11010" width="24.42578125" style="545" customWidth="1"/>
    <col min="11011" max="11011" width="15.42578125" style="545" customWidth="1"/>
    <col min="11012" max="11012" width="17.85546875" style="545" customWidth="1"/>
    <col min="11013" max="11013" width="14.140625" style="545" customWidth="1"/>
    <col min="11014" max="11014" width="14.42578125" style="545" customWidth="1"/>
    <col min="11015" max="11015" width="10.42578125" style="545" bestFit="1" customWidth="1"/>
    <col min="11016" max="11016" width="10.42578125" style="545" customWidth="1"/>
    <col min="11017" max="11017" width="10.140625" style="545" customWidth="1"/>
    <col min="11018" max="11018" width="10.5703125" style="545" customWidth="1"/>
    <col min="11019" max="11019" width="10.42578125" style="545" bestFit="1" customWidth="1"/>
    <col min="11020" max="11264" width="9.140625" style="545"/>
    <col min="11265" max="11265" width="2.42578125" style="545" customWidth="1"/>
    <col min="11266" max="11266" width="24.42578125" style="545" customWidth="1"/>
    <col min="11267" max="11267" width="15.42578125" style="545" customWidth="1"/>
    <col min="11268" max="11268" width="17.85546875" style="545" customWidth="1"/>
    <col min="11269" max="11269" width="14.140625" style="545" customWidth="1"/>
    <col min="11270" max="11270" width="14.42578125" style="545" customWidth="1"/>
    <col min="11271" max="11271" width="10.42578125" style="545" bestFit="1" customWidth="1"/>
    <col min="11272" max="11272" width="10.42578125" style="545" customWidth="1"/>
    <col min="11273" max="11273" width="10.140625" style="545" customWidth="1"/>
    <col min="11274" max="11274" width="10.5703125" style="545" customWidth="1"/>
    <col min="11275" max="11275" width="10.42578125" style="545" bestFit="1" customWidth="1"/>
    <col min="11276" max="11520" width="9.140625" style="545"/>
    <col min="11521" max="11521" width="2.42578125" style="545" customWidth="1"/>
    <col min="11522" max="11522" width="24.42578125" style="545" customWidth="1"/>
    <col min="11523" max="11523" width="15.42578125" style="545" customWidth="1"/>
    <col min="11524" max="11524" width="17.85546875" style="545" customWidth="1"/>
    <col min="11525" max="11525" width="14.140625" style="545" customWidth="1"/>
    <col min="11526" max="11526" width="14.42578125" style="545" customWidth="1"/>
    <col min="11527" max="11527" width="10.42578125" style="545" bestFit="1" customWidth="1"/>
    <col min="11528" max="11528" width="10.42578125" style="545" customWidth="1"/>
    <col min="11529" max="11529" width="10.140625" style="545" customWidth="1"/>
    <col min="11530" max="11530" width="10.5703125" style="545" customWidth="1"/>
    <col min="11531" max="11531" width="10.42578125" style="545" bestFit="1" customWidth="1"/>
    <col min="11532" max="11776" width="9.140625" style="545"/>
    <col min="11777" max="11777" width="2.42578125" style="545" customWidth="1"/>
    <col min="11778" max="11778" width="24.42578125" style="545" customWidth="1"/>
    <col min="11779" max="11779" width="15.42578125" style="545" customWidth="1"/>
    <col min="11780" max="11780" width="17.85546875" style="545" customWidth="1"/>
    <col min="11781" max="11781" width="14.140625" style="545" customWidth="1"/>
    <col min="11782" max="11782" width="14.42578125" style="545" customWidth="1"/>
    <col min="11783" max="11783" width="10.42578125" style="545" bestFit="1" customWidth="1"/>
    <col min="11784" max="11784" width="10.42578125" style="545" customWidth="1"/>
    <col min="11785" max="11785" width="10.140625" style="545" customWidth="1"/>
    <col min="11786" max="11786" width="10.5703125" style="545" customWidth="1"/>
    <col min="11787" max="11787" width="10.42578125" style="545" bestFit="1" customWidth="1"/>
    <col min="11788" max="12032" width="9.140625" style="545"/>
    <col min="12033" max="12033" width="2.42578125" style="545" customWidth="1"/>
    <col min="12034" max="12034" width="24.42578125" style="545" customWidth="1"/>
    <col min="12035" max="12035" width="15.42578125" style="545" customWidth="1"/>
    <col min="12036" max="12036" width="17.85546875" style="545" customWidth="1"/>
    <col min="12037" max="12037" width="14.140625" style="545" customWidth="1"/>
    <col min="12038" max="12038" width="14.42578125" style="545" customWidth="1"/>
    <col min="12039" max="12039" width="10.42578125" style="545" bestFit="1" customWidth="1"/>
    <col min="12040" max="12040" width="10.42578125" style="545" customWidth="1"/>
    <col min="12041" max="12041" width="10.140625" style="545" customWidth="1"/>
    <col min="12042" max="12042" width="10.5703125" style="545" customWidth="1"/>
    <col min="12043" max="12043" width="10.42578125" style="545" bestFit="1" customWidth="1"/>
    <col min="12044" max="12288" width="9.140625" style="545"/>
    <col min="12289" max="12289" width="2.42578125" style="545" customWidth="1"/>
    <col min="12290" max="12290" width="24.42578125" style="545" customWidth="1"/>
    <col min="12291" max="12291" width="15.42578125" style="545" customWidth="1"/>
    <col min="12292" max="12292" width="17.85546875" style="545" customWidth="1"/>
    <col min="12293" max="12293" width="14.140625" style="545" customWidth="1"/>
    <col min="12294" max="12294" width="14.42578125" style="545" customWidth="1"/>
    <col min="12295" max="12295" width="10.42578125" style="545" bestFit="1" customWidth="1"/>
    <col min="12296" max="12296" width="10.42578125" style="545" customWidth="1"/>
    <col min="12297" max="12297" width="10.140625" style="545" customWidth="1"/>
    <col min="12298" max="12298" width="10.5703125" style="545" customWidth="1"/>
    <col min="12299" max="12299" width="10.42578125" style="545" bestFit="1" customWidth="1"/>
    <col min="12300" max="12544" width="9.140625" style="545"/>
    <col min="12545" max="12545" width="2.42578125" style="545" customWidth="1"/>
    <col min="12546" max="12546" width="24.42578125" style="545" customWidth="1"/>
    <col min="12547" max="12547" width="15.42578125" style="545" customWidth="1"/>
    <col min="12548" max="12548" width="17.85546875" style="545" customWidth="1"/>
    <col min="12549" max="12549" width="14.140625" style="545" customWidth="1"/>
    <col min="12550" max="12550" width="14.42578125" style="545" customWidth="1"/>
    <col min="12551" max="12551" width="10.42578125" style="545" bestFit="1" customWidth="1"/>
    <col min="12552" max="12552" width="10.42578125" style="545" customWidth="1"/>
    <col min="12553" max="12553" width="10.140625" style="545" customWidth="1"/>
    <col min="12554" max="12554" width="10.5703125" style="545" customWidth="1"/>
    <col min="12555" max="12555" width="10.42578125" style="545" bestFit="1" customWidth="1"/>
    <col min="12556" max="12800" width="9.140625" style="545"/>
    <col min="12801" max="12801" width="2.42578125" style="545" customWidth="1"/>
    <col min="12802" max="12802" width="24.42578125" style="545" customWidth="1"/>
    <col min="12803" max="12803" width="15.42578125" style="545" customWidth="1"/>
    <col min="12804" max="12804" width="17.85546875" style="545" customWidth="1"/>
    <col min="12805" max="12805" width="14.140625" style="545" customWidth="1"/>
    <col min="12806" max="12806" width="14.42578125" style="545" customWidth="1"/>
    <col min="12807" max="12807" width="10.42578125" style="545" bestFit="1" customWidth="1"/>
    <col min="12808" max="12808" width="10.42578125" style="545" customWidth="1"/>
    <col min="12809" max="12809" width="10.140625" style="545" customWidth="1"/>
    <col min="12810" max="12810" width="10.5703125" style="545" customWidth="1"/>
    <col min="12811" max="12811" width="10.42578125" style="545" bestFit="1" customWidth="1"/>
    <col min="12812" max="13056" width="9.140625" style="545"/>
    <col min="13057" max="13057" width="2.42578125" style="545" customWidth="1"/>
    <col min="13058" max="13058" width="24.42578125" style="545" customWidth="1"/>
    <col min="13059" max="13059" width="15.42578125" style="545" customWidth="1"/>
    <col min="13060" max="13060" width="17.85546875" style="545" customWidth="1"/>
    <col min="13061" max="13061" width="14.140625" style="545" customWidth="1"/>
    <col min="13062" max="13062" width="14.42578125" style="545" customWidth="1"/>
    <col min="13063" max="13063" width="10.42578125" style="545" bestFit="1" customWidth="1"/>
    <col min="13064" max="13064" width="10.42578125" style="545" customWidth="1"/>
    <col min="13065" max="13065" width="10.140625" style="545" customWidth="1"/>
    <col min="13066" max="13066" width="10.5703125" style="545" customWidth="1"/>
    <col min="13067" max="13067" width="10.42578125" style="545" bestFit="1" customWidth="1"/>
    <col min="13068" max="13312" width="9.140625" style="545"/>
    <col min="13313" max="13313" width="2.42578125" style="545" customWidth="1"/>
    <col min="13314" max="13314" width="24.42578125" style="545" customWidth="1"/>
    <col min="13315" max="13315" width="15.42578125" style="545" customWidth="1"/>
    <col min="13316" max="13316" width="17.85546875" style="545" customWidth="1"/>
    <col min="13317" max="13317" width="14.140625" style="545" customWidth="1"/>
    <col min="13318" max="13318" width="14.42578125" style="545" customWidth="1"/>
    <col min="13319" max="13319" width="10.42578125" style="545" bestFit="1" customWidth="1"/>
    <col min="13320" max="13320" width="10.42578125" style="545" customWidth="1"/>
    <col min="13321" max="13321" width="10.140625" style="545" customWidth="1"/>
    <col min="13322" max="13322" width="10.5703125" style="545" customWidth="1"/>
    <col min="13323" max="13323" width="10.42578125" style="545" bestFit="1" customWidth="1"/>
    <col min="13324" max="13568" width="9.140625" style="545"/>
    <col min="13569" max="13569" width="2.42578125" style="545" customWidth="1"/>
    <col min="13570" max="13570" width="24.42578125" style="545" customWidth="1"/>
    <col min="13571" max="13571" width="15.42578125" style="545" customWidth="1"/>
    <col min="13572" max="13572" width="17.85546875" style="545" customWidth="1"/>
    <col min="13573" max="13573" width="14.140625" style="545" customWidth="1"/>
    <col min="13574" max="13574" width="14.42578125" style="545" customWidth="1"/>
    <col min="13575" max="13575" width="10.42578125" style="545" bestFit="1" customWidth="1"/>
    <col min="13576" max="13576" width="10.42578125" style="545" customWidth="1"/>
    <col min="13577" max="13577" width="10.140625" style="545" customWidth="1"/>
    <col min="13578" max="13578" width="10.5703125" style="545" customWidth="1"/>
    <col min="13579" max="13579" width="10.42578125" style="545" bestFit="1" customWidth="1"/>
    <col min="13580" max="13824" width="9.140625" style="545"/>
    <col min="13825" max="13825" width="2.42578125" style="545" customWidth="1"/>
    <col min="13826" max="13826" width="24.42578125" style="545" customWidth="1"/>
    <col min="13827" max="13827" width="15.42578125" style="545" customWidth="1"/>
    <col min="13828" max="13828" width="17.85546875" style="545" customWidth="1"/>
    <col min="13829" max="13829" width="14.140625" style="545" customWidth="1"/>
    <col min="13830" max="13830" width="14.42578125" style="545" customWidth="1"/>
    <col min="13831" max="13831" width="10.42578125" style="545" bestFit="1" customWidth="1"/>
    <col min="13832" max="13832" width="10.42578125" style="545" customWidth="1"/>
    <col min="13833" max="13833" width="10.140625" style="545" customWidth="1"/>
    <col min="13834" max="13834" width="10.5703125" style="545" customWidth="1"/>
    <col min="13835" max="13835" width="10.42578125" style="545" bestFit="1" customWidth="1"/>
    <col min="13836" max="14080" width="9.140625" style="545"/>
    <col min="14081" max="14081" width="2.42578125" style="545" customWidth="1"/>
    <col min="14082" max="14082" width="24.42578125" style="545" customWidth="1"/>
    <col min="14083" max="14083" width="15.42578125" style="545" customWidth="1"/>
    <col min="14084" max="14084" width="17.85546875" style="545" customWidth="1"/>
    <col min="14085" max="14085" width="14.140625" style="545" customWidth="1"/>
    <col min="14086" max="14086" width="14.42578125" style="545" customWidth="1"/>
    <col min="14087" max="14087" width="10.42578125" style="545" bestFit="1" customWidth="1"/>
    <col min="14088" max="14088" width="10.42578125" style="545" customWidth="1"/>
    <col min="14089" max="14089" width="10.140625" style="545" customWidth="1"/>
    <col min="14090" max="14090" width="10.5703125" style="545" customWidth="1"/>
    <col min="14091" max="14091" width="10.42578125" style="545" bestFit="1" customWidth="1"/>
    <col min="14092" max="14336" width="9.140625" style="545"/>
    <col min="14337" max="14337" width="2.42578125" style="545" customWidth="1"/>
    <col min="14338" max="14338" width="24.42578125" style="545" customWidth="1"/>
    <col min="14339" max="14339" width="15.42578125" style="545" customWidth="1"/>
    <col min="14340" max="14340" width="17.85546875" style="545" customWidth="1"/>
    <col min="14341" max="14341" width="14.140625" style="545" customWidth="1"/>
    <col min="14342" max="14342" width="14.42578125" style="545" customWidth="1"/>
    <col min="14343" max="14343" width="10.42578125" style="545" bestFit="1" customWidth="1"/>
    <col min="14344" max="14344" width="10.42578125" style="545" customWidth="1"/>
    <col min="14345" max="14345" width="10.140625" style="545" customWidth="1"/>
    <col min="14346" max="14346" width="10.5703125" style="545" customWidth="1"/>
    <col min="14347" max="14347" width="10.42578125" style="545" bestFit="1" customWidth="1"/>
    <col min="14348" max="14592" width="9.140625" style="545"/>
    <col min="14593" max="14593" width="2.42578125" style="545" customWidth="1"/>
    <col min="14594" max="14594" width="24.42578125" style="545" customWidth="1"/>
    <col min="14595" max="14595" width="15.42578125" style="545" customWidth="1"/>
    <col min="14596" max="14596" width="17.85546875" style="545" customWidth="1"/>
    <col min="14597" max="14597" width="14.140625" style="545" customWidth="1"/>
    <col min="14598" max="14598" width="14.42578125" style="545" customWidth="1"/>
    <col min="14599" max="14599" width="10.42578125" style="545" bestFit="1" customWidth="1"/>
    <col min="14600" max="14600" width="10.42578125" style="545" customWidth="1"/>
    <col min="14601" max="14601" width="10.140625" style="545" customWidth="1"/>
    <col min="14602" max="14602" width="10.5703125" style="545" customWidth="1"/>
    <col min="14603" max="14603" width="10.42578125" style="545" bestFit="1" customWidth="1"/>
    <col min="14604" max="14848" width="9.140625" style="545"/>
    <col min="14849" max="14849" width="2.42578125" style="545" customWidth="1"/>
    <col min="14850" max="14850" width="24.42578125" style="545" customWidth="1"/>
    <col min="14851" max="14851" width="15.42578125" style="545" customWidth="1"/>
    <col min="14852" max="14852" width="17.85546875" style="545" customWidth="1"/>
    <col min="14853" max="14853" width="14.140625" style="545" customWidth="1"/>
    <col min="14854" max="14854" width="14.42578125" style="545" customWidth="1"/>
    <col min="14855" max="14855" width="10.42578125" style="545" bestFit="1" customWidth="1"/>
    <col min="14856" max="14856" width="10.42578125" style="545" customWidth="1"/>
    <col min="14857" max="14857" width="10.140625" style="545" customWidth="1"/>
    <col min="14858" max="14858" width="10.5703125" style="545" customWidth="1"/>
    <col min="14859" max="14859" width="10.42578125" style="545" bestFit="1" customWidth="1"/>
    <col min="14860" max="15104" width="9.140625" style="545"/>
    <col min="15105" max="15105" width="2.42578125" style="545" customWidth="1"/>
    <col min="15106" max="15106" width="24.42578125" style="545" customWidth="1"/>
    <col min="15107" max="15107" width="15.42578125" style="545" customWidth="1"/>
    <col min="15108" max="15108" width="17.85546875" style="545" customWidth="1"/>
    <col min="15109" max="15109" width="14.140625" style="545" customWidth="1"/>
    <col min="15110" max="15110" width="14.42578125" style="545" customWidth="1"/>
    <col min="15111" max="15111" width="10.42578125" style="545" bestFit="1" customWidth="1"/>
    <col min="15112" max="15112" width="10.42578125" style="545" customWidth="1"/>
    <col min="15113" max="15113" width="10.140625" style="545" customWidth="1"/>
    <col min="15114" max="15114" width="10.5703125" style="545" customWidth="1"/>
    <col min="15115" max="15115" width="10.42578125" style="545" bestFit="1" customWidth="1"/>
    <col min="15116" max="15360" width="9.140625" style="545"/>
    <col min="15361" max="15361" width="2.42578125" style="545" customWidth="1"/>
    <col min="15362" max="15362" width="24.42578125" style="545" customWidth="1"/>
    <col min="15363" max="15363" width="15.42578125" style="545" customWidth="1"/>
    <col min="15364" max="15364" width="17.85546875" style="545" customWidth="1"/>
    <col min="15365" max="15365" width="14.140625" style="545" customWidth="1"/>
    <col min="15366" max="15366" width="14.42578125" style="545" customWidth="1"/>
    <col min="15367" max="15367" width="10.42578125" style="545" bestFit="1" customWidth="1"/>
    <col min="15368" max="15368" width="10.42578125" style="545" customWidth="1"/>
    <col min="15369" max="15369" width="10.140625" style="545" customWidth="1"/>
    <col min="15370" max="15370" width="10.5703125" style="545" customWidth="1"/>
    <col min="15371" max="15371" width="10.42578125" style="545" bestFit="1" customWidth="1"/>
    <col min="15372" max="15616" width="9.140625" style="545"/>
    <col min="15617" max="15617" width="2.42578125" style="545" customWidth="1"/>
    <col min="15618" max="15618" width="24.42578125" style="545" customWidth="1"/>
    <col min="15619" max="15619" width="15.42578125" style="545" customWidth="1"/>
    <col min="15620" max="15620" width="17.85546875" style="545" customWidth="1"/>
    <col min="15621" max="15621" width="14.140625" style="545" customWidth="1"/>
    <col min="15622" max="15622" width="14.42578125" style="545" customWidth="1"/>
    <col min="15623" max="15623" width="10.42578125" style="545" bestFit="1" customWidth="1"/>
    <col min="15624" max="15624" width="10.42578125" style="545" customWidth="1"/>
    <col min="15625" max="15625" width="10.140625" style="545" customWidth="1"/>
    <col min="15626" max="15626" width="10.5703125" style="545" customWidth="1"/>
    <col min="15627" max="15627" width="10.42578125" style="545" bestFit="1" customWidth="1"/>
    <col min="15628" max="15872" width="9.140625" style="545"/>
    <col min="15873" max="15873" width="2.42578125" style="545" customWidth="1"/>
    <col min="15874" max="15874" width="24.42578125" style="545" customWidth="1"/>
    <col min="15875" max="15875" width="15.42578125" style="545" customWidth="1"/>
    <col min="15876" max="15876" width="17.85546875" style="545" customWidth="1"/>
    <col min="15877" max="15877" width="14.140625" style="545" customWidth="1"/>
    <col min="15878" max="15878" width="14.42578125" style="545" customWidth="1"/>
    <col min="15879" max="15879" width="10.42578125" style="545" bestFit="1" customWidth="1"/>
    <col min="15880" max="15880" width="10.42578125" style="545" customWidth="1"/>
    <col min="15881" max="15881" width="10.140625" style="545" customWidth="1"/>
    <col min="15882" max="15882" width="10.5703125" style="545" customWidth="1"/>
    <col min="15883" max="15883" width="10.42578125" style="545" bestFit="1" customWidth="1"/>
    <col min="15884" max="16128" width="9.140625" style="545"/>
    <col min="16129" max="16129" width="2.42578125" style="545" customWidth="1"/>
    <col min="16130" max="16130" width="24.42578125" style="545" customWidth="1"/>
    <col min="16131" max="16131" width="15.42578125" style="545" customWidth="1"/>
    <col min="16132" max="16132" width="17.85546875" style="545" customWidth="1"/>
    <col min="16133" max="16133" width="14.140625" style="545" customWidth="1"/>
    <col min="16134" max="16134" width="14.42578125" style="545" customWidth="1"/>
    <col min="16135" max="16135" width="10.42578125" style="545" bestFit="1" customWidth="1"/>
    <col min="16136" max="16136" width="10.42578125" style="545" customWidth="1"/>
    <col min="16137" max="16137" width="10.140625" style="545" customWidth="1"/>
    <col min="16138" max="16138" width="10.5703125" style="545" customWidth="1"/>
    <col min="16139" max="16139" width="10.42578125" style="545" bestFit="1" customWidth="1"/>
    <col min="16140" max="16384" width="9.140625" style="545"/>
  </cols>
  <sheetData>
    <row r="1" spans="1:12" ht="12.75" customHeight="1" x14ac:dyDescent="0.25">
      <c r="A1" s="577" t="s">
        <v>1013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</row>
    <row r="2" spans="1:12" ht="15" x14ac:dyDescent="0.25">
      <c r="G2" s="548"/>
      <c r="H2" s="548"/>
      <c r="I2" s="548"/>
      <c r="J2" s="548"/>
      <c r="K2" s="208"/>
    </row>
    <row r="3" spans="1:12" x14ac:dyDescent="0.2">
      <c r="B3" s="599" t="s">
        <v>983</v>
      </c>
      <c r="C3" s="599"/>
      <c r="D3" s="599"/>
      <c r="E3" s="599"/>
      <c r="F3" s="599"/>
      <c r="G3" s="599"/>
      <c r="H3" s="599"/>
      <c r="I3" s="599"/>
      <c r="J3" s="549"/>
    </row>
    <row r="4" spans="1:12" x14ac:dyDescent="0.2">
      <c r="B4" s="550"/>
      <c r="C4" s="551"/>
      <c r="D4" s="551"/>
      <c r="E4" s="551"/>
      <c r="F4" s="552"/>
      <c r="K4" s="553" t="s">
        <v>31</v>
      </c>
    </row>
    <row r="5" spans="1:12" s="546" customFormat="1" ht="38.25" x14ac:dyDescent="0.2">
      <c r="A5" s="554"/>
      <c r="B5" s="555" t="s">
        <v>875</v>
      </c>
      <c r="C5" s="555" t="s">
        <v>984</v>
      </c>
      <c r="D5" s="555" t="s">
        <v>985</v>
      </c>
      <c r="E5" s="555" t="s">
        <v>986</v>
      </c>
      <c r="F5" s="556" t="s">
        <v>987</v>
      </c>
      <c r="G5" s="557" t="s">
        <v>994</v>
      </c>
      <c r="H5" s="557" t="s">
        <v>995</v>
      </c>
      <c r="I5" s="555" t="s">
        <v>988</v>
      </c>
      <c r="J5" s="555" t="s">
        <v>989</v>
      </c>
      <c r="K5" s="555" t="s">
        <v>996</v>
      </c>
    </row>
    <row r="6" spans="1:12" x14ac:dyDescent="0.2">
      <c r="A6" s="558" t="s">
        <v>885</v>
      </c>
      <c r="B6" s="559"/>
      <c r="C6" s="560"/>
      <c r="D6" s="561"/>
      <c r="E6" s="562"/>
      <c r="F6" s="562"/>
      <c r="G6" s="563"/>
      <c r="H6" s="563"/>
      <c r="I6" s="564"/>
      <c r="J6" s="564"/>
      <c r="K6" s="558"/>
      <c r="L6" s="565"/>
    </row>
    <row r="7" spans="1:12" x14ac:dyDescent="0.2">
      <c r="A7" s="558" t="s">
        <v>886</v>
      </c>
      <c r="B7" s="559"/>
      <c r="C7" s="560"/>
      <c r="D7" s="561"/>
      <c r="E7" s="562"/>
      <c r="F7" s="562"/>
      <c r="G7" s="563"/>
      <c r="H7" s="563"/>
      <c r="I7" s="564"/>
      <c r="J7" s="564"/>
      <c r="K7" s="558"/>
      <c r="L7" s="565"/>
    </row>
    <row r="8" spans="1:12" x14ac:dyDescent="0.2">
      <c r="A8" s="558" t="s">
        <v>887</v>
      </c>
      <c r="B8" s="559"/>
      <c r="C8" s="560"/>
      <c r="D8" s="561"/>
      <c r="E8" s="562"/>
      <c r="F8" s="562"/>
      <c r="G8" s="566"/>
      <c r="H8" s="566"/>
      <c r="I8" s="567"/>
      <c r="J8" s="567"/>
      <c r="K8" s="567"/>
      <c r="L8" s="565"/>
    </row>
    <row r="9" spans="1:12" x14ac:dyDescent="0.2">
      <c r="L9" s="565"/>
    </row>
    <row r="10" spans="1:12" x14ac:dyDescent="0.2">
      <c r="A10" s="568"/>
      <c r="C10" s="568"/>
      <c r="D10" s="569"/>
      <c r="E10" s="569"/>
      <c r="F10" s="569"/>
      <c r="G10" s="570"/>
      <c r="H10" s="570"/>
    </row>
  </sheetData>
  <mergeCells count="2">
    <mergeCell ref="B3:I3"/>
    <mergeCell ref="A1:K1"/>
  </mergeCells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5"/>
  <sheetViews>
    <sheetView zoomScaleNormal="100" workbookViewId="0">
      <selection activeCell="A2" sqref="A2"/>
    </sheetView>
  </sheetViews>
  <sheetFormatPr defaultRowHeight="12.75" x14ac:dyDescent="0.2"/>
  <cols>
    <col min="1" max="1" width="37.85546875" style="325" customWidth="1"/>
    <col min="2" max="2" width="40.7109375" style="326" customWidth="1"/>
    <col min="3" max="3" width="14.5703125" style="327" customWidth="1"/>
    <col min="4" max="4" width="18" style="328" bestFit="1" customWidth="1"/>
    <col min="5" max="5" width="14" style="331" customWidth="1"/>
    <col min="6" max="6" width="24.140625" style="195" customWidth="1"/>
    <col min="7" max="7" width="21.7109375" style="195" customWidth="1"/>
    <col min="8" max="255" width="9.140625" style="195"/>
    <col min="256" max="256" width="37.85546875" style="195" customWidth="1"/>
    <col min="257" max="257" width="40.7109375" style="195" customWidth="1"/>
    <col min="258" max="258" width="14.5703125" style="195" customWidth="1"/>
    <col min="259" max="259" width="18" style="195" bestFit="1" customWidth="1"/>
    <col min="260" max="260" width="14" style="195" customWidth="1"/>
    <col min="261" max="261" width="17.28515625" style="195" customWidth="1"/>
    <col min="262" max="262" width="24.140625" style="195" customWidth="1"/>
    <col min="263" max="263" width="21.7109375" style="195" customWidth="1"/>
    <col min="264" max="511" width="9.140625" style="195"/>
    <col min="512" max="512" width="37.85546875" style="195" customWidth="1"/>
    <col min="513" max="513" width="40.7109375" style="195" customWidth="1"/>
    <col min="514" max="514" width="14.5703125" style="195" customWidth="1"/>
    <col min="515" max="515" width="18" style="195" bestFit="1" customWidth="1"/>
    <col min="516" max="516" width="14" style="195" customWidth="1"/>
    <col min="517" max="517" width="17.28515625" style="195" customWidth="1"/>
    <col min="518" max="518" width="24.140625" style="195" customWidth="1"/>
    <col min="519" max="519" width="21.7109375" style="195" customWidth="1"/>
    <col min="520" max="767" width="9.140625" style="195"/>
    <col min="768" max="768" width="37.85546875" style="195" customWidth="1"/>
    <col min="769" max="769" width="40.7109375" style="195" customWidth="1"/>
    <col min="770" max="770" width="14.5703125" style="195" customWidth="1"/>
    <col min="771" max="771" width="18" style="195" bestFit="1" customWidth="1"/>
    <col min="772" max="772" width="14" style="195" customWidth="1"/>
    <col min="773" max="773" width="17.28515625" style="195" customWidth="1"/>
    <col min="774" max="774" width="24.140625" style="195" customWidth="1"/>
    <col min="775" max="775" width="21.7109375" style="195" customWidth="1"/>
    <col min="776" max="1023" width="9.140625" style="195"/>
    <col min="1024" max="1024" width="37.85546875" style="195" customWidth="1"/>
    <col min="1025" max="1025" width="40.7109375" style="195" customWidth="1"/>
    <col min="1026" max="1026" width="14.5703125" style="195" customWidth="1"/>
    <col min="1027" max="1027" width="18" style="195" bestFit="1" customWidth="1"/>
    <col min="1028" max="1028" width="14" style="195" customWidth="1"/>
    <col min="1029" max="1029" width="17.28515625" style="195" customWidth="1"/>
    <col min="1030" max="1030" width="24.140625" style="195" customWidth="1"/>
    <col min="1031" max="1031" width="21.7109375" style="195" customWidth="1"/>
    <col min="1032" max="1279" width="9.140625" style="195"/>
    <col min="1280" max="1280" width="37.85546875" style="195" customWidth="1"/>
    <col min="1281" max="1281" width="40.7109375" style="195" customWidth="1"/>
    <col min="1282" max="1282" width="14.5703125" style="195" customWidth="1"/>
    <col min="1283" max="1283" width="18" style="195" bestFit="1" customWidth="1"/>
    <col min="1284" max="1284" width="14" style="195" customWidth="1"/>
    <col min="1285" max="1285" width="17.28515625" style="195" customWidth="1"/>
    <col min="1286" max="1286" width="24.140625" style="195" customWidth="1"/>
    <col min="1287" max="1287" width="21.7109375" style="195" customWidth="1"/>
    <col min="1288" max="1535" width="9.140625" style="195"/>
    <col min="1536" max="1536" width="37.85546875" style="195" customWidth="1"/>
    <col min="1537" max="1537" width="40.7109375" style="195" customWidth="1"/>
    <col min="1538" max="1538" width="14.5703125" style="195" customWidth="1"/>
    <col min="1539" max="1539" width="18" style="195" bestFit="1" customWidth="1"/>
    <col min="1540" max="1540" width="14" style="195" customWidth="1"/>
    <col min="1541" max="1541" width="17.28515625" style="195" customWidth="1"/>
    <col min="1542" max="1542" width="24.140625" style="195" customWidth="1"/>
    <col min="1543" max="1543" width="21.7109375" style="195" customWidth="1"/>
    <col min="1544" max="1791" width="9.140625" style="195"/>
    <col min="1792" max="1792" width="37.85546875" style="195" customWidth="1"/>
    <col min="1793" max="1793" width="40.7109375" style="195" customWidth="1"/>
    <col min="1794" max="1794" width="14.5703125" style="195" customWidth="1"/>
    <col min="1795" max="1795" width="18" style="195" bestFit="1" customWidth="1"/>
    <col min="1796" max="1796" width="14" style="195" customWidth="1"/>
    <col min="1797" max="1797" width="17.28515625" style="195" customWidth="1"/>
    <col min="1798" max="1798" width="24.140625" style="195" customWidth="1"/>
    <col min="1799" max="1799" width="21.7109375" style="195" customWidth="1"/>
    <col min="1800" max="2047" width="9.140625" style="195"/>
    <col min="2048" max="2048" width="37.85546875" style="195" customWidth="1"/>
    <col min="2049" max="2049" width="40.7109375" style="195" customWidth="1"/>
    <col min="2050" max="2050" width="14.5703125" style="195" customWidth="1"/>
    <col min="2051" max="2051" width="18" style="195" bestFit="1" customWidth="1"/>
    <col min="2052" max="2052" width="14" style="195" customWidth="1"/>
    <col min="2053" max="2053" width="17.28515625" style="195" customWidth="1"/>
    <col min="2054" max="2054" width="24.140625" style="195" customWidth="1"/>
    <col min="2055" max="2055" width="21.7109375" style="195" customWidth="1"/>
    <col min="2056" max="2303" width="9.140625" style="195"/>
    <col min="2304" max="2304" width="37.85546875" style="195" customWidth="1"/>
    <col min="2305" max="2305" width="40.7109375" style="195" customWidth="1"/>
    <col min="2306" max="2306" width="14.5703125" style="195" customWidth="1"/>
    <col min="2307" max="2307" width="18" style="195" bestFit="1" customWidth="1"/>
    <col min="2308" max="2308" width="14" style="195" customWidth="1"/>
    <col min="2309" max="2309" width="17.28515625" style="195" customWidth="1"/>
    <col min="2310" max="2310" width="24.140625" style="195" customWidth="1"/>
    <col min="2311" max="2311" width="21.7109375" style="195" customWidth="1"/>
    <col min="2312" max="2559" width="9.140625" style="195"/>
    <col min="2560" max="2560" width="37.85546875" style="195" customWidth="1"/>
    <col min="2561" max="2561" width="40.7109375" style="195" customWidth="1"/>
    <col min="2562" max="2562" width="14.5703125" style="195" customWidth="1"/>
    <col min="2563" max="2563" width="18" style="195" bestFit="1" customWidth="1"/>
    <col min="2564" max="2564" width="14" style="195" customWidth="1"/>
    <col min="2565" max="2565" width="17.28515625" style="195" customWidth="1"/>
    <col min="2566" max="2566" width="24.140625" style="195" customWidth="1"/>
    <col min="2567" max="2567" width="21.7109375" style="195" customWidth="1"/>
    <col min="2568" max="2815" width="9.140625" style="195"/>
    <col min="2816" max="2816" width="37.85546875" style="195" customWidth="1"/>
    <col min="2817" max="2817" width="40.7109375" style="195" customWidth="1"/>
    <col min="2818" max="2818" width="14.5703125" style="195" customWidth="1"/>
    <col min="2819" max="2819" width="18" style="195" bestFit="1" customWidth="1"/>
    <col min="2820" max="2820" width="14" style="195" customWidth="1"/>
    <col min="2821" max="2821" width="17.28515625" style="195" customWidth="1"/>
    <col min="2822" max="2822" width="24.140625" style="195" customWidth="1"/>
    <col min="2823" max="2823" width="21.7109375" style="195" customWidth="1"/>
    <col min="2824" max="3071" width="9.140625" style="195"/>
    <col min="3072" max="3072" width="37.85546875" style="195" customWidth="1"/>
    <col min="3073" max="3073" width="40.7109375" style="195" customWidth="1"/>
    <col min="3074" max="3074" width="14.5703125" style="195" customWidth="1"/>
    <col min="3075" max="3075" width="18" style="195" bestFit="1" customWidth="1"/>
    <col min="3076" max="3076" width="14" style="195" customWidth="1"/>
    <col min="3077" max="3077" width="17.28515625" style="195" customWidth="1"/>
    <col min="3078" max="3078" width="24.140625" style="195" customWidth="1"/>
    <col min="3079" max="3079" width="21.7109375" style="195" customWidth="1"/>
    <col min="3080" max="3327" width="9.140625" style="195"/>
    <col min="3328" max="3328" width="37.85546875" style="195" customWidth="1"/>
    <col min="3329" max="3329" width="40.7109375" style="195" customWidth="1"/>
    <col min="3330" max="3330" width="14.5703125" style="195" customWidth="1"/>
    <col min="3331" max="3331" width="18" style="195" bestFit="1" customWidth="1"/>
    <col min="3332" max="3332" width="14" style="195" customWidth="1"/>
    <col min="3333" max="3333" width="17.28515625" style="195" customWidth="1"/>
    <col min="3334" max="3334" width="24.140625" style="195" customWidth="1"/>
    <col min="3335" max="3335" width="21.7109375" style="195" customWidth="1"/>
    <col min="3336" max="3583" width="9.140625" style="195"/>
    <col min="3584" max="3584" width="37.85546875" style="195" customWidth="1"/>
    <col min="3585" max="3585" width="40.7109375" style="195" customWidth="1"/>
    <col min="3586" max="3586" width="14.5703125" style="195" customWidth="1"/>
    <col min="3587" max="3587" width="18" style="195" bestFit="1" customWidth="1"/>
    <col min="3588" max="3588" width="14" style="195" customWidth="1"/>
    <col min="3589" max="3589" width="17.28515625" style="195" customWidth="1"/>
    <col min="3590" max="3590" width="24.140625" style="195" customWidth="1"/>
    <col min="3591" max="3591" width="21.7109375" style="195" customWidth="1"/>
    <col min="3592" max="3839" width="9.140625" style="195"/>
    <col min="3840" max="3840" width="37.85546875" style="195" customWidth="1"/>
    <col min="3841" max="3841" width="40.7109375" style="195" customWidth="1"/>
    <col min="3842" max="3842" width="14.5703125" style="195" customWidth="1"/>
    <col min="3843" max="3843" width="18" style="195" bestFit="1" customWidth="1"/>
    <col min="3844" max="3844" width="14" style="195" customWidth="1"/>
    <col min="3845" max="3845" width="17.28515625" style="195" customWidth="1"/>
    <col min="3846" max="3846" width="24.140625" style="195" customWidth="1"/>
    <col min="3847" max="3847" width="21.7109375" style="195" customWidth="1"/>
    <col min="3848" max="4095" width="9.140625" style="195"/>
    <col min="4096" max="4096" width="37.85546875" style="195" customWidth="1"/>
    <col min="4097" max="4097" width="40.7109375" style="195" customWidth="1"/>
    <col min="4098" max="4098" width="14.5703125" style="195" customWidth="1"/>
    <col min="4099" max="4099" width="18" style="195" bestFit="1" customWidth="1"/>
    <col min="4100" max="4100" width="14" style="195" customWidth="1"/>
    <col min="4101" max="4101" width="17.28515625" style="195" customWidth="1"/>
    <col min="4102" max="4102" width="24.140625" style="195" customWidth="1"/>
    <col min="4103" max="4103" width="21.7109375" style="195" customWidth="1"/>
    <col min="4104" max="4351" width="9.140625" style="195"/>
    <col min="4352" max="4352" width="37.85546875" style="195" customWidth="1"/>
    <col min="4353" max="4353" width="40.7109375" style="195" customWidth="1"/>
    <col min="4354" max="4354" width="14.5703125" style="195" customWidth="1"/>
    <col min="4355" max="4355" width="18" style="195" bestFit="1" customWidth="1"/>
    <col min="4356" max="4356" width="14" style="195" customWidth="1"/>
    <col min="4357" max="4357" width="17.28515625" style="195" customWidth="1"/>
    <col min="4358" max="4358" width="24.140625" style="195" customWidth="1"/>
    <col min="4359" max="4359" width="21.7109375" style="195" customWidth="1"/>
    <col min="4360" max="4607" width="9.140625" style="195"/>
    <col min="4608" max="4608" width="37.85546875" style="195" customWidth="1"/>
    <col min="4609" max="4609" width="40.7109375" style="195" customWidth="1"/>
    <col min="4610" max="4610" width="14.5703125" style="195" customWidth="1"/>
    <col min="4611" max="4611" width="18" style="195" bestFit="1" customWidth="1"/>
    <col min="4612" max="4612" width="14" style="195" customWidth="1"/>
    <col min="4613" max="4613" width="17.28515625" style="195" customWidth="1"/>
    <col min="4614" max="4614" width="24.140625" style="195" customWidth="1"/>
    <col min="4615" max="4615" width="21.7109375" style="195" customWidth="1"/>
    <col min="4616" max="4863" width="9.140625" style="195"/>
    <col min="4864" max="4864" width="37.85546875" style="195" customWidth="1"/>
    <col min="4865" max="4865" width="40.7109375" style="195" customWidth="1"/>
    <col min="4866" max="4866" width="14.5703125" style="195" customWidth="1"/>
    <col min="4867" max="4867" width="18" style="195" bestFit="1" customWidth="1"/>
    <col min="4868" max="4868" width="14" style="195" customWidth="1"/>
    <col min="4869" max="4869" width="17.28515625" style="195" customWidth="1"/>
    <col min="4870" max="4870" width="24.140625" style="195" customWidth="1"/>
    <col min="4871" max="4871" width="21.7109375" style="195" customWidth="1"/>
    <col min="4872" max="5119" width="9.140625" style="195"/>
    <col min="5120" max="5120" width="37.85546875" style="195" customWidth="1"/>
    <col min="5121" max="5121" width="40.7109375" style="195" customWidth="1"/>
    <col min="5122" max="5122" width="14.5703125" style="195" customWidth="1"/>
    <col min="5123" max="5123" width="18" style="195" bestFit="1" customWidth="1"/>
    <col min="5124" max="5124" width="14" style="195" customWidth="1"/>
    <col min="5125" max="5125" width="17.28515625" style="195" customWidth="1"/>
    <col min="5126" max="5126" width="24.140625" style="195" customWidth="1"/>
    <col min="5127" max="5127" width="21.7109375" style="195" customWidth="1"/>
    <col min="5128" max="5375" width="9.140625" style="195"/>
    <col min="5376" max="5376" width="37.85546875" style="195" customWidth="1"/>
    <col min="5377" max="5377" width="40.7109375" style="195" customWidth="1"/>
    <col min="5378" max="5378" width="14.5703125" style="195" customWidth="1"/>
    <col min="5379" max="5379" width="18" style="195" bestFit="1" customWidth="1"/>
    <col min="5380" max="5380" width="14" style="195" customWidth="1"/>
    <col min="5381" max="5381" width="17.28515625" style="195" customWidth="1"/>
    <col min="5382" max="5382" width="24.140625" style="195" customWidth="1"/>
    <col min="5383" max="5383" width="21.7109375" style="195" customWidth="1"/>
    <col min="5384" max="5631" width="9.140625" style="195"/>
    <col min="5632" max="5632" width="37.85546875" style="195" customWidth="1"/>
    <col min="5633" max="5633" width="40.7109375" style="195" customWidth="1"/>
    <col min="5634" max="5634" width="14.5703125" style="195" customWidth="1"/>
    <col min="5635" max="5635" width="18" style="195" bestFit="1" customWidth="1"/>
    <col min="5636" max="5636" width="14" style="195" customWidth="1"/>
    <col min="5637" max="5637" width="17.28515625" style="195" customWidth="1"/>
    <col min="5638" max="5638" width="24.140625" style="195" customWidth="1"/>
    <col min="5639" max="5639" width="21.7109375" style="195" customWidth="1"/>
    <col min="5640" max="5887" width="9.140625" style="195"/>
    <col min="5888" max="5888" width="37.85546875" style="195" customWidth="1"/>
    <col min="5889" max="5889" width="40.7109375" style="195" customWidth="1"/>
    <col min="5890" max="5890" width="14.5703125" style="195" customWidth="1"/>
    <col min="5891" max="5891" width="18" style="195" bestFit="1" customWidth="1"/>
    <col min="5892" max="5892" width="14" style="195" customWidth="1"/>
    <col min="5893" max="5893" width="17.28515625" style="195" customWidth="1"/>
    <col min="5894" max="5894" width="24.140625" style="195" customWidth="1"/>
    <col min="5895" max="5895" width="21.7109375" style="195" customWidth="1"/>
    <col min="5896" max="6143" width="9.140625" style="195"/>
    <col min="6144" max="6144" width="37.85546875" style="195" customWidth="1"/>
    <col min="6145" max="6145" width="40.7109375" style="195" customWidth="1"/>
    <col min="6146" max="6146" width="14.5703125" style="195" customWidth="1"/>
    <col min="6147" max="6147" width="18" style="195" bestFit="1" customWidth="1"/>
    <col min="6148" max="6148" width="14" style="195" customWidth="1"/>
    <col min="6149" max="6149" width="17.28515625" style="195" customWidth="1"/>
    <col min="6150" max="6150" width="24.140625" style="195" customWidth="1"/>
    <col min="6151" max="6151" width="21.7109375" style="195" customWidth="1"/>
    <col min="6152" max="6399" width="9.140625" style="195"/>
    <col min="6400" max="6400" width="37.85546875" style="195" customWidth="1"/>
    <col min="6401" max="6401" width="40.7109375" style="195" customWidth="1"/>
    <col min="6402" max="6402" width="14.5703125" style="195" customWidth="1"/>
    <col min="6403" max="6403" width="18" style="195" bestFit="1" customWidth="1"/>
    <col min="6404" max="6404" width="14" style="195" customWidth="1"/>
    <col min="6405" max="6405" width="17.28515625" style="195" customWidth="1"/>
    <col min="6406" max="6406" width="24.140625" style="195" customWidth="1"/>
    <col min="6407" max="6407" width="21.7109375" style="195" customWidth="1"/>
    <col min="6408" max="6655" width="9.140625" style="195"/>
    <col min="6656" max="6656" width="37.85546875" style="195" customWidth="1"/>
    <col min="6657" max="6657" width="40.7109375" style="195" customWidth="1"/>
    <col min="6658" max="6658" width="14.5703125" style="195" customWidth="1"/>
    <col min="6659" max="6659" width="18" style="195" bestFit="1" customWidth="1"/>
    <col min="6660" max="6660" width="14" style="195" customWidth="1"/>
    <col min="6661" max="6661" width="17.28515625" style="195" customWidth="1"/>
    <col min="6662" max="6662" width="24.140625" style="195" customWidth="1"/>
    <col min="6663" max="6663" width="21.7109375" style="195" customWidth="1"/>
    <col min="6664" max="6911" width="9.140625" style="195"/>
    <col min="6912" max="6912" width="37.85546875" style="195" customWidth="1"/>
    <col min="6913" max="6913" width="40.7109375" style="195" customWidth="1"/>
    <col min="6914" max="6914" width="14.5703125" style="195" customWidth="1"/>
    <col min="6915" max="6915" width="18" style="195" bestFit="1" customWidth="1"/>
    <col min="6916" max="6916" width="14" style="195" customWidth="1"/>
    <col min="6917" max="6917" width="17.28515625" style="195" customWidth="1"/>
    <col min="6918" max="6918" width="24.140625" style="195" customWidth="1"/>
    <col min="6919" max="6919" width="21.7109375" style="195" customWidth="1"/>
    <col min="6920" max="7167" width="9.140625" style="195"/>
    <col min="7168" max="7168" width="37.85546875" style="195" customWidth="1"/>
    <col min="7169" max="7169" width="40.7109375" style="195" customWidth="1"/>
    <col min="7170" max="7170" width="14.5703125" style="195" customWidth="1"/>
    <col min="7171" max="7171" width="18" style="195" bestFit="1" customWidth="1"/>
    <col min="7172" max="7172" width="14" style="195" customWidth="1"/>
    <col min="7173" max="7173" width="17.28515625" style="195" customWidth="1"/>
    <col min="7174" max="7174" width="24.140625" style="195" customWidth="1"/>
    <col min="7175" max="7175" width="21.7109375" style="195" customWidth="1"/>
    <col min="7176" max="7423" width="9.140625" style="195"/>
    <col min="7424" max="7424" width="37.85546875" style="195" customWidth="1"/>
    <col min="7425" max="7425" width="40.7109375" style="195" customWidth="1"/>
    <col min="7426" max="7426" width="14.5703125" style="195" customWidth="1"/>
    <col min="7427" max="7427" width="18" style="195" bestFit="1" customWidth="1"/>
    <col min="7428" max="7428" width="14" style="195" customWidth="1"/>
    <col min="7429" max="7429" width="17.28515625" style="195" customWidth="1"/>
    <col min="7430" max="7430" width="24.140625" style="195" customWidth="1"/>
    <col min="7431" max="7431" width="21.7109375" style="195" customWidth="1"/>
    <col min="7432" max="7679" width="9.140625" style="195"/>
    <col min="7680" max="7680" width="37.85546875" style="195" customWidth="1"/>
    <col min="7681" max="7681" width="40.7109375" style="195" customWidth="1"/>
    <col min="7682" max="7682" width="14.5703125" style="195" customWidth="1"/>
    <col min="7683" max="7683" width="18" style="195" bestFit="1" customWidth="1"/>
    <col min="7684" max="7684" width="14" style="195" customWidth="1"/>
    <col min="7685" max="7685" width="17.28515625" style="195" customWidth="1"/>
    <col min="7686" max="7686" width="24.140625" style="195" customWidth="1"/>
    <col min="7687" max="7687" width="21.7109375" style="195" customWidth="1"/>
    <col min="7688" max="7935" width="9.140625" style="195"/>
    <col min="7936" max="7936" width="37.85546875" style="195" customWidth="1"/>
    <col min="7937" max="7937" width="40.7109375" style="195" customWidth="1"/>
    <col min="7938" max="7938" width="14.5703125" style="195" customWidth="1"/>
    <col min="7939" max="7939" width="18" style="195" bestFit="1" customWidth="1"/>
    <col min="7940" max="7940" width="14" style="195" customWidth="1"/>
    <col min="7941" max="7941" width="17.28515625" style="195" customWidth="1"/>
    <col min="7942" max="7942" width="24.140625" style="195" customWidth="1"/>
    <col min="7943" max="7943" width="21.7109375" style="195" customWidth="1"/>
    <col min="7944" max="8191" width="9.140625" style="195"/>
    <col min="8192" max="8192" width="37.85546875" style="195" customWidth="1"/>
    <col min="8193" max="8193" width="40.7109375" style="195" customWidth="1"/>
    <col min="8194" max="8194" width="14.5703125" style="195" customWidth="1"/>
    <col min="8195" max="8195" width="18" style="195" bestFit="1" customWidth="1"/>
    <col min="8196" max="8196" width="14" style="195" customWidth="1"/>
    <col min="8197" max="8197" width="17.28515625" style="195" customWidth="1"/>
    <col min="8198" max="8198" width="24.140625" style="195" customWidth="1"/>
    <col min="8199" max="8199" width="21.7109375" style="195" customWidth="1"/>
    <col min="8200" max="8447" width="9.140625" style="195"/>
    <col min="8448" max="8448" width="37.85546875" style="195" customWidth="1"/>
    <col min="8449" max="8449" width="40.7109375" style="195" customWidth="1"/>
    <col min="8450" max="8450" width="14.5703125" style="195" customWidth="1"/>
    <col min="8451" max="8451" width="18" style="195" bestFit="1" customWidth="1"/>
    <col min="8452" max="8452" width="14" style="195" customWidth="1"/>
    <col min="8453" max="8453" width="17.28515625" style="195" customWidth="1"/>
    <col min="8454" max="8454" width="24.140625" style="195" customWidth="1"/>
    <col min="8455" max="8455" width="21.7109375" style="195" customWidth="1"/>
    <col min="8456" max="8703" width="9.140625" style="195"/>
    <col min="8704" max="8704" width="37.85546875" style="195" customWidth="1"/>
    <col min="8705" max="8705" width="40.7109375" style="195" customWidth="1"/>
    <col min="8706" max="8706" width="14.5703125" style="195" customWidth="1"/>
    <col min="8707" max="8707" width="18" style="195" bestFit="1" customWidth="1"/>
    <col min="8708" max="8708" width="14" style="195" customWidth="1"/>
    <col min="8709" max="8709" width="17.28515625" style="195" customWidth="1"/>
    <col min="8710" max="8710" width="24.140625" style="195" customWidth="1"/>
    <col min="8711" max="8711" width="21.7109375" style="195" customWidth="1"/>
    <col min="8712" max="8959" width="9.140625" style="195"/>
    <col min="8960" max="8960" width="37.85546875" style="195" customWidth="1"/>
    <col min="8961" max="8961" width="40.7109375" style="195" customWidth="1"/>
    <col min="8962" max="8962" width="14.5703125" style="195" customWidth="1"/>
    <col min="8963" max="8963" width="18" style="195" bestFit="1" customWidth="1"/>
    <col min="8964" max="8964" width="14" style="195" customWidth="1"/>
    <col min="8965" max="8965" width="17.28515625" style="195" customWidth="1"/>
    <col min="8966" max="8966" width="24.140625" style="195" customWidth="1"/>
    <col min="8967" max="8967" width="21.7109375" style="195" customWidth="1"/>
    <col min="8968" max="9215" width="9.140625" style="195"/>
    <col min="9216" max="9216" width="37.85546875" style="195" customWidth="1"/>
    <col min="9217" max="9217" width="40.7109375" style="195" customWidth="1"/>
    <col min="9218" max="9218" width="14.5703125" style="195" customWidth="1"/>
    <col min="9219" max="9219" width="18" style="195" bestFit="1" customWidth="1"/>
    <col min="9220" max="9220" width="14" style="195" customWidth="1"/>
    <col min="9221" max="9221" width="17.28515625" style="195" customWidth="1"/>
    <col min="9222" max="9222" width="24.140625" style="195" customWidth="1"/>
    <col min="9223" max="9223" width="21.7109375" style="195" customWidth="1"/>
    <col min="9224" max="9471" width="9.140625" style="195"/>
    <col min="9472" max="9472" width="37.85546875" style="195" customWidth="1"/>
    <col min="9473" max="9473" width="40.7109375" style="195" customWidth="1"/>
    <col min="9474" max="9474" width="14.5703125" style="195" customWidth="1"/>
    <col min="9475" max="9475" width="18" style="195" bestFit="1" customWidth="1"/>
    <col min="9476" max="9476" width="14" style="195" customWidth="1"/>
    <col min="9477" max="9477" width="17.28515625" style="195" customWidth="1"/>
    <col min="9478" max="9478" width="24.140625" style="195" customWidth="1"/>
    <col min="9479" max="9479" width="21.7109375" style="195" customWidth="1"/>
    <col min="9480" max="9727" width="9.140625" style="195"/>
    <col min="9728" max="9728" width="37.85546875" style="195" customWidth="1"/>
    <col min="9729" max="9729" width="40.7109375" style="195" customWidth="1"/>
    <col min="9730" max="9730" width="14.5703125" style="195" customWidth="1"/>
    <col min="9731" max="9731" width="18" style="195" bestFit="1" customWidth="1"/>
    <col min="9732" max="9732" width="14" style="195" customWidth="1"/>
    <col min="9733" max="9733" width="17.28515625" style="195" customWidth="1"/>
    <col min="9734" max="9734" width="24.140625" style="195" customWidth="1"/>
    <col min="9735" max="9735" width="21.7109375" style="195" customWidth="1"/>
    <col min="9736" max="9983" width="9.140625" style="195"/>
    <col min="9984" max="9984" width="37.85546875" style="195" customWidth="1"/>
    <col min="9985" max="9985" width="40.7109375" style="195" customWidth="1"/>
    <col min="9986" max="9986" width="14.5703125" style="195" customWidth="1"/>
    <col min="9987" max="9987" width="18" style="195" bestFit="1" customWidth="1"/>
    <col min="9988" max="9988" width="14" style="195" customWidth="1"/>
    <col min="9989" max="9989" width="17.28515625" style="195" customWidth="1"/>
    <col min="9990" max="9990" width="24.140625" style="195" customWidth="1"/>
    <col min="9991" max="9991" width="21.7109375" style="195" customWidth="1"/>
    <col min="9992" max="10239" width="9.140625" style="195"/>
    <col min="10240" max="10240" width="37.85546875" style="195" customWidth="1"/>
    <col min="10241" max="10241" width="40.7109375" style="195" customWidth="1"/>
    <col min="10242" max="10242" width="14.5703125" style="195" customWidth="1"/>
    <col min="10243" max="10243" width="18" style="195" bestFit="1" customWidth="1"/>
    <col min="10244" max="10244" width="14" style="195" customWidth="1"/>
    <col min="10245" max="10245" width="17.28515625" style="195" customWidth="1"/>
    <col min="10246" max="10246" width="24.140625" style="195" customWidth="1"/>
    <col min="10247" max="10247" width="21.7109375" style="195" customWidth="1"/>
    <col min="10248" max="10495" width="9.140625" style="195"/>
    <col min="10496" max="10496" width="37.85546875" style="195" customWidth="1"/>
    <col min="10497" max="10497" width="40.7109375" style="195" customWidth="1"/>
    <col min="10498" max="10498" width="14.5703125" style="195" customWidth="1"/>
    <col min="10499" max="10499" width="18" style="195" bestFit="1" customWidth="1"/>
    <col min="10500" max="10500" width="14" style="195" customWidth="1"/>
    <col min="10501" max="10501" width="17.28515625" style="195" customWidth="1"/>
    <col min="10502" max="10502" width="24.140625" style="195" customWidth="1"/>
    <col min="10503" max="10503" width="21.7109375" style="195" customWidth="1"/>
    <col min="10504" max="10751" width="9.140625" style="195"/>
    <col min="10752" max="10752" width="37.85546875" style="195" customWidth="1"/>
    <col min="10753" max="10753" width="40.7109375" style="195" customWidth="1"/>
    <col min="10754" max="10754" width="14.5703125" style="195" customWidth="1"/>
    <col min="10755" max="10755" width="18" style="195" bestFit="1" customWidth="1"/>
    <col min="10756" max="10756" width="14" style="195" customWidth="1"/>
    <col min="10757" max="10757" width="17.28515625" style="195" customWidth="1"/>
    <col min="10758" max="10758" width="24.140625" style="195" customWidth="1"/>
    <col min="10759" max="10759" width="21.7109375" style="195" customWidth="1"/>
    <col min="10760" max="11007" width="9.140625" style="195"/>
    <col min="11008" max="11008" width="37.85546875" style="195" customWidth="1"/>
    <col min="11009" max="11009" width="40.7109375" style="195" customWidth="1"/>
    <col min="11010" max="11010" width="14.5703125" style="195" customWidth="1"/>
    <col min="11011" max="11011" width="18" style="195" bestFit="1" customWidth="1"/>
    <col min="11012" max="11012" width="14" style="195" customWidth="1"/>
    <col min="11013" max="11013" width="17.28515625" style="195" customWidth="1"/>
    <col min="11014" max="11014" width="24.140625" style="195" customWidth="1"/>
    <col min="11015" max="11015" width="21.7109375" style="195" customWidth="1"/>
    <col min="11016" max="11263" width="9.140625" style="195"/>
    <col min="11264" max="11264" width="37.85546875" style="195" customWidth="1"/>
    <col min="11265" max="11265" width="40.7109375" style="195" customWidth="1"/>
    <col min="11266" max="11266" width="14.5703125" style="195" customWidth="1"/>
    <col min="11267" max="11267" width="18" style="195" bestFit="1" customWidth="1"/>
    <col min="11268" max="11268" width="14" style="195" customWidth="1"/>
    <col min="11269" max="11269" width="17.28515625" style="195" customWidth="1"/>
    <col min="11270" max="11270" width="24.140625" style="195" customWidth="1"/>
    <col min="11271" max="11271" width="21.7109375" style="195" customWidth="1"/>
    <col min="11272" max="11519" width="9.140625" style="195"/>
    <col min="11520" max="11520" width="37.85546875" style="195" customWidth="1"/>
    <col min="11521" max="11521" width="40.7109375" style="195" customWidth="1"/>
    <col min="11522" max="11522" width="14.5703125" style="195" customWidth="1"/>
    <col min="11523" max="11523" width="18" style="195" bestFit="1" customWidth="1"/>
    <col min="11524" max="11524" width="14" style="195" customWidth="1"/>
    <col min="11525" max="11525" width="17.28515625" style="195" customWidth="1"/>
    <col min="11526" max="11526" width="24.140625" style="195" customWidth="1"/>
    <col min="11527" max="11527" width="21.7109375" style="195" customWidth="1"/>
    <col min="11528" max="11775" width="9.140625" style="195"/>
    <col min="11776" max="11776" width="37.85546875" style="195" customWidth="1"/>
    <col min="11777" max="11777" width="40.7109375" style="195" customWidth="1"/>
    <col min="11778" max="11778" width="14.5703125" style="195" customWidth="1"/>
    <col min="11779" max="11779" width="18" style="195" bestFit="1" customWidth="1"/>
    <col min="11780" max="11780" width="14" style="195" customWidth="1"/>
    <col min="11781" max="11781" width="17.28515625" style="195" customWidth="1"/>
    <col min="11782" max="11782" width="24.140625" style="195" customWidth="1"/>
    <col min="11783" max="11783" width="21.7109375" style="195" customWidth="1"/>
    <col min="11784" max="12031" width="9.140625" style="195"/>
    <col min="12032" max="12032" width="37.85546875" style="195" customWidth="1"/>
    <col min="12033" max="12033" width="40.7109375" style="195" customWidth="1"/>
    <col min="12034" max="12034" width="14.5703125" style="195" customWidth="1"/>
    <col min="12035" max="12035" width="18" style="195" bestFit="1" customWidth="1"/>
    <col min="12036" max="12036" width="14" style="195" customWidth="1"/>
    <col min="12037" max="12037" width="17.28515625" style="195" customWidth="1"/>
    <col min="12038" max="12038" width="24.140625" style="195" customWidth="1"/>
    <col min="12039" max="12039" width="21.7109375" style="195" customWidth="1"/>
    <col min="12040" max="12287" width="9.140625" style="195"/>
    <col min="12288" max="12288" width="37.85546875" style="195" customWidth="1"/>
    <col min="12289" max="12289" width="40.7109375" style="195" customWidth="1"/>
    <col min="12290" max="12290" width="14.5703125" style="195" customWidth="1"/>
    <col min="12291" max="12291" width="18" style="195" bestFit="1" customWidth="1"/>
    <col min="12292" max="12292" width="14" style="195" customWidth="1"/>
    <col min="12293" max="12293" width="17.28515625" style="195" customWidth="1"/>
    <col min="12294" max="12294" width="24.140625" style="195" customWidth="1"/>
    <col min="12295" max="12295" width="21.7109375" style="195" customWidth="1"/>
    <col min="12296" max="12543" width="9.140625" style="195"/>
    <col min="12544" max="12544" width="37.85546875" style="195" customWidth="1"/>
    <col min="12545" max="12545" width="40.7109375" style="195" customWidth="1"/>
    <col min="12546" max="12546" width="14.5703125" style="195" customWidth="1"/>
    <col min="12547" max="12547" width="18" style="195" bestFit="1" customWidth="1"/>
    <col min="12548" max="12548" width="14" style="195" customWidth="1"/>
    <col min="12549" max="12549" width="17.28515625" style="195" customWidth="1"/>
    <col min="12550" max="12550" width="24.140625" style="195" customWidth="1"/>
    <col min="12551" max="12551" width="21.7109375" style="195" customWidth="1"/>
    <col min="12552" max="12799" width="9.140625" style="195"/>
    <col min="12800" max="12800" width="37.85546875" style="195" customWidth="1"/>
    <col min="12801" max="12801" width="40.7109375" style="195" customWidth="1"/>
    <col min="12802" max="12802" width="14.5703125" style="195" customWidth="1"/>
    <col min="12803" max="12803" width="18" style="195" bestFit="1" customWidth="1"/>
    <col min="12804" max="12804" width="14" style="195" customWidth="1"/>
    <col min="12805" max="12805" width="17.28515625" style="195" customWidth="1"/>
    <col min="12806" max="12806" width="24.140625" style="195" customWidth="1"/>
    <col min="12807" max="12807" width="21.7109375" style="195" customWidth="1"/>
    <col min="12808" max="13055" width="9.140625" style="195"/>
    <col min="13056" max="13056" width="37.85546875" style="195" customWidth="1"/>
    <col min="13057" max="13057" width="40.7109375" style="195" customWidth="1"/>
    <col min="13058" max="13058" width="14.5703125" style="195" customWidth="1"/>
    <col min="13059" max="13059" width="18" style="195" bestFit="1" customWidth="1"/>
    <col min="13060" max="13060" width="14" style="195" customWidth="1"/>
    <col min="13061" max="13061" width="17.28515625" style="195" customWidth="1"/>
    <col min="13062" max="13062" width="24.140625" style="195" customWidth="1"/>
    <col min="13063" max="13063" width="21.7109375" style="195" customWidth="1"/>
    <col min="13064" max="13311" width="9.140625" style="195"/>
    <col min="13312" max="13312" width="37.85546875" style="195" customWidth="1"/>
    <col min="13313" max="13313" width="40.7109375" style="195" customWidth="1"/>
    <col min="13314" max="13314" width="14.5703125" style="195" customWidth="1"/>
    <col min="13315" max="13315" width="18" style="195" bestFit="1" customWidth="1"/>
    <col min="13316" max="13316" width="14" style="195" customWidth="1"/>
    <col min="13317" max="13317" width="17.28515625" style="195" customWidth="1"/>
    <col min="13318" max="13318" width="24.140625" style="195" customWidth="1"/>
    <col min="13319" max="13319" width="21.7109375" style="195" customWidth="1"/>
    <col min="13320" max="13567" width="9.140625" style="195"/>
    <col min="13568" max="13568" width="37.85546875" style="195" customWidth="1"/>
    <col min="13569" max="13569" width="40.7109375" style="195" customWidth="1"/>
    <col min="13570" max="13570" width="14.5703125" style="195" customWidth="1"/>
    <col min="13571" max="13571" width="18" style="195" bestFit="1" customWidth="1"/>
    <col min="13572" max="13572" width="14" style="195" customWidth="1"/>
    <col min="13573" max="13573" width="17.28515625" style="195" customWidth="1"/>
    <col min="13574" max="13574" width="24.140625" style="195" customWidth="1"/>
    <col min="13575" max="13575" width="21.7109375" style="195" customWidth="1"/>
    <col min="13576" max="13823" width="9.140625" style="195"/>
    <col min="13824" max="13824" width="37.85546875" style="195" customWidth="1"/>
    <col min="13825" max="13825" width="40.7109375" style="195" customWidth="1"/>
    <col min="13826" max="13826" width="14.5703125" style="195" customWidth="1"/>
    <col min="13827" max="13827" width="18" style="195" bestFit="1" customWidth="1"/>
    <col min="13828" max="13828" width="14" style="195" customWidth="1"/>
    <col min="13829" max="13829" width="17.28515625" style="195" customWidth="1"/>
    <col min="13830" max="13830" width="24.140625" style="195" customWidth="1"/>
    <col min="13831" max="13831" width="21.7109375" style="195" customWidth="1"/>
    <col min="13832" max="14079" width="9.140625" style="195"/>
    <col min="14080" max="14080" width="37.85546875" style="195" customWidth="1"/>
    <col min="14081" max="14081" width="40.7109375" style="195" customWidth="1"/>
    <col min="14082" max="14082" width="14.5703125" style="195" customWidth="1"/>
    <col min="14083" max="14083" width="18" style="195" bestFit="1" customWidth="1"/>
    <col min="14084" max="14084" width="14" style="195" customWidth="1"/>
    <col min="14085" max="14085" width="17.28515625" style="195" customWidth="1"/>
    <col min="14086" max="14086" width="24.140625" style="195" customWidth="1"/>
    <col min="14087" max="14087" width="21.7109375" style="195" customWidth="1"/>
    <col min="14088" max="14335" width="9.140625" style="195"/>
    <col min="14336" max="14336" width="37.85546875" style="195" customWidth="1"/>
    <col min="14337" max="14337" width="40.7109375" style="195" customWidth="1"/>
    <col min="14338" max="14338" width="14.5703125" style="195" customWidth="1"/>
    <col min="14339" max="14339" width="18" style="195" bestFit="1" customWidth="1"/>
    <col min="14340" max="14340" width="14" style="195" customWidth="1"/>
    <col min="14341" max="14341" width="17.28515625" style="195" customWidth="1"/>
    <col min="14342" max="14342" width="24.140625" style="195" customWidth="1"/>
    <col min="14343" max="14343" width="21.7109375" style="195" customWidth="1"/>
    <col min="14344" max="14591" width="9.140625" style="195"/>
    <col min="14592" max="14592" width="37.85546875" style="195" customWidth="1"/>
    <col min="14593" max="14593" width="40.7109375" style="195" customWidth="1"/>
    <col min="14594" max="14594" width="14.5703125" style="195" customWidth="1"/>
    <col min="14595" max="14595" width="18" style="195" bestFit="1" customWidth="1"/>
    <col min="14596" max="14596" width="14" style="195" customWidth="1"/>
    <col min="14597" max="14597" width="17.28515625" style="195" customWidth="1"/>
    <col min="14598" max="14598" width="24.140625" style="195" customWidth="1"/>
    <col min="14599" max="14599" width="21.7109375" style="195" customWidth="1"/>
    <col min="14600" max="14847" width="9.140625" style="195"/>
    <col min="14848" max="14848" width="37.85546875" style="195" customWidth="1"/>
    <col min="14849" max="14849" width="40.7109375" style="195" customWidth="1"/>
    <col min="14850" max="14850" width="14.5703125" style="195" customWidth="1"/>
    <col min="14851" max="14851" width="18" style="195" bestFit="1" customWidth="1"/>
    <col min="14852" max="14852" width="14" style="195" customWidth="1"/>
    <col min="14853" max="14853" width="17.28515625" style="195" customWidth="1"/>
    <col min="14854" max="14854" width="24.140625" style="195" customWidth="1"/>
    <col min="14855" max="14855" width="21.7109375" style="195" customWidth="1"/>
    <col min="14856" max="15103" width="9.140625" style="195"/>
    <col min="15104" max="15104" width="37.85546875" style="195" customWidth="1"/>
    <col min="15105" max="15105" width="40.7109375" style="195" customWidth="1"/>
    <col min="15106" max="15106" width="14.5703125" style="195" customWidth="1"/>
    <col min="15107" max="15107" width="18" style="195" bestFit="1" customWidth="1"/>
    <col min="15108" max="15108" width="14" style="195" customWidth="1"/>
    <col min="15109" max="15109" width="17.28515625" style="195" customWidth="1"/>
    <col min="15110" max="15110" width="24.140625" style="195" customWidth="1"/>
    <col min="15111" max="15111" width="21.7109375" style="195" customWidth="1"/>
    <col min="15112" max="15359" width="9.140625" style="195"/>
    <col min="15360" max="15360" width="37.85546875" style="195" customWidth="1"/>
    <col min="15361" max="15361" width="40.7109375" style="195" customWidth="1"/>
    <col min="15362" max="15362" width="14.5703125" style="195" customWidth="1"/>
    <col min="15363" max="15363" width="18" style="195" bestFit="1" customWidth="1"/>
    <col min="15364" max="15364" width="14" style="195" customWidth="1"/>
    <col min="15365" max="15365" width="17.28515625" style="195" customWidth="1"/>
    <col min="15366" max="15366" width="24.140625" style="195" customWidth="1"/>
    <col min="15367" max="15367" width="21.7109375" style="195" customWidth="1"/>
    <col min="15368" max="15615" width="9.140625" style="195"/>
    <col min="15616" max="15616" width="37.85546875" style="195" customWidth="1"/>
    <col min="15617" max="15617" width="40.7109375" style="195" customWidth="1"/>
    <col min="15618" max="15618" width="14.5703125" style="195" customWidth="1"/>
    <col min="15619" max="15619" width="18" style="195" bestFit="1" customWidth="1"/>
    <col min="15620" max="15620" width="14" style="195" customWidth="1"/>
    <col min="15621" max="15621" width="17.28515625" style="195" customWidth="1"/>
    <col min="15622" max="15622" width="24.140625" style="195" customWidth="1"/>
    <col min="15623" max="15623" width="21.7109375" style="195" customWidth="1"/>
    <col min="15624" max="15871" width="9.140625" style="195"/>
    <col min="15872" max="15872" width="37.85546875" style="195" customWidth="1"/>
    <col min="15873" max="15873" width="40.7109375" style="195" customWidth="1"/>
    <col min="15874" max="15874" width="14.5703125" style="195" customWidth="1"/>
    <col min="15875" max="15875" width="18" style="195" bestFit="1" customWidth="1"/>
    <col min="15876" max="15876" width="14" style="195" customWidth="1"/>
    <col min="15877" max="15877" width="17.28515625" style="195" customWidth="1"/>
    <col min="15878" max="15878" width="24.140625" style="195" customWidth="1"/>
    <col min="15879" max="15879" width="21.7109375" style="195" customWidth="1"/>
    <col min="15880" max="16127" width="9.140625" style="195"/>
    <col min="16128" max="16128" width="37.85546875" style="195" customWidth="1"/>
    <col min="16129" max="16129" width="40.7109375" style="195" customWidth="1"/>
    <col min="16130" max="16130" width="14.5703125" style="195" customWidth="1"/>
    <col min="16131" max="16131" width="18" style="195" bestFit="1" customWidth="1"/>
    <col min="16132" max="16132" width="14" style="195" customWidth="1"/>
    <col min="16133" max="16133" width="17.28515625" style="195" customWidth="1"/>
    <col min="16134" max="16134" width="24.140625" style="195" customWidth="1"/>
    <col min="16135" max="16135" width="21.7109375" style="195" customWidth="1"/>
    <col min="16136" max="16384" width="9.140625" style="195"/>
  </cols>
  <sheetData>
    <row r="1" spans="1:7" x14ac:dyDescent="0.2">
      <c r="A1" s="600" t="s">
        <v>1014</v>
      </c>
      <c r="B1" s="600"/>
      <c r="C1" s="600"/>
      <c r="D1" s="600"/>
      <c r="E1" s="600"/>
    </row>
    <row r="2" spans="1:7" x14ac:dyDescent="0.2">
      <c r="E2" s="328"/>
    </row>
    <row r="3" spans="1:7" x14ac:dyDescent="0.2">
      <c r="A3" s="602" t="s">
        <v>871</v>
      </c>
      <c r="B3" s="602"/>
      <c r="C3" s="602"/>
      <c r="D3" s="602"/>
      <c r="E3" s="602"/>
    </row>
    <row r="4" spans="1:7" x14ac:dyDescent="0.2">
      <c r="E4" s="328"/>
    </row>
    <row r="5" spans="1:7" s="127" customFormat="1" x14ac:dyDescent="0.2">
      <c r="A5" s="325"/>
      <c r="B5" s="326"/>
      <c r="C5" s="327"/>
      <c r="D5" s="328"/>
      <c r="E5" s="328" t="s">
        <v>543</v>
      </c>
    </row>
    <row r="6" spans="1:7" s="127" customFormat="1" ht="13.5" thickBot="1" x14ac:dyDescent="0.25">
      <c r="A6" s="326"/>
      <c r="B6" s="329"/>
      <c r="C6" s="330"/>
      <c r="D6" s="331"/>
      <c r="E6" s="332">
        <v>1</v>
      </c>
    </row>
    <row r="7" spans="1:7" s="127" customFormat="1" ht="12.75" customHeight="1" x14ac:dyDescent="0.2">
      <c r="A7" s="603" t="s">
        <v>544</v>
      </c>
      <c r="B7" s="605" t="s">
        <v>545</v>
      </c>
      <c r="C7" s="607" t="s">
        <v>546</v>
      </c>
      <c r="D7" s="609" t="s">
        <v>547</v>
      </c>
      <c r="E7" s="611" t="s">
        <v>548</v>
      </c>
      <c r="F7" s="601"/>
    </row>
    <row r="8" spans="1:7" s="127" customFormat="1" ht="13.5" thickBot="1" x14ac:dyDescent="0.25">
      <c r="A8" s="604"/>
      <c r="B8" s="606"/>
      <c r="C8" s="608"/>
      <c r="D8" s="610"/>
      <c r="E8" s="612"/>
      <c r="F8" s="601"/>
    </row>
    <row r="9" spans="1:7" s="127" customFormat="1" x14ac:dyDescent="0.2">
      <c r="A9" s="333" t="s">
        <v>549</v>
      </c>
      <c r="B9" s="334" t="s">
        <v>550</v>
      </c>
      <c r="C9" s="335" t="s">
        <v>551</v>
      </c>
      <c r="D9" s="336">
        <f>52007*4</f>
        <v>208028</v>
      </c>
      <c r="E9" s="337">
        <v>206504</v>
      </c>
    </row>
    <row r="10" spans="1:7" s="127" customFormat="1" ht="38.25" x14ac:dyDescent="0.2">
      <c r="A10" s="338" t="s">
        <v>552</v>
      </c>
      <c r="B10" s="339" t="s">
        <v>553</v>
      </c>
      <c r="C10" s="340" t="s">
        <v>551</v>
      </c>
      <c r="D10" s="336">
        <v>337647</v>
      </c>
      <c r="E10" s="341">
        <v>337647</v>
      </c>
    </row>
    <row r="11" spans="1:7" s="127" customFormat="1" x14ac:dyDescent="0.2">
      <c r="A11" s="338" t="s">
        <v>552</v>
      </c>
      <c r="B11" s="339" t="s">
        <v>554</v>
      </c>
      <c r="C11" s="340" t="s">
        <v>551</v>
      </c>
      <c r="D11" s="342">
        <v>8892</v>
      </c>
      <c r="E11" s="343">
        <v>8892</v>
      </c>
    </row>
    <row r="12" spans="1:7" s="127" customFormat="1" ht="25.5" x14ac:dyDescent="0.2">
      <c r="A12" s="344" t="s">
        <v>555</v>
      </c>
      <c r="B12" s="345" t="s">
        <v>556</v>
      </c>
      <c r="C12" s="346" t="s">
        <v>557</v>
      </c>
      <c r="D12" s="336">
        <v>196426</v>
      </c>
      <c r="E12" s="341">
        <v>196426</v>
      </c>
      <c r="G12" s="315"/>
    </row>
    <row r="13" spans="1:7" s="127" customFormat="1" ht="25.5" x14ac:dyDescent="0.2">
      <c r="A13" s="344" t="s">
        <v>555</v>
      </c>
      <c r="B13" s="345" t="s">
        <v>558</v>
      </c>
      <c r="C13" s="346" t="s">
        <v>557</v>
      </c>
      <c r="D13" s="336">
        <v>48600</v>
      </c>
      <c r="E13" s="341">
        <v>48600</v>
      </c>
      <c r="G13" s="315"/>
    </row>
    <row r="14" spans="1:7" s="127" customFormat="1" ht="25.5" x14ac:dyDescent="0.2">
      <c r="A14" s="338" t="s">
        <v>559</v>
      </c>
      <c r="B14" s="339" t="s">
        <v>560</v>
      </c>
      <c r="C14" s="340" t="s">
        <v>551</v>
      </c>
      <c r="D14" s="336">
        <v>150000</v>
      </c>
      <c r="E14" s="341">
        <v>150000</v>
      </c>
    </row>
    <row r="15" spans="1:7" s="127" customFormat="1" x14ac:dyDescent="0.2">
      <c r="A15" s="338" t="s">
        <v>561</v>
      </c>
      <c r="B15" s="339" t="s">
        <v>562</v>
      </c>
      <c r="C15" s="347" t="s">
        <v>551</v>
      </c>
      <c r="D15" s="336">
        <f>698500+63500</f>
        <v>762000</v>
      </c>
      <c r="E15" s="341">
        <v>698500</v>
      </c>
      <c r="G15" s="315"/>
    </row>
    <row r="16" spans="1:7" s="127" customFormat="1" x14ac:dyDescent="0.2">
      <c r="A16" s="338" t="s">
        <v>561</v>
      </c>
      <c r="B16" s="339" t="s">
        <v>563</v>
      </c>
      <c r="C16" s="347" t="s">
        <v>551</v>
      </c>
      <c r="D16" s="336">
        <v>485394</v>
      </c>
      <c r="E16" s="341">
        <v>485394</v>
      </c>
    </row>
    <row r="17" spans="1:9" s="127" customFormat="1" ht="25.5" x14ac:dyDescent="0.2">
      <c r="A17" s="338" t="s">
        <v>564</v>
      </c>
      <c r="B17" s="339" t="s">
        <v>565</v>
      </c>
      <c r="C17" s="340">
        <v>43830</v>
      </c>
      <c r="D17" s="336">
        <v>138369</v>
      </c>
      <c r="E17" s="341">
        <v>138369</v>
      </c>
    </row>
    <row r="18" spans="1:9" s="127" customFormat="1" ht="25.5" x14ac:dyDescent="0.2">
      <c r="A18" s="338" t="s">
        <v>566</v>
      </c>
      <c r="B18" s="339" t="s">
        <v>567</v>
      </c>
      <c r="C18" s="340" t="s">
        <v>551</v>
      </c>
      <c r="D18" s="336">
        <v>36000</v>
      </c>
      <c r="E18" s="341">
        <v>72000</v>
      </c>
      <c r="G18" s="315"/>
    </row>
    <row r="19" spans="1:9" s="127" customFormat="1" x14ac:dyDescent="0.2">
      <c r="A19" s="348" t="s">
        <v>568</v>
      </c>
      <c r="B19" s="349" t="s">
        <v>569</v>
      </c>
      <c r="C19" s="347" t="s">
        <v>551</v>
      </c>
      <c r="D19" s="336">
        <v>1072783</v>
      </c>
      <c r="E19" s="341">
        <v>1072783</v>
      </c>
    </row>
    <row r="20" spans="1:9" s="127" customFormat="1" ht="25.5" x14ac:dyDescent="0.2">
      <c r="A20" s="338" t="s">
        <v>570</v>
      </c>
      <c r="B20" s="339" t="s">
        <v>571</v>
      </c>
      <c r="C20" s="340" t="s">
        <v>551</v>
      </c>
      <c r="D20" s="342">
        <f>244203*E6</f>
        <v>244203</v>
      </c>
      <c r="E20" s="341">
        <v>244203</v>
      </c>
      <c r="I20" s="315"/>
    </row>
    <row r="21" spans="1:9" s="127" customFormat="1" x14ac:dyDescent="0.2">
      <c r="A21" s="344" t="s">
        <v>572</v>
      </c>
      <c r="B21" s="345" t="s">
        <v>573</v>
      </c>
      <c r="C21" s="350" t="s">
        <v>551</v>
      </c>
      <c r="D21" s="336">
        <v>1218985</v>
      </c>
      <c r="E21" s="341">
        <f>908954+81432+228599</f>
        <v>1218985</v>
      </c>
    </row>
    <row r="22" spans="1:9" s="127" customFormat="1" x14ac:dyDescent="0.2">
      <c r="A22" s="344" t="s">
        <v>572</v>
      </c>
      <c r="B22" s="345" t="s">
        <v>574</v>
      </c>
      <c r="C22" s="350" t="s">
        <v>551</v>
      </c>
      <c r="D22" s="336">
        <v>357329</v>
      </c>
      <c r="E22" s="341">
        <v>357329</v>
      </c>
    </row>
    <row r="23" spans="1:9" s="127" customFormat="1" x14ac:dyDescent="0.2">
      <c r="A23" s="344" t="s">
        <v>572</v>
      </c>
      <c r="B23" s="345" t="s">
        <v>575</v>
      </c>
      <c r="C23" s="350" t="s">
        <v>551</v>
      </c>
      <c r="D23" s="336">
        <v>2393374</v>
      </c>
      <c r="E23" s="341">
        <v>2393374</v>
      </c>
    </row>
    <row r="24" spans="1:9" s="127" customFormat="1" ht="25.5" x14ac:dyDescent="0.2">
      <c r="A24" s="344" t="s">
        <v>576</v>
      </c>
      <c r="B24" s="345" t="s">
        <v>577</v>
      </c>
      <c r="C24" s="347" t="s">
        <v>551</v>
      </c>
      <c r="D24" s="336">
        <f>E6*E24</f>
        <v>136550</v>
      </c>
      <c r="E24" s="341">
        <v>136550</v>
      </c>
    </row>
    <row r="25" spans="1:9" s="127" customFormat="1" ht="38.25" x14ac:dyDescent="0.2">
      <c r="A25" s="344" t="s">
        <v>578</v>
      </c>
      <c r="B25" s="345" t="s">
        <v>579</v>
      </c>
      <c r="C25" s="351" t="s">
        <v>580</v>
      </c>
      <c r="D25" s="336">
        <v>216479</v>
      </c>
      <c r="E25" s="341">
        <v>216479</v>
      </c>
    </row>
    <row r="26" spans="1:9" s="127" customFormat="1" ht="25.5" x14ac:dyDescent="0.2">
      <c r="A26" s="344" t="s">
        <v>578</v>
      </c>
      <c r="B26" s="345" t="s">
        <v>581</v>
      </c>
      <c r="C26" s="351">
        <v>43266</v>
      </c>
      <c r="D26" s="336">
        <v>0</v>
      </c>
      <c r="E26" s="341">
        <v>55829</v>
      </c>
    </row>
    <row r="27" spans="1:9" s="127" customFormat="1" ht="25.5" x14ac:dyDescent="0.2">
      <c r="A27" s="344" t="s">
        <v>578</v>
      </c>
      <c r="B27" s="345" t="s">
        <v>582</v>
      </c>
      <c r="C27" s="351">
        <v>43770</v>
      </c>
      <c r="D27" s="336">
        <v>364503</v>
      </c>
      <c r="E27" s="341">
        <v>364503</v>
      </c>
    </row>
    <row r="28" spans="1:9" s="127" customFormat="1" ht="25.5" x14ac:dyDescent="0.2">
      <c r="A28" s="344" t="s">
        <v>578</v>
      </c>
      <c r="B28" s="345" t="s">
        <v>583</v>
      </c>
      <c r="C28" s="351">
        <v>43266</v>
      </c>
      <c r="D28" s="336">
        <f>496941/2</f>
        <v>248470.5</v>
      </c>
      <c r="E28" s="341">
        <v>496941</v>
      </c>
    </row>
    <row r="29" spans="1:9" s="127" customFormat="1" ht="25.5" x14ac:dyDescent="0.2">
      <c r="A29" s="344" t="s">
        <v>578</v>
      </c>
      <c r="B29" s="345" t="s">
        <v>584</v>
      </c>
      <c r="C29" s="351">
        <v>43266</v>
      </c>
      <c r="D29" s="336">
        <f>700029/2</f>
        <v>350014.5</v>
      </c>
      <c r="E29" s="341">
        <v>700029</v>
      </c>
    </row>
    <row r="30" spans="1:9" s="127" customFormat="1" ht="25.5" x14ac:dyDescent="0.2">
      <c r="A30" s="344" t="s">
        <v>578</v>
      </c>
      <c r="B30" s="345" t="s">
        <v>585</v>
      </c>
      <c r="C30" s="351">
        <v>44044</v>
      </c>
      <c r="D30" s="336">
        <f>14745*12</f>
        <v>176940</v>
      </c>
      <c r="E30" s="341">
        <v>73724</v>
      </c>
    </row>
    <row r="31" spans="1:9" s="127" customFormat="1" ht="25.5" x14ac:dyDescent="0.2">
      <c r="A31" s="338" t="s">
        <v>586</v>
      </c>
      <c r="B31" s="339" t="s">
        <v>587</v>
      </c>
      <c r="C31" s="340" t="s">
        <v>551</v>
      </c>
      <c r="D31" s="342">
        <v>228600</v>
      </c>
      <c r="E31" s="341">
        <v>0</v>
      </c>
    </row>
    <row r="32" spans="1:9" s="127" customFormat="1" x14ac:dyDescent="0.2">
      <c r="A32" s="338" t="s">
        <v>588</v>
      </c>
      <c r="B32" s="352" t="s">
        <v>589</v>
      </c>
      <c r="C32" s="340" t="s">
        <v>551</v>
      </c>
      <c r="D32" s="336">
        <f>E32</f>
        <v>1965365</v>
      </c>
      <c r="E32" s="341">
        <v>1965365</v>
      </c>
    </row>
    <row r="33" spans="1:9" s="127" customFormat="1" ht="25.5" x14ac:dyDescent="0.2">
      <c r="A33" s="338" t="s">
        <v>590</v>
      </c>
      <c r="B33" s="339" t="s">
        <v>591</v>
      </c>
      <c r="C33" s="347" t="s">
        <v>551</v>
      </c>
      <c r="D33" s="336">
        <f>E33*E6</f>
        <v>855104</v>
      </c>
      <c r="E33" s="341">
        <v>855104</v>
      </c>
    </row>
    <row r="34" spans="1:9" s="127" customFormat="1" ht="25.5" x14ac:dyDescent="0.2">
      <c r="A34" s="338" t="s">
        <v>590</v>
      </c>
      <c r="B34" s="339" t="s">
        <v>592</v>
      </c>
      <c r="C34" s="347" t="s">
        <v>551</v>
      </c>
      <c r="D34" s="336">
        <f>E34*E6</f>
        <v>353155</v>
      </c>
      <c r="E34" s="341">
        <v>353155</v>
      </c>
    </row>
    <row r="35" spans="1:9" s="127" customFormat="1" ht="25.5" x14ac:dyDescent="0.2">
      <c r="A35" s="338" t="s">
        <v>590</v>
      </c>
      <c r="B35" s="339" t="s">
        <v>593</v>
      </c>
      <c r="C35" s="347" t="s">
        <v>551</v>
      </c>
      <c r="D35" s="336">
        <v>208831</v>
      </c>
      <c r="E35" s="341">
        <v>208831</v>
      </c>
    </row>
    <row r="36" spans="1:9" s="127" customFormat="1" ht="25.5" x14ac:dyDescent="0.2">
      <c r="A36" s="338" t="s">
        <v>594</v>
      </c>
      <c r="B36" s="339" t="s">
        <v>595</v>
      </c>
      <c r="C36" s="347" t="s">
        <v>551</v>
      </c>
      <c r="D36" s="336">
        <v>77724</v>
      </c>
      <c r="E36" s="341">
        <v>77724</v>
      </c>
    </row>
    <row r="37" spans="1:9" s="127" customFormat="1" ht="25.5" x14ac:dyDescent="0.2">
      <c r="A37" s="338" t="s">
        <v>596</v>
      </c>
      <c r="B37" s="339" t="s">
        <v>597</v>
      </c>
      <c r="C37" s="353"/>
      <c r="D37" s="336">
        <v>0</v>
      </c>
      <c r="E37" s="341">
        <v>640000</v>
      </c>
      <c r="G37" s="315"/>
    </row>
    <row r="38" spans="1:9" s="127" customFormat="1" ht="25.5" x14ac:dyDescent="0.2">
      <c r="A38" s="338" t="s">
        <v>598</v>
      </c>
      <c r="B38" s="339" t="s">
        <v>599</v>
      </c>
      <c r="C38" s="347" t="s">
        <v>551</v>
      </c>
      <c r="D38" s="336">
        <v>205740</v>
      </c>
      <c r="E38" s="341">
        <v>205740</v>
      </c>
      <c r="G38" s="315"/>
      <c r="I38" s="354"/>
    </row>
    <row r="39" spans="1:9" s="127" customFormat="1" x14ac:dyDescent="0.2">
      <c r="A39" s="338" t="s">
        <v>600</v>
      </c>
      <c r="B39" s="339" t="s">
        <v>601</v>
      </c>
      <c r="C39" s="347" t="s">
        <v>551</v>
      </c>
      <c r="D39" s="336">
        <v>35568</v>
      </c>
      <c r="E39" s="341">
        <v>35568</v>
      </c>
      <c r="G39" s="315"/>
    </row>
    <row r="40" spans="1:9" s="127" customFormat="1" x14ac:dyDescent="0.2">
      <c r="A40" s="338" t="s">
        <v>600</v>
      </c>
      <c r="B40" s="339" t="s">
        <v>602</v>
      </c>
      <c r="C40" s="347" t="s">
        <v>551</v>
      </c>
      <c r="D40" s="336">
        <v>16817</v>
      </c>
      <c r="E40" s="341">
        <v>16817</v>
      </c>
      <c r="G40" s="315"/>
    </row>
    <row r="41" spans="1:9" s="127" customFormat="1" x14ac:dyDescent="0.2">
      <c r="A41" s="338" t="s">
        <v>600</v>
      </c>
      <c r="B41" s="339" t="s">
        <v>603</v>
      </c>
      <c r="C41" s="347" t="s">
        <v>551</v>
      </c>
      <c r="D41" s="336">
        <v>25428</v>
      </c>
      <c r="E41" s="341">
        <v>21934</v>
      </c>
      <c r="G41" s="315"/>
    </row>
    <row r="42" spans="1:9" s="127" customFormat="1" x14ac:dyDescent="0.2">
      <c r="A42" s="338" t="s">
        <v>600</v>
      </c>
      <c r="B42" s="339" t="s">
        <v>604</v>
      </c>
      <c r="C42" s="347" t="s">
        <v>551</v>
      </c>
      <c r="D42" s="336">
        <v>45162</v>
      </c>
      <c r="E42" s="341">
        <v>81323</v>
      </c>
      <c r="G42" s="315"/>
    </row>
    <row r="43" spans="1:9" s="127" customFormat="1" x14ac:dyDescent="0.2">
      <c r="A43" s="338" t="s">
        <v>605</v>
      </c>
      <c r="B43" s="339" t="s">
        <v>606</v>
      </c>
      <c r="C43" s="347" t="s">
        <v>551</v>
      </c>
      <c r="D43" s="336">
        <f>(20320*12)</f>
        <v>243840</v>
      </c>
      <c r="E43" s="341">
        <v>101600</v>
      </c>
      <c r="G43" s="315"/>
    </row>
    <row r="44" spans="1:9" s="127" customFormat="1" x14ac:dyDescent="0.2">
      <c r="A44" s="338" t="s">
        <v>607</v>
      </c>
      <c r="B44" s="339" t="s">
        <v>608</v>
      </c>
      <c r="C44" s="347" t="s">
        <v>551</v>
      </c>
      <c r="D44" s="336">
        <f>12000*13</f>
        <v>156000</v>
      </c>
      <c r="E44" s="341">
        <v>132000</v>
      </c>
      <c r="G44" s="315"/>
    </row>
    <row r="45" spans="1:9" s="127" customFormat="1" x14ac:dyDescent="0.2">
      <c r="A45" s="338" t="s">
        <v>609</v>
      </c>
      <c r="B45" s="339" t="s">
        <v>610</v>
      </c>
      <c r="C45" s="340" t="s">
        <v>551</v>
      </c>
      <c r="D45" s="336">
        <v>155448</v>
      </c>
      <c r="E45" s="341">
        <v>155448</v>
      </c>
      <c r="G45" s="315"/>
    </row>
    <row r="46" spans="1:9" s="127" customFormat="1" ht="25.5" x14ac:dyDescent="0.2">
      <c r="A46" s="338" t="s">
        <v>611</v>
      </c>
      <c r="B46" s="339" t="s">
        <v>612</v>
      </c>
      <c r="C46" s="340" t="s">
        <v>551</v>
      </c>
      <c r="D46" s="336">
        <f>30480*3</f>
        <v>91440</v>
      </c>
      <c r="E46" s="341">
        <v>30480</v>
      </c>
    </row>
    <row r="47" spans="1:9" s="127" customFormat="1" ht="25.5" x14ac:dyDescent="0.2">
      <c r="A47" s="338" t="s">
        <v>611</v>
      </c>
      <c r="B47" s="339" t="s">
        <v>613</v>
      </c>
      <c r="C47" s="340" t="s">
        <v>551</v>
      </c>
      <c r="D47" s="336">
        <f>45720*2</f>
        <v>91440</v>
      </c>
      <c r="E47" s="341">
        <v>137160</v>
      </c>
      <c r="G47" s="315"/>
    </row>
    <row r="48" spans="1:9" s="127" customFormat="1" ht="25.5" x14ac:dyDescent="0.2">
      <c r="A48" s="338" t="s">
        <v>611</v>
      </c>
      <c r="B48" s="339" t="s">
        <v>614</v>
      </c>
      <c r="C48" s="340" t="s">
        <v>551</v>
      </c>
      <c r="D48" s="336">
        <v>53340</v>
      </c>
      <c r="E48" s="341">
        <v>53340</v>
      </c>
      <c r="G48" s="315"/>
    </row>
    <row r="49" spans="1:7" s="127" customFormat="1" ht="25.5" x14ac:dyDescent="0.2">
      <c r="A49" s="338" t="s">
        <v>611</v>
      </c>
      <c r="B49" s="339" t="s">
        <v>615</v>
      </c>
      <c r="C49" s="340" t="s">
        <v>551</v>
      </c>
      <c r="D49" s="336">
        <v>10795</v>
      </c>
      <c r="E49" s="341">
        <v>0</v>
      </c>
      <c r="G49" s="315"/>
    </row>
    <row r="50" spans="1:7" s="127" customFormat="1" ht="25.5" x14ac:dyDescent="0.2">
      <c r="A50" s="338" t="s">
        <v>616</v>
      </c>
      <c r="B50" s="339" t="s">
        <v>617</v>
      </c>
      <c r="C50" s="340" t="s">
        <v>618</v>
      </c>
      <c r="D50" s="336">
        <f>E50/2</f>
        <v>622427</v>
      </c>
      <c r="E50" s="341">
        <v>1244854</v>
      </c>
      <c r="G50" s="315"/>
    </row>
    <row r="51" spans="1:7" s="127" customFormat="1" x14ac:dyDescent="0.2">
      <c r="A51" s="338" t="s">
        <v>619</v>
      </c>
      <c r="B51" s="339" t="s">
        <v>620</v>
      </c>
      <c r="C51" s="340" t="s">
        <v>551</v>
      </c>
      <c r="D51" s="336">
        <f>E51*E6</f>
        <v>89154</v>
      </c>
      <c r="E51" s="341">
        <v>89154</v>
      </c>
    </row>
    <row r="52" spans="1:7" s="127" customFormat="1" ht="25.5" x14ac:dyDescent="0.2">
      <c r="A52" s="338" t="s">
        <v>621</v>
      </c>
      <c r="B52" s="339" t="s">
        <v>622</v>
      </c>
      <c r="C52" s="340" t="s">
        <v>551</v>
      </c>
      <c r="D52" s="336">
        <v>177170</v>
      </c>
      <c r="E52" s="341">
        <v>177170</v>
      </c>
      <c r="G52" s="315"/>
    </row>
    <row r="53" spans="1:7" s="127" customFormat="1" x14ac:dyDescent="0.2">
      <c r="A53" s="338" t="s">
        <v>621</v>
      </c>
      <c r="B53" s="339" t="s">
        <v>623</v>
      </c>
      <c r="C53" s="340" t="s">
        <v>551</v>
      </c>
      <c r="D53" s="336">
        <f>E53</f>
        <v>7688250</v>
      </c>
      <c r="E53" s="341">
        <v>7688250</v>
      </c>
      <c r="G53" s="315"/>
    </row>
    <row r="54" spans="1:7" s="127" customFormat="1" x14ac:dyDescent="0.2">
      <c r="A54" s="338" t="s">
        <v>624</v>
      </c>
      <c r="B54" s="339" t="s">
        <v>625</v>
      </c>
      <c r="C54" s="340" t="s">
        <v>551</v>
      </c>
      <c r="D54" s="336">
        <f>(750*12)+(910*12)</f>
        <v>19920</v>
      </c>
      <c r="E54" s="341">
        <v>23192</v>
      </c>
      <c r="G54" s="315"/>
    </row>
    <row r="55" spans="1:7" s="127" customFormat="1" x14ac:dyDescent="0.2">
      <c r="A55" s="338" t="s">
        <v>624</v>
      </c>
      <c r="B55" s="339" t="s">
        <v>626</v>
      </c>
      <c r="C55" s="340" t="s">
        <v>551</v>
      </c>
      <c r="D55" s="336">
        <f>(636808/11)*12</f>
        <v>694699.63636363635</v>
      </c>
      <c r="E55" s="341">
        <v>636808</v>
      </c>
      <c r="G55" s="315"/>
    </row>
    <row r="56" spans="1:7" s="127" customFormat="1" x14ac:dyDescent="0.2">
      <c r="A56" s="338" t="s">
        <v>624</v>
      </c>
      <c r="B56" s="339" t="s">
        <v>627</v>
      </c>
      <c r="C56" s="340" t="s">
        <v>551</v>
      </c>
      <c r="D56" s="336">
        <f>(E56/13)*12</f>
        <v>152934.46153846153</v>
      </c>
      <c r="E56" s="341">
        <v>165679</v>
      </c>
      <c r="G56" s="315"/>
    </row>
    <row r="57" spans="1:7" s="127" customFormat="1" ht="25.5" x14ac:dyDescent="0.2">
      <c r="A57" s="338" t="s">
        <v>628</v>
      </c>
      <c r="B57" s="339" t="s">
        <v>629</v>
      </c>
      <c r="C57" s="340">
        <v>43220</v>
      </c>
      <c r="D57" s="336">
        <f>7*25400</f>
        <v>177800</v>
      </c>
      <c r="E57" s="341">
        <v>177800</v>
      </c>
      <c r="G57" s="315"/>
    </row>
    <row r="58" spans="1:7" s="127" customFormat="1" ht="25.5" x14ac:dyDescent="0.2">
      <c r="A58" s="338" t="s">
        <v>630</v>
      </c>
      <c r="B58" s="339" t="s">
        <v>631</v>
      </c>
      <c r="C58" s="340" t="s">
        <v>551</v>
      </c>
      <c r="D58" s="336">
        <v>0</v>
      </c>
      <c r="E58" s="341">
        <v>0</v>
      </c>
    </row>
    <row r="59" spans="1:7" s="127" customFormat="1" ht="25.5" x14ac:dyDescent="0.2">
      <c r="A59" s="338" t="s">
        <v>630</v>
      </c>
      <c r="B59" s="339" t="s">
        <v>632</v>
      </c>
      <c r="C59" s="340" t="s">
        <v>551</v>
      </c>
      <c r="D59" s="336">
        <v>73787</v>
      </c>
      <c r="E59" s="341">
        <v>73787</v>
      </c>
    </row>
    <row r="60" spans="1:7" s="127" customFormat="1" x14ac:dyDescent="0.2">
      <c r="A60" s="338" t="s">
        <v>633</v>
      </c>
      <c r="B60" s="339" t="s">
        <v>634</v>
      </c>
      <c r="C60" s="340" t="s">
        <v>635</v>
      </c>
      <c r="D60" s="336">
        <f>E60*E6</f>
        <v>147784</v>
      </c>
      <c r="E60" s="341">
        <v>147784</v>
      </c>
    </row>
    <row r="61" spans="1:7" s="127" customFormat="1" ht="38.25" x14ac:dyDescent="0.2">
      <c r="A61" s="338" t="s">
        <v>636</v>
      </c>
      <c r="B61" s="339" t="s">
        <v>637</v>
      </c>
      <c r="C61" s="351" t="s">
        <v>638</v>
      </c>
      <c r="D61" s="336">
        <f>E61*E6</f>
        <v>104933</v>
      </c>
      <c r="E61" s="341">
        <v>104933</v>
      </c>
    </row>
    <row r="62" spans="1:7" s="127" customFormat="1" ht="25.5" x14ac:dyDescent="0.2">
      <c r="A62" s="338" t="s">
        <v>639</v>
      </c>
      <c r="B62" s="339" t="s">
        <v>640</v>
      </c>
      <c r="C62" s="351" t="s">
        <v>551</v>
      </c>
      <c r="D62" s="336">
        <f>232368*2</f>
        <v>464736</v>
      </c>
      <c r="E62" s="341">
        <v>193645</v>
      </c>
      <c r="F62" s="315"/>
      <c r="G62" s="315"/>
    </row>
    <row r="63" spans="1:7" s="127" customFormat="1" x14ac:dyDescent="0.2">
      <c r="A63" s="338" t="s">
        <v>641</v>
      </c>
      <c r="B63" s="339" t="s">
        <v>634</v>
      </c>
      <c r="C63" s="340" t="s">
        <v>635</v>
      </c>
      <c r="D63" s="336">
        <f>E63*E6</f>
        <v>47980</v>
      </c>
      <c r="E63" s="341">
        <v>47980</v>
      </c>
    </row>
    <row r="64" spans="1:7" s="127" customFormat="1" x14ac:dyDescent="0.2">
      <c r="A64" s="338" t="s">
        <v>642</v>
      </c>
      <c r="B64" s="352" t="s">
        <v>643</v>
      </c>
      <c r="C64" s="340" t="s">
        <v>635</v>
      </c>
      <c r="D64" s="336">
        <v>0</v>
      </c>
      <c r="E64" s="341">
        <v>134980</v>
      </c>
    </row>
    <row r="65" spans="1:7" s="127" customFormat="1" ht="25.5" x14ac:dyDescent="0.2">
      <c r="A65" s="338" t="s">
        <v>642</v>
      </c>
      <c r="B65" s="352" t="s">
        <v>644</v>
      </c>
      <c r="C65" s="351" t="s">
        <v>645</v>
      </c>
      <c r="D65" s="355">
        <f>E65*E6</f>
        <v>95420</v>
      </c>
      <c r="E65" s="341">
        <v>95420</v>
      </c>
    </row>
    <row r="66" spans="1:7" s="127" customFormat="1" x14ac:dyDescent="0.2">
      <c r="A66" s="338" t="s">
        <v>642</v>
      </c>
      <c r="B66" s="352" t="s">
        <v>646</v>
      </c>
      <c r="C66" s="351" t="s">
        <v>635</v>
      </c>
      <c r="D66" s="355">
        <v>317510</v>
      </c>
      <c r="E66" s="341">
        <v>0</v>
      </c>
    </row>
    <row r="67" spans="1:7" s="127" customFormat="1" ht="25.5" x14ac:dyDescent="0.2">
      <c r="A67" s="338" t="s">
        <v>647</v>
      </c>
      <c r="B67" s="352" t="s">
        <v>648</v>
      </c>
      <c r="C67" s="351" t="s">
        <v>551</v>
      </c>
      <c r="D67" s="355">
        <f>1270*12</f>
        <v>15240</v>
      </c>
      <c r="E67" s="341">
        <v>15240</v>
      </c>
    </row>
    <row r="68" spans="1:7" s="356" customFormat="1" x14ac:dyDescent="0.2">
      <c r="A68" s="338" t="s">
        <v>647</v>
      </c>
      <c r="B68" s="352" t="s">
        <v>649</v>
      </c>
      <c r="C68" s="440"/>
      <c r="D68" s="355">
        <v>500000</v>
      </c>
      <c r="E68" s="341">
        <v>0</v>
      </c>
    </row>
    <row r="69" spans="1:7" s="127" customFormat="1" x14ac:dyDescent="0.2">
      <c r="A69" s="338" t="s">
        <v>650</v>
      </c>
      <c r="B69" s="339" t="s">
        <v>651</v>
      </c>
      <c r="C69" s="347" t="s">
        <v>551</v>
      </c>
      <c r="D69" s="336">
        <f>E69*E6</f>
        <v>60960</v>
      </c>
      <c r="E69" s="341">
        <v>60960</v>
      </c>
    </row>
    <row r="70" spans="1:7" s="127" customFormat="1" ht="25.5" x14ac:dyDescent="0.2">
      <c r="A70" s="338" t="s">
        <v>652</v>
      </c>
      <c r="B70" s="352" t="s">
        <v>653</v>
      </c>
      <c r="C70" s="347" t="s">
        <v>551</v>
      </c>
      <c r="D70" s="336">
        <v>200773</v>
      </c>
      <c r="E70" s="341">
        <v>200773</v>
      </c>
      <c r="G70" s="315"/>
    </row>
    <row r="71" spans="1:7" s="127" customFormat="1" x14ac:dyDescent="0.2">
      <c r="A71" s="338" t="s">
        <v>654</v>
      </c>
      <c r="B71" s="352" t="s">
        <v>655</v>
      </c>
      <c r="C71" s="340" t="s">
        <v>551</v>
      </c>
      <c r="D71" s="336">
        <f>E71</f>
        <v>48458</v>
      </c>
      <c r="E71" s="341">
        <v>48458</v>
      </c>
      <c r="G71" s="315"/>
    </row>
    <row r="72" spans="1:7" s="127" customFormat="1" x14ac:dyDescent="0.2">
      <c r="A72" s="338" t="s">
        <v>656</v>
      </c>
      <c r="B72" s="352" t="s">
        <v>657</v>
      </c>
      <c r="C72" s="340" t="s">
        <v>551</v>
      </c>
      <c r="D72" s="336">
        <f>(E72)*E6</f>
        <v>215900</v>
      </c>
      <c r="E72" s="341">
        <f>215900</f>
        <v>215900</v>
      </c>
    </row>
    <row r="73" spans="1:7" s="127" customFormat="1" x14ac:dyDescent="0.2">
      <c r="A73" s="338" t="s">
        <v>658</v>
      </c>
      <c r="B73" s="352" t="s">
        <v>659</v>
      </c>
      <c r="C73" s="340" t="s">
        <v>551</v>
      </c>
      <c r="D73" s="336">
        <f>E73*E6</f>
        <v>12502423</v>
      </c>
      <c r="E73" s="341">
        <v>12502423</v>
      </c>
    </row>
    <row r="74" spans="1:7" s="127" customFormat="1" x14ac:dyDescent="0.2">
      <c r="A74" s="338" t="s">
        <v>660</v>
      </c>
      <c r="B74" s="352" t="s">
        <v>661</v>
      </c>
      <c r="C74" s="340" t="s">
        <v>551</v>
      </c>
      <c r="D74" s="336">
        <v>1297000</v>
      </c>
      <c r="E74" s="341">
        <v>1297000</v>
      </c>
    </row>
    <row r="75" spans="1:7" s="127" customFormat="1" ht="25.5" x14ac:dyDescent="0.2">
      <c r="A75" s="338" t="s">
        <v>662</v>
      </c>
      <c r="B75" s="352" t="s">
        <v>663</v>
      </c>
      <c r="C75" s="340" t="s">
        <v>551</v>
      </c>
      <c r="D75" s="336">
        <f>(((E75-906096)/13)*12)+((806272/13)*12)</f>
        <v>2209958.769230769</v>
      </c>
      <c r="E75" s="341">
        <v>2493946</v>
      </c>
      <c r="G75" s="315"/>
    </row>
    <row r="76" spans="1:7" s="127" customFormat="1" x14ac:dyDescent="0.2">
      <c r="A76" s="338" t="s">
        <v>662</v>
      </c>
      <c r="B76" s="352" t="s">
        <v>664</v>
      </c>
      <c r="C76" s="340" t="s">
        <v>551</v>
      </c>
      <c r="D76" s="357">
        <f>(((E76-92879)/13)*12)+((82643/13)*12)</f>
        <v>83975.076923076922</v>
      </c>
      <c r="E76" s="358">
        <v>101209</v>
      </c>
    </row>
    <row r="77" spans="1:7" s="127" customFormat="1" ht="25.5" x14ac:dyDescent="0.2">
      <c r="A77" s="338" t="s">
        <v>665</v>
      </c>
      <c r="B77" s="352" t="s">
        <v>666</v>
      </c>
      <c r="C77" s="340" t="s">
        <v>551</v>
      </c>
      <c r="D77" s="336">
        <v>2956446</v>
      </c>
      <c r="E77" s="341">
        <v>670652</v>
      </c>
    </row>
    <row r="78" spans="1:7" s="127" customFormat="1" ht="25.5" x14ac:dyDescent="0.2">
      <c r="A78" s="338" t="s">
        <v>667</v>
      </c>
      <c r="B78" s="352" t="s">
        <v>668</v>
      </c>
      <c r="C78" s="340" t="s">
        <v>551</v>
      </c>
      <c r="D78" s="336">
        <f>(15000+15000)*4*E6</f>
        <v>120000</v>
      </c>
      <c r="E78" s="341">
        <v>120000</v>
      </c>
    </row>
    <row r="79" spans="1:7" s="127" customFormat="1" x14ac:dyDescent="0.2">
      <c r="A79" s="338" t="s">
        <v>669</v>
      </c>
      <c r="B79" s="352" t="s">
        <v>670</v>
      </c>
      <c r="C79" s="359" t="s">
        <v>551</v>
      </c>
      <c r="D79" s="357">
        <v>121967</v>
      </c>
      <c r="E79" s="358">
        <v>121967</v>
      </c>
    </row>
    <row r="80" spans="1:7" s="127" customFormat="1" x14ac:dyDescent="0.2">
      <c r="A80" s="338" t="s">
        <v>671</v>
      </c>
      <c r="B80" s="352" t="s">
        <v>672</v>
      </c>
      <c r="C80" s="359" t="s">
        <v>551</v>
      </c>
      <c r="D80" s="357">
        <f>(6897*4)+(2069*4)</f>
        <v>35864</v>
      </c>
      <c r="E80" s="358">
        <v>35864</v>
      </c>
    </row>
    <row r="81" spans="1:7" s="127" customFormat="1" ht="38.25" x14ac:dyDescent="0.2">
      <c r="A81" s="338" t="s">
        <v>673</v>
      </c>
      <c r="B81" s="352" t="s">
        <v>674</v>
      </c>
      <c r="C81" s="441" t="s">
        <v>675</v>
      </c>
      <c r="D81" s="357">
        <f>E81*E6</f>
        <v>309929</v>
      </c>
      <c r="E81" s="358">
        <v>309929</v>
      </c>
    </row>
    <row r="82" spans="1:7" s="127" customFormat="1" x14ac:dyDescent="0.2">
      <c r="A82" s="338" t="s">
        <v>673</v>
      </c>
      <c r="B82" s="352" t="s">
        <v>676</v>
      </c>
      <c r="C82" s="359">
        <v>43131</v>
      </c>
      <c r="D82" s="357">
        <v>411745</v>
      </c>
      <c r="E82" s="358">
        <v>411745</v>
      </c>
      <c r="G82" s="315"/>
    </row>
    <row r="83" spans="1:7" s="127" customFormat="1" ht="25.5" x14ac:dyDescent="0.2">
      <c r="A83" s="338" t="s">
        <v>673</v>
      </c>
      <c r="B83" s="352" t="s">
        <v>677</v>
      </c>
      <c r="C83" s="359" t="s">
        <v>551</v>
      </c>
      <c r="D83" s="357">
        <v>25190</v>
      </c>
      <c r="E83" s="358">
        <v>25190</v>
      </c>
      <c r="G83" s="315"/>
    </row>
    <row r="84" spans="1:7" s="127" customFormat="1" x14ac:dyDescent="0.2">
      <c r="A84" s="338" t="s">
        <v>678</v>
      </c>
      <c r="B84" s="339" t="s">
        <v>679</v>
      </c>
      <c r="C84" s="347" t="s">
        <v>551</v>
      </c>
      <c r="D84" s="336">
        <f>(3121203/11)*12</f>
        <v>3404948.7272727275</v>
      </c>
      <c r="E84" s="341">
        <v>3121203</v>
      </c>
      <c r="G84" s="315"/>
    </row>
    <row r="85" spans="1:7" s="127" customFormat="1" x14ac:dyDescent="0.2">
      <c r="A85" s="338" t="s">
        <v>680</v>
      </c>
      <c r="B85" s="339" t="s">
        <v>681</v>
      </c>
      <c r="C85" s="360" t="s">
        <v>635</v>
      </c>
      <c r="D85" s="336">
        <f>E85*E6</f>
        <v>974852</v>
      </c>
      <c r="E85" s="341">
        <v>974852</v>
      </c>
    </row>
    <row r="86" spans="1:7" s="127" customFormat="1" ht="25.5" x14ac:dyDescent="0.2">
      <c r="A86" s="338" t="s">
        <v>682</v>
      </c>
      <c r="B86" s="339" t="s">
        <v>683</v>
      </c>
      <c r="C86" s="351">
        <v>43160</v>
      </c>
      <c r="D86" s="357">
        <f>(125963/13)*3</f>
        <v>29068.384615384617</v>
      </c>
      <c r="E86" s="358">
        <v>125963</v>
      </c>
      <c r="G86" s="315"/>
    </row>
    <row r="87" spans="1:7" s="127" customFormat="1" ht="13.5" thickBot="1" x14ac:dyDescent="0.25">
      <c r="A87" s="361"/>
      <c r="B87" s="362"/>
      <c r="C87" s="363" t="s">
        <v>30</v>
      </c>
      <c r="D87" s="364">
        <f>SUM(D9:D86)</f>
        <v>50369987.055944055</v>
      </c>
      <c r="E87" s="365">
        <f>SUM(E9:E86)</f>
        <v>48599360</v>
      </c>
    </row>
    <row r="88" spans="1:7" s="127" customFormat="1" x14ac:dyDescent="0.2">
      <c r="A88" s="325"/>
      <c r="B88" s="326"/>
      <c r="C88" s="366"/>
      <c r="D88" s="328"/>
      <c r="E88" s="331"/>
    </row>
    <row r="89" spans="1:7" s="127" customFormat="1" x14ac:dyDescent="0.2">
      <c r="A89" s="325"/>
      <c r="B89" s="326"/>
      <c r="C89" s="366"/>
      <c r="D89" s="328"/>
      <c r="E89" s="331"/>
    </row>
    <row r="90" spans="1:7" s="127" customFormat="1" x14ac:dyDescent="0.2">
      <c r="A90" s="325"/>
      <c r="B90" s="326"/>
      <c r="C90" s="366"/>
      <c r="D90" s="328"/>
      <c r="E90" s="331"/>
    </row>
    <row r="91" spans="1:7" s="127" customFormat="1" x14ac:dyDescent="0.2">
      <c r="A91" s="325"/>
      <c r="B91" s="326"/>
      <c r="C91" s="366"/>
      <c r="D91" s="328"/>
      <c r="E91" s="331"/>
    </row>
    <row r="92" spans="1:7" x14ac:dyDescent="0.2">
      <c r="C92" s="330"/>
    </row>
    <row r="93" spans="1:7" x14ac:dyDescent="0.2">
      <c r="C93" s="330"/>
    </row>
    <row r="94" spans="1:7" x14ac:dyDescent="0.2">
      <c r="C94" s="330"/>
    </row>
    <row r="95" spans="1:7" x14ac:dyDescent="0.2">
      <c r="C95" s="330"/>
    </row>
    <row r="96" spans="1:7" x14ac:dyDescent="0.2">
      <c r="C96" s="328"/>
    </row>
    <row r="97" spans="3:3" x14ac:dyDescent="0.2">
      <c r="C97" s="328"/>
    </row>
    <row r="98" spans="3:3" x14ac:dyDescent="0.2">
      <c r="C98" s="328"/>
    </row>
    <row r="99" spans="3:3" x14ac:dyDescent="0.2">
      <c r="C99" s="328"/>
    </row>
    <row r="100" spans="3:3" x14ac:dyDescent="0.2">
      <c r="C100" s="328"/>
    </row>
    <row r="101" spans="3:3" x14ac:dyDescent="0.2">
      <c r="C101" s="328"/>
    </row>
    <row r="102" spans="3:3" x14ac:dyDescent="0.2">
      <c r="C102" s="328"/>
    </row>
    <row r="103" spans="3:3" x14ac:dyDescent="0.2">
      <c r="C103" s="328"/>
    </row>
    <row r="104" spans="3:3" x14ac:dyDescent="0.2">
      <c r="C104" s="328"/>
    </row>
    <row r="105" spans="3:3" x14ac:dyDescent="0.2">
      <c r="C105" s="328"/>
    </row>
    <row r="106" spans="3:3" x14ac:dyDescent="0.2">
      <c r="C106" s="328"/>
    </row>
    <row r="107" spans="3:3" x14ac:dyDescent="0.2">
      <c r="C107" s="328"/>
    </row>
    <row r="108" spans="3:3" x14ac:dyDescent="0.2">
      <c r="C108" s="328"/>
    </row>
    <row r="109" spans="3:3" x14ac:dyDescent="0.2">
      <c r="C109" s="328"/>
    </row>
    <row r="110" spans="3:3" x14ac:dyDescent="0.2">
      <c r="C110" s="328"/>
    </row>
    <row r="111" spans="3:3" x14ac:dyDescent="0.2">
      <c r="C111" s="328"/>
    </row>
    <row r="112" spans="3:3" x14ac:dyDescent="0.2">
      <c r="C112" s="328"/>
    </row>
    <row r="113" spans="3:3" x14ac:dyDescent="0.2">
      <c r="C113" s="328"/>
    </row>
    <row r="114" spans="3:3" x14ac:dyDescent="0.2">
      <c r="C114" s="328"/>
    </row>
    <row r="115" spans="3:3" x14ac:dyDescent="0.2">
      <c r="C115" s="328"/>
    </row>
    <row r="116" spans="3:3" x14ac:dyDescent="0.2">
      <c r="C116" s="367"/>
    </row>
    <row r="117" spans="3:3" x14ac:dyDescent="0.2">
      <c r="C117" s="367"/>
    </row>
    <row r="118" spans="3:3" x14ac:dyDescent="0.2">
      <c r="C118" s="367"/>
    </row>
    <row r="119" spans="3:3" x14ac:dyDescent="0.2">
      <c r="C119" s="367"/>
    </row>
    <row r="120" spans="3:3" x14ac:dyDescent="0.2">
      <c r="C120" s="367"/>
    </row>
    <row r="121" spans="3:3" x14ac:dyDescent="0.2">
      <c r="C121" s="367"/>
    </row>
    <row r="122" spans="3:3" x14ac:dyDescent="0.2">
      <c r="C122" s="367"/>
    </row>
    <row r="123" spans="3:3" x14ac:dyDescent="0.2">
      <c r="C123" s="367"/>
    </row>
    <row r="124" spans="3:3" x14ac:dyDescent="0.2">
      <c r="C124" s="367"/>
    </row>
    <row r="125" spans="3:3" x14ac:dyDescent="0.2">
      <c r="C125" s="367"/>
    </row>
    <row r="126" spans="3:3" x14ac:dyDescent="0.2">
      <c r="C126" s="367"/>
    </row>
    <row r="127" spans="3:3" x14ac:dyDescent="0.2">
      <c r="C127" s="367"/>
    </row>
    <row r="128" spans="3:3" x14ac:dyDescent="0.2">
      <c r="C128" s="367"/>
    </row>
    <row r="129" spans="3:3" x14ac:dyDescent="0.2">
      <c r="C129" s="367"/>
    </row>
    <row r="130" spans="3:3" x14ac:dyDescent="0.2">
      <c r="C130" s="367"/>
    </row>
    <row r="131" spans="3:3" x14ac:dyDescent="0.2">
      <c r="C131" s="367"/>
    </row>
    <row r="132" spans="3:3" x14ac:dyDescent="0.2">
      <c r="C132" s="367"/>
    </row>
    <row r="133" spans="3:3" x14ac:dyDescent="0.2">
      <c r="C133" s="367"/>
    </row>
    <row r="134" spans="3:3" x14ac:dyDescent="0.2">
      <c r="C134" s="367"/>
    </row>
    <row r="135" spans="3:3" x14ac:dyDescent="0.2">
      <c r="C135" s="367"/>
    </row>
    <row r="136" spans="3:3" x14ac:dyDescent="0.2">
      <c r="C136" s="367"/>
    </row>
    <row r="137" spans="3:3" x14ac:dyDescent="0.2">
      <c r="C137" s="367"/>
    </row>
    <row r="138" spans="3:3" x14ac:dyDescent="0.2">
      <c r="C138" s="367"/>
    </row>
    <row r="139" spans="3:3" x14ac:dyDescent="0.2">
      <c r="C139" s="367"/>
    </row>
    <row r="140" spans="3:3" x14ac:dyDescent="0.2">
      <c r="C140" s="367"/>
    </row>
    <row r="141" spans="3:3" x14ac:dyDescent="0.2">
      <c r="C141" s="367"/>
    </row>
    <row r="142" spans="3:3" x14ac:dyDescent="0.2">
      <c r="C142" s="367"/>
    </row>
    <row r="143" spans="3:3" x14ac:dyDescent="0.2">
      <c r="C143" s="367"/>
    </row>
    <row r="144" spans="3:3" x14ac:dyDescent="0.2">
      <c r="C144" s="367"/>
    </row>
    <row r="145" spans="3:4" x14ac:dyDescent="0.2">
      <c r="C145" s="367"/>
    </row>
    <row r="146" spans="3:4" x14ac:dyDescent="0.2">
      <c r="C146" s="367"/>
    </row>
    <row r="147" spans="3:4" x14ac:dyDescent="0.2">
      <c r="C147" s="367"/>
    </row>
    <row r="148" spans="3:4" ht="13.5" x14ac:dyDescent="0.25">
      <c r="C148" s="368"/>
    </row>
    <row r="149" spans="3:4" x14ac:dyDescent="0.2">
      <c r="C149" s="367"/>
    </row>
    <row r="150" spans="3:4" x14ac:dyDescent="0.2">
      <c r="C150" s="367"/>
    </row>
    <row r="151" spans="3:4" x14ac:dyDescent="0.2">
      <c r="C151" s="367"/>
    </row>
    <row r="152" spans="3:4" x14ac:dyDescent="0.2">
      <c r="C152" s="367"/>
    </row>
    <row r="153" spans="3:4" x14ac:dyDescent="0.2">
      <c r="C153" s="367"/>
    </row>
    <row r="154" spans="3:4" x14ac:dyDescent="0.2">
      <c r="C154" s="367"/>
    </row>
    <row r="155" spans="3:4" ht="13.5" x14ac:dyDescent="0.25">
      <c r="D155" s="369"/>
    </row>
  </sheetData>
  <mergeCells count="8">
    <mergeCell ref="A1:E1"/>
    <mergeCell ref="F7:F8"/>
    <mergeCell ref="A3:E3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7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8"/>
  <sheetViews>
    <sheetView zoomScaleNormal="100" workbookViewId="0">
      <selection activeCell="A2" sqref="A2"/>
    </sheetView>
  </sheetViews>
  <sheetFormatPr defaultRowHeight="12.75" x14ac:dyDescent="0.2"/>
  <cols>
    <col min="1" max="1" width="52.5703125" style="127" customWidth="1"/>
    <col min="2" max="2" width="66.85546875" style="127" customWidth="1"/>
    <col min="3" max="3" width="24.85546875" style="127" bestFit="1" customWidth="1"/>
    <col min="4" max="4" width="20.140625" style="127" customWidth="1"/>
    <col min="5" max="5" width="16.140625" style="127" customWidth="1"/>
    <col min="6" max="6" width="16.5703125" style="195" customWidth="1"/>
    <col min="7" max="7" width="14.28515625" style="195" customWidth="1"/>
    <col min="8" max="8" width="22.42578125" style="195" customWidth="1"/>
    <col min="9" max="9" width="22.5703125" style="195" customWidth="1"/>
    <col min="10" max="12" width="9.28515625" style="195" bestFit="1" customWidth="1"/>
    <col min="13" max="13" width="10.7109375" style="195" bestFit="1" customWidth="1"/>
    <col min="14" max="255" width="9.140625" style="195"/>
    <col min="256" max="256" width="52.5703125" style="195" customWidth="1"/>
    <col min="257" max="257" width="60" style="195" bestFit="1" customWidth="1"/>
    <col min="258" max="258" width="24.85546875" style="195" bestFit="1" customWidth="1"/>
    <col min="259" max="259" width="20.140625" style="195" customWidth="1"/>
    <col min="260" max="260" width="16.140625" style="195" customWidth="1"/>
    <col min="261" max="261" width="18" style="195" customWidth="1"/>
    <col min="262" max="262" width="16.5703125" style="195" customWidth="1"/>
    <col min="263" max="263" width="14.28515625" style="195" customWidth="1"/>
    <col min="264" max="264" width="22.42578125" style="195" customWidth="1"/>
    <col min="265" max="265" width="22.5703125" style="195" customWidth="1"/>
    <col min="266" max="268" width="9.28515625" style="195" bestFit="1" customWidth="1"/>
    <col min="269" max="269" width="10.7109375" style="195" bestFit="1" customWidth="1"/>
    <col min="270" max="511" width="9.140625" style="195"/>
    <col min="512" max="512" width="52.5703125" style="195" customWidth="1"/>
    <col min="513" max="513" width="60" style="195" bestFit="1" customWidth="1"/>
    <col min="514" max="514" width="24.85546875" style="195" bestFit="1" customWidth="1"/>
    <col min="515" max="515" width="20.140625" style="195" customWidth="1"/>
    <col min="516" max="516" width="16.140625" style="195" customWidth="1"/>
    <col min="517" max="517" width="18" style="195" customWidth="1"/>
    <col min="518" max="518" width="16.5703125" style="195" customWidth="1"/>
    <col min="519" max="519" width="14.28515625" style="195" customWidth="1"/>
    <col min="520" max="520" width="22.42578125" style="195" customWidth="1"/>
    <col min="521" max="521" width="22.5703125" style="195" customWidth="1"/>
    <col min="522" max="524" width="9.28515625" style="195" bestFit="1" customWidth="1"/>
    <col min="525" max="525" width="10.7109375" style="195" bestFit="1" customWidth="1"/>
    <col min="526" max="767" width="9.140625" style="195"/>
    <col min="768" max="768" width="52.5703125" style="195" customWidth="1"/>
    <col min="769" max="769" width="60" style="195" bestFit="1" customWidth="1"/>
    <col min="770" max="770" width="24.85546875" style="195" bestFit="1" customWidth="1"/>
    <col min="771" max="771" width="20.140625" style="195" customWidth="1"/>
    <col min="772" max="772" width="16.140625" style="195" customWidth="1"/>
    <col min="773" max="773" width="18" style="195" customWidth="1"/>
    <col min="774" max="774" width="16.5703125" style="195" customWidth="1"/>
    <col min="775" max="775" width="14.28515625" style="195" customWidth="1"/>
    <col min="776" max="776" width="22.42578125" style="195" customWidth="1"/>
    <col min="777" max="777" width="22.5703125" style="195" customWidth="1"/>
    <col min="778" max="780" width="9.28515625" style="195" bestFit="1" customWidth="1"/>
    <col min="781" max="781" width="10.7109375" style="195" bestFit="1" customWidth="1"/>
    <col min="782" max="1023" width="9.140625" style="195"/>
    <col min="1024" max="1024" width="52.5703125" style="195" customWidth="1"/>
    <col min="1025" max="1025" width="60" style="195" bestFit="1" customWidth="1"/>
    <col min="1026" max="1026" width="24.85546875" style="195" bestFit="1" customWidth="1"/>
    <col min="1027" max="1027" width="20.140625" style="195" customWidth="1"/>
    <col min="1028" max="1028" width="16.140625" style="195" customWidth="1"/>
    <col min="1029" max="1029" width="18" style="195" customWidth="1"/>
    <col min="1030" max="1030" width="16.5703125" style="195" customWidth="1"/>
    <col min="1031" max="1031" width="14.28515625" style="195" customWidth="1"/>
    <col min="1032" max="1032" width="22.42578125" style="195" customWidth="1"/>
    <col min="1033" max="1033" width="22.5703125" style="195" customWidth="1"/>
    <col min="1034" max="1036" width="9.28515625" style="195" bestFit="1" customWidth="1"/>
    <col min="1037" max="1037" width="10.7109375" style="195" bestFit="1" customWidth="1"/>
    <col min="1038" max="1279" width="9.140625" style="195"/>
    <col min="1280" max="1280" width="52.5703125" style="195" customWidth="1"/>
    <col min="1281" max="1281" width="60" style="195" bestFit="1" customWidth="1"/>
    <col min="1282" max="1282" width="24.85546875" style="195" bestFit="1" customWidth="1"/>
    <col min="1283" max="1283" width="20.140625" style="195" customWidth="1"/>
    <col min="1284" max="1284" width="16.140625" style="195" customWidth="1"/>
    <col min="1285" max="1285" width="18" style="195" customWidth="1"/>
    <col min="1286" max="1286" width="16.5703125" style="195" customWidth="1"/>
    <col min="1287" max="1287" width="14.28515625" style="195" customWidth="1"/>
    <col min="1288" max="1288" width="22.42578125" style="195" customWidth="1"/>
    <col min="1289" max="1289" width="22.5703125" style="195" customWidth="1"/>
    <col min="1290" max="1292" width="9.28515625" style="195" bestFit="1" customWidth="1"/>
    <col min="1293" max="1293" width="10.7109375" style="195" bestFit="1" customWidth="1"/>
    <col min="1294" max="1535" width="9.140625" style="195"/>
    <col min="1536" max="1536" width="52.5703125" style="195" customWidth="1"/>
    <col min="1537" max="1537" width="60" style="195" bestFit="1" customWidth="1"/>
    <col min="1538" max="1538" width="24.85546875" style="195" bestFit="1" customWidth="1"/>
    <col min="1539" max="1539" width="20.140625" style="195" customWidth="1"/>
    <col min="1540" max="1540" width="16.140625" style="195" customWidth="1"/>
    <col min="1541" max="1541" width="18" style="195" customWidth="1"/>
    <col min="1542" max="1542" width="16.5703125" style="195" customWidth="1"/>
    <col min="1543" max="1543" width="14.28515625" style="195" customWidth="1"/>
    <col min="1544" max="1544" width="22.42578125" style="195" customWidth="1"/>
    <col min="1545" max="1545" width="22.5703125" style="195" customWidth="1"/>
    <col min="1546" max="1548" width="9.28515625" style="195" bestFit="1" customWidth="1"/>
    <col min="1549" max="1549" width="10.7109375" style="195" bestFit="1" customWidth="1"/>
    <col min="1550" max="1791" width="9.140625" style="195"/>
    <col min="1792" max="1792" width="52.5703125" style="195" customWidth="1"/>
    <col min="1793" max="1793" width="60" style="195" bestFit="1" customWidth="1"/>
    <col min="1794" max="1794" width="24.85546875" style="195" bestFit="1" customWidth="1"/>
    <col min="1795" max="1795" width="20.140625" style="195" customWidth="1"/>
    <col min="1796" max="1796" width="16.140625" style="195" customWidth="1"/>
    <col min="1797" max="1797" width="18" style="195" customWidth="1"/>
    <col min="1798" max="1798" width="16.5703125" style="195" customWidth="1"/>
    <col min="1799" max="1799" width="14.28515625" style="195" customWidth="1"/>
    <col min="1800" max="1800" width="22.42578125" style="195" customWidth="1"/>
    <col min="1801" max="1801" width="22.5703125" style="195" customWidth="1"/>
    <col min="1802" max="1804" width="9.28515625" style="195" bestFit="1" customWidth="1"/>
    <col min="1805" max="1805" width="10.7109375" style="195" bestFit="1" customWidth="1"/>
    <col min="1806" max="2047" width="9.140625" style="195"/>
    <col min="2048" max="2048" width="52.5703125" style="195" customWidth="1"/>
    <col min="2049" max="2049" width="60" style="195" bestFit="1" customWidth="1"/>
    <col min="2050" max="2050" width="24.85546875" style="195" bestFit="1" customWidth="1"/>
    <col min="2051" max="2051" width="20.140625" style="195" customWidth="1"/>
    <col min="2052" max="2052" width="16.140625" style="195" customWidth="1"/>
    <col min="2053" max="2053" width="18" style="195" customWidth="1"/>
    <col min="2054" max="2054" width="16.5703125" style="195" customWidth="1"/>
    <col min="2055" max="2055" width="14.28515625" style="195" customWidth="1"/>
    <col min="2056" max="2056" width="22.42578125" style="195" customWidth="1"/>
    <col min="2057" max="2057" width="22.5703125" style="195" customWidth="1"/>
    <col min="2058" max="2060" width="9.28515625" style="195" bestFit="1" customWidth="1"/>
    <col min="2061" max="2061" width="10.7109375" style="195" bestFit="1" customWidth="1"/>
    <col min="2062" max="2303" width="9.140625" style="195"/>
    <col min="2304" max="2304" width="52.5703125" style="195" customWidth="1"/>
    <col min="2305" max="2305" width="60" style="195" bestFit="1" customWidth="1"/>
    <col min="2306" max="2306" width="24.85546875" style="195" bestFit="1" customWidth="1"/>
    <col min="2307" max="2307" width="20.140625" style="195" customWidth="1"/>
    <col min="2308" max="2308" width="16.140625" style="195" customWidth="1"/>
    <col min="2309" max="2309" width="18" style="195" customWidth="1"/>
    <col min="2310" max="2310" width="16.5703125" style="195" customWidth="1"/>
    <col min="2311" max="2311" width="14.28515625" style="195" customWidth="1"/>
    <col min="2312" max="2312" width="22.42578125" style="195" customWidth="1"/>
    <col min="2313" max="2313" width="22.5703125" style="195" customWidth="1"/>
    <col min="2314" max="2316" width="9.28515625" style="195" bestFit="1" customWidth="1"/>
    <col min="2317" max="2317" width="10.7109375" style="195" bestFit="1" customWidth="1"/>
    <col min="2318" max="2559" width="9.140625" style="195"/>
    <col min="2560" max="2560" width="52.5703125" style="195" customWidth="1"/>
    <col min="2561" max="2561" width="60" style="195" bestFit="1" customWidth="1"/>
    <col min="2562" max="2562" width="24.85546875" style="195" bestFit="1" customWidth="1"/>
    <col min="2563" max="2563" width="20.140625" style="195" customWidth="1"/>
    <col min="2564" max="2564" width="16.140625" style="195" customWidth="1"/>
    <col min="2565" max="2565" width="18" style="195" customWidth="1"/>
    <col min="2566" max="2566" width="16.5703125" style="195" customWidth="1"/>
    <col min="2567" max="2567" width="14.28515625" style="195" customWidth="1"/>
    <col min="2568" max="2568" width="22.42578125" style="195" customWidth="1"/>
    <col min="2569" max="2569" width="22.5703125" style="195" customWidth="1"/>
    <col min="2570" max="2572" width="9.28515625" style="195" bestFit="1" customWidth="1"/>
    <col min="2573" max="2573" width="10.7109375" style="195" bestFit="1" customWidth="1"/>
    <col min="2574" max="2815" width="9.140625" style="195"/>
    <col min="2816" max="2816" width="52.5703125" style="195" customWidth="1"/>
    <col min="2817" max="2817" width="60" style="195" bestFit="1" customWidth="1"/>
    <col min="2818" max="2818" width="24.85546875" style="195" bestFit="1" customWidth="1"/>
    <col min="2819" max="2819" width="20.140625" style="195" customWidth="1"/>
    <col min="2820" max="2820" width="16.140625" style="195" customWidth="1"/>
    <col min="2821" max="2821" width="18" style="195" customWidth="1"/>
    <col min="2822" max="2822" width="16.5703125" style="195" customWidth="1"/>
    <col min="2823" max="2823" width="14.28515625" style="195" customWidth="1"/>
    <col min="2824" max="2824" width="22.42578125" style="195" customWidth="1"/>
    <col min="2825" max="2825" width="22.5703125" style="195" customWidth="1"/>
    <col min="2826" max="2828" width="9.28515625" style="195" bestFit="1" customWidth="1"/>
    <col min="2829" max="2829" width="10.7109375" style="195" bestFit="1" customWidth="1"/>
    <col min="2830" max="3071" width="9.140625" style="195"/>
    <col min="3072" max="3072" width="52.5703125" style="195" customWidth="1"/>
    <col min="3073" max="3073" width="60" style="195" bestFit="1" customWidth="1"/>
    <col min="3074" max="3074" width="24.85546875" style="195" bestFit="1" customWidth="1"/>
    <col min="3075" max="3075" width="20.140625" style="195" customWidth="1"/>
    <col min="3076" max="3076" width="16.140625" style="195" customWidth="1"/>
    <col min="3077" max="3077" width="18" style="195" customWidth="1"/>
    <col min="3078" max="3078" width="16.5703125" style="195" customWidth="1"/>
    <col min="3079" max="3079" width="14.28515625" style="195" customWidth="1"/>
    <col min="3080" max="3080" width="22.42578125" style="195" customWidth="1"/>
    <col min="3081" max="3081" width="22.5703125" style="195" customWidth="1"/>
    <col min="3082" max="3084" width="9.28515625" style="195" bestFit="1" customWidth="1"/>
    <col min="3085" max="3085" width="10.7109375" style="195" bestFit="1" customWidth="1"/>
    <col min="3086" max="3327" width="9.140625" style="195"/>
    <col min="3328" max="3328" width="52.5703125" style="195" customWidth="1"/>
    <col min="3329" max="3329" width="60" style="195" bestFit="1" customWidth="1"/>
    <col min="3330" max="3330" width="24.85546875" style="195" bestFit="1" customWidth="1"/>
    <col min="3331" max="3331" width="20.140625" style="195" customWidth="1"/>
    <col min="3332" max="3332" width="16.140625" style="195" customWidth="1"/>
    <col min="3333" max="3333" width="18" style="195" customWidth="1"/>
    <col min="3334" max="3334" width="16.5703125" style="195" customWidth="1"/>
    <col min="3335" max="3335" width="14.28515625" style="195" customWidth="1"/>
    <col min="3336" max="3336" width="22.42578125" style="195" customWidth="1"/>
    <col min="3337" max="3337" width="22.5703125" style="195" customWidth="1"/>
    <col min="3338" max="3340" width="9.28515625" style="195" bestFit="1" customWidth="1"/>
    <col min="3341" max="3341" width="10.7109375" style="195" bestFit="1" customWidth="1"/>
    <col min="3342" max="3583" width="9.140625" style="195"/>
    <col min="3584" max="3584" width="52.5703125" style="195" customWidth="1"/>
    <col min="3585" max="3585" width="60" style="195" bestFit="1" customWidth="1"/>
    <col min="3586" max="3586" width="24.85546875" style="195" bestFit="1" customWidth="1"/>
    <col min="3587" max="3587" width="20.140625" style="195" customWidth="1"/>
    <col min="3588" max="3588" width="16.140625" style="195" customWidth="1"/>
    <col min="3589" max="3589" width="18" style="195" customWidth="1"/>
    <col min="3590" max="3590" width="16.5703125" style="195" customWidth="1"/>
    <col min="3591" max="3591" width="14.28515625" style="195" customWidth="1"/>
    <col min="3592" max="3592" width="22.42578125" style="195" customWidth="1"/>
    <col min="3593" max="3593" width="22.5703125" style="195" customWidth="1"/>
    <col min="3594" max="3596" width="9.28515625" style="195" bestFit="1" customWidth="1"/>
    <col min="3597" max="3597" width="10.7109375" style="195" bestFit="1" customWidth="1"/>
    <col min="3598" max="3839" width="9.140625" style="195"/>
    <col min="3840" max="3840" width="52.5703125" style="195" customWidth="1"/>
    <col min="3841" max="3841" width="60" style="195" bestFit="1" customWidth="1"/>
    <col min="3842" max="3842" width="24.85546875" style="195" bestFit="1" customWidth="1"/>
    <col min="3843" max="3843" width="20.140625" style="195" customWidth="1"/>
    <col min="3844" max="3844" width="16.140625" style="195" customWidth="1"/>
    <col min="3845" max="3845" width="18" style="195" customWidth="1"/>
    <col min="3846" max="3846" width="16.5703125" style="195" customWidth="1"/>
    <col min="3847" max="3847" width="14.28515625" style="195" customWidth="1"/>
    <col min="3848" max="3848" width="22.42578125" style="195" customWidth="1"/>
    <col min="3849" max="3849" width="22.5703125" style="195" customWidth="1"/>
    <col min="3850" max="3852" width="9.28515625" style="195" bestFit="1" customWidth="1"/>
    <col min="3853" max="3853" width="10.7109375" style="195" bestFit="1" customWidth="1"/>
    <col min="3854" max="4095" width="9.140625" style="195"/>
    <col min="4096" max="4096" width="52.5703125" style="195" customWidth="1"/>
    <col min="4097" max="4097" width="60" style="195" bestFit="1" customWidth="1"/>
    <col min="4098" max="4098" width="24.85546875" style="195" bestFit="1" customWidth="1"/>
    <col min="4099" max="4099" width="20.140625" style="195" customWidth="1"/>
    <col min="4100" max="4100" width="16.140625" style="195" customWidth="1"/>
    <col min="4101" max="4101" width="18" style="195" customWidth="1"/>
    <col min="4102" max="4102" width="16.5703125" style="195" customWidth="1"/>
    <col min="4103" max="4103" width="14.28515625" style="195" customWidth="1"/>
    <col min="4104" max="4104" width="22.42578125" style="195" customWidth="1"/>
    <col min="4105" max="4105" width="22.5703125" style="195" customWidth="1"/>
    <col min="4106" max="4108" width="9.28515625" style="195" bestFit="1" customWidth="1"/>
    <col min="4109" max="4109" width="10.7109375" style="195" bestFit="1" customWidth="1"/>
    <col min="4110" max="4351" width="9.140625" style="195"/>
    <col min="4352" max="4352" width="52.5703125" style="195" customWidth="1"/>
    <col min="4353" max="4353" width="60" style="195" bestFit="1" customWidth="1"/>
    <col min="4354" max="4354" width="24.85546875" style="195" bestFit="1" customWidth="1"/>
    <col min="4355" max="4355" width="20.140625" style="195" customWidth="1"/>
    <col min="4356" max="4356" width="16.140625" style="195" customWidth="1"/>
    <col min="4357" max="4357" width="18" style="195" customWidth="1"/>
    <col min="4358" max="4358" width="16.5703125" style="195" customWidth="1"/>
    <col min="4359" max="4359" width="14.28515625" style="195" customWidth="1"/>
    <col min="4360" max="4360" width="22.42578125" style="195" customWidth="1"/>
    <col min="4361" max="4361" width="22.5703125" style="195" customWidth="1"/>
    <col min="4362" max="4364" width="9.28515625" style="195" bestFit="1" customWidth="1"/>
    <col min="4365" max="4365" width="10.7109375" style="195" bestFit="1" customWidth="1"/>
    <col min="4366" max="4607" width="9.140625" style="195"/>
    <col min="4608" max="4608" width="52.5703125" style="195" customWidth="1"/>
    <col min="4609" max="4609" width="60" style="195" bestFit="1" customWidth="1"/>
    <col min="4610" max="4610" width="24.85546875" style="195" bestFit="1" customWidth="1"/>
    <col min="4611" max="4611" width="20.140625" style="195" customWidth="1"/>
    <col min="4612" max="4612" width="16.140625" style="195" customWidth="1"/>
    <col min="4613" max="4613" width="18" style="195" customWidth="1"/>
    <col min="4614" max="4614" width="16.5703125" style="195" customWidth="1"/>
    <col min="4615" max="4615" width="14.28515625" style="195" customWidth="1"/>
    <col min="4616" max="4616" width="22.42578125" style="195" customWidth="1"/>
    <col min="4617" max="4617" width="22.5703125" style="195" customWidth="1"/>
    <col min="4618" max="4620" width="9.28515625" style="195" bestFit="1" customWidth="1"/>
    <col min="4621" max="4621" width="10.7109375" style="195" bestFit="1" customWidth="1"/>
    <col min="4622" max="4863" width="9.140625" style="195"/>
    <col min="4864" max="4864" width="52.5703125" style="195" customWidth="1"/>
    <col min="4865" max="4865" width="60" style="195" bestFit="1" customWidth="1"/>
    <col min="4866" max="4866" width="24.85546875" style="195" bestFit="1" customWidth="1"/>
    <col min="4867" max="4867" width="20.140625" style="195" customWidth="1"/>
    <col min="4868" max="4868" width="16.140625" style="195" customWidth="1"/>
    <col min="4869" max="4869" width="18" style="195" customWidth="1"/>
    <col min="4870" max="4870" width="16.5703125" style="195" customWidth="1"/>
    <col min="4871" max="4871" width="14.28515625" style="195" customWidth="1"/>
    <col min="4872" max="4872" width="22.42578125" style="195" customWidth="1"/>
    <col min="4873" max="4873" width="22.5703125" style="195" customWidth="1"/>
    <col min="4874" max="4876" width="9.28515625" style="195" bestFit="1" customWidth="1"/>
    <col min="4877" max="4877" width="10.7109375" style="195" bestFit="1" customWidth="1"/>
    <col min="4878" max="5119" width="9.140625" style="195"/>
    <col min="5120" max="5120" width="52.5703125" style="195" customWidth="1"/>
    <col min="5121" max="5121" width="60" style="195" bestFit="1" customWidth="1"/>
    <col min="5122" max="5122" width="24.85546875" style="195" bestFit="1" customWidth="1"/>
    <col min="5123" max="5123" width="20.140625" style="195" customWidth="1"/>
    <col min="5124" max="5124" width="16.140625" style="195" customWidth="1"/>
    <col min="5125" max="5125" width="18" style="195" customWidth="1"/>
    <col min="5126" max="5126" width="16.5703125" style="195" customWidth="1"/>
    <col min="5127" max="5127" width="14.28515625" style="195" customWidth="1"/>
    <col min="5128" max="5128" width="22.42578125" style="195" customWidth="1"/>
    <col min="5129" max="5129" width="22.5703125" style="195" customWidth="1"/>
    <col min="5130" max="5132" width="9.28515625" style="195" bestFit="1" customWidth="1"/>
    <col min="5133" max="5133" width="10.7109375" style="195" bestFit="1" customWidth="1"/>
    <col min="5134" max="5375" width="9.140625" style="195"/>
    <col min="5376" max="5376" width="52.5703125" style="195" customWidth="1"/>
    <col min="5377" max="5377" width="60" style="195" bestFit="1" customWidth="1"/>
    <col min="5378" max="5378" width="24.85546875" style="195" bestFit="1" customWidth="1"/>
    <col min="5379" max="5379" width="20.140625" style="195" customWidth="1"/>
    <col min="5380" max="5380" width="16.140625" style="195" customWidth="1"/>
    <col min="5381" max="5381" width="18" style="195" customWidth="1"/>
    <col min="5382" max="5382" width="16.5703125" style="195" customWidth="1"/>
    <col min="5383" max="5383" width="14.28515625" style="195" customWidth="1"/>
    <col min="5384" max="5384" width="22.42578125" style="195" customWidth="1"/>
    <col min="5385" max="5385" width="22.5703125" style="195" customWidth="1"/>
    <col min="5386" max="5388" width="9.28515625" style="195" bestFit="1" customWidth="1"/>
    <col min="5389" max="5389" width="10.7109375" style="195" bestFit="1" customWidth="1"/>
    <col min="5390" max="5631" width="9.140625" style="195"/>
    <col min="5632" max="5632" width="52.5703125" style="195" customWidth="1"/>
    <col min="5633" max="5633" width="60" style="195" bestFit="1" customWidth="1"/>
    <col min="5634" max="5634" width="24.85546875" style="195" bestFit="1" customWidth="1"/>
    <col min="5635" max="5635" width="20.140625" style="195" customWidth="1"/>
    <col min="5636" max="5636" width="16.140625" style="195" customWidth="1"/>
    <col min="5637" max="5637" width="18" style="195" customWidth="1"/>
    <col min="5638" max="5638" width="16.5703125" style="195" customWidth="1"/>
    <col min="5639" max="5639" width="14.28515625" style="195" customWidth="1"/>
    <col min="5640" max="5640" width="22.42578125" style="195" customWidth="1"/>
    <col min="5641" max="5641" width="22.5703125" style="195" customWidth="1"/>
    <col min="5642" max="5644" width="9.28515625" style="195" bestFit="1" customWidth="1"/>
    <col min="5645" max="5645" width="10.7109375" style="195" bestFit="1" customWidth="1"/>
    <col min="5646" max="5887" width="9.140625" style="195"/>
    <col min="5888" max="5888" width="52.5703125" style="195" customWidth="1"/>
    <col min="5889" max="5889" width="60" style="195" bestFit="1" customWidth="1"/>
    <col min="5890" max="5890" width="24.85546875" style="195" bestFit="1" customWidth="1"/>
    <col min="5891" max="5891" width="20.140625" style="195" customWidth="1"/>
    <col min="5892" max="5892" width="16.140625" style="195" customWidth="1"/>
    <col min="5893" max="5893" width="18" style="195" customWidth="1"/>
    <col min="5894" max="5894" width="16.5703125" style="195" customWidth="1"/>
    <col min="5895" max="5895" width="14.28515625" style="195" customWidth="1"/>
    <col min="5896" max="5896" width="22.42578125" style="195" customWidth="1"/>
    <col min="5897" max="5897" width="22.5703125" style="195" customWidth="1"/>
    <col min="5898" max="5900" width="9.28515625" style="195" bestFit="1" customWidth="1"/>
    <col min="5901" max="5901" width="10.7109375" style="195" bestFit="1" customWidth="1"/>
    <col min="5902" max="6143" width="9.140625" style="195"/>
    <col min="6144" max="6144" width="52.5703125" style="195" customWidth="1"/>
    <col min="6145" max="6145" width="60" style="195" bestFit="1" customWidth="1"/>
    <col min="6146" max="6146" width="24.85546875" style="195" bestFit="1" customWidth="1"/>
    <col min="6147" max="6147" width="20.140625" style="195" customWidth="1"/>
    <col min="6148" max="6148" width="16.140625" style="195" customWidth="1"/>
    <col min="6149" max="6149" width="18" style="195" customWidth="1"/>
    <col min="6150" max="6150" width="16.5703125" style="195" customWidth="1"/>
    <col min="6151" max="6151" width="14.28515625" style="195" customWidth="1"/>
    <col min="6152" max="6152" width="22.42578125" style="195" customWidth="1"/>
    <col min="6153" max="6153" width="22.5703125" style="195" customWidth="1"/>
    <col min="6154" max="6156" width="9.28515625" style="195" bestFit="1" customWidth="1"/>
    <col min="6157" max="6157" width="10.7109375" style="195" bestFit="1" customWidth="1"/>
    <col min="6158" max="6399" width="9.140625" style="195"/>
    <col min="6400" max="6400" width="52.5703125" style="195" customWidth="1"/>
    <col min="6401" max="6401" width="60" style="195" bestFit="1" customWidth="1"/>
    <col min="6402" max="6402" width="24.85546875" style="195" bestFit="1" customWidth="1"/>
    <col min="6403" max="6403" width="20.140625" style="195" customWidth="1"/>
    <col min="6404" max="6404" width="16.140625" style="195" customWidth="1"/>
    <col min="6405" max="6405" width="18" style="195" customWidth="1"/>
    <col min="6406" max="6406" width="16.5703125" style="195" customWidth="1"/>
    <col min="6407" max="6407" width="14.28515625" style="195" customWidth="1"/>
    <col min="6408" max="6408" width="22.42578125" style="195" customWidth="1"/>
    <col min="6409" max="6409" width="22.5703125" style="195" customWidth="1"/>
    <col min="6410" max="6412" width="9.28515625" style="195" bestFit="1" customWidth="1"/>
    <col min="6413" max="6413" width="10.7109375" style="195" bestFit="1" customWidth="1"/>
    <col min="6414" max="6655" width="9.140625" style="195"/>
    <col min="6656" max="6656" width="52.5703125" style="195" customWidth="1"/>
    <col min="6657" max="6657" width="60" style="195" bestFit="1" customWidth="1"/>
    <col min="6658" max="6658" width="24.85546875" style="195" bestFit="1" customWidth="1"/>
    <col min="6659" max="6659" width="20.140625" style="195" customWidth="1"/>
    <col min="6660" max="6660" width="16.140625" style="195" customWidth="1"/>
    <col min="6661" max="6661" width="18" style="195" customWidth="1"/>
    <col min="6662" max="6662" width="16.5703125" style="195" customWidth="1"/>
    <col min="6663" max="6663" width="14.28515625" style="195" customWidth="1"/>
    <col min="6664" max="6664" width="22.42578125" style="195" customWidth="1"/>
    <col min="6665" max="6665" width="22.5703125" style="195" customWidth="1"/>
    <col min="6666" max="6668" width="9.28515625" style="195" bestFit="1" customWidth="1"/>
    <col min="6669" max="6669" width="10.7109375" style="195" bestFit="1" customWidth="1"/>
    <col min="6670" max="6911" width="9.140625" style="195"/>
    <col min="6912" max="6912" width="52.5703125" style="195" customWidth="1"/>
    <col min="6913" max="6913" width="60" style="195" bestFit="1" customWidth="1"/>
    <col min="6914" max="6914" width="24.85546875" style="195" bestFit="1" customWidth="1"/>
    <col min="6915" max="6915" width="20.140625" style="195" customWidth="1"/>
    <col min="6916" max="6916" width="16.140625" style="195" customWidth="1"/>
    <col min="6917" max="6917" width="18" style="195" customWidth="1"/>
    <col min="6918" max="6918" width="16.5703125" style="195" customWidth="1"/>
    <col min="6919" max="6919" width="14.28515625" style="195" customWidth="1"/>
    <col min="6920" max="6920" width="22.42578125" style="195" customWidth="1"/>
    <col min="6921" max="6921" width="22.5703125" style="195" customWidth="1"/>
    <col min="6922" max="6924" width="9.28515625" style="195" bestFit="1" customWidth="1"/>
    <col min="6925" max="6925" width="10.7109375" style="195" bestFit="1" customWidth="1"/>
    <col min="6926" max="7167" width="9.140625" style="195"/>
    <col min="7168" max="7168" width="52.5703125" style="195" customWidth="1"/>
    <col min="7169" max="7169" width="60" style="195" bestFit="1" customWidth="1"/>
    <col min="7170" max="7170" width="24.85546875" style="195" bestFit="1" customWidth="1"/>
    <col min="7171" max="7171" width="20.140625" style="195" customWidth="1"/>
    <col min="7172" max="7172" width="16.140625" style="195" customWidth="1"/>
    <col min="7173" max="7173" width="18" style="195" customWidth="1"/>
    <col min="7174" max="7174" width="16.5703125" style="195" customWidth="1"/>
    <col min="7175" max="7175" width="14.28515625" style="195" customWidth="1"/>
    <col min="7176" max="7176" width="22.42578125" style="195" customWidth="1"/>
    <col min="7177" max="7177" width="22.5703125" style="195" customWidth="1"/>
    <col min="7178" max="7180" width="9.28515625" style="195" bestFit="1" customWidth="1"/>
    <col min="7181" max="7181" width="10.7109375" style="195" bestFit="1" customWidth="1"/>
    <col min="7182" max="7423" width="9.140625" style="195"/>
    <col min="7424" max="7424" width="52.5703125" style="195" customWidth="1"/>
    <col min="7425" max="7425" width="60" style="195" bestFit="1" customWidth="1"/>
    <col min="7426" max="7426" width="24.85546875" style="195" bestFit="1" customWidth="1"/>
    <col min="7427" max="7427" width="20.140625" style="195" customWidth="1"/>
    <col min="7428" max="7428" width="16.140625" style="195" customWidth="1"/>
    <col min="7429" max="7429" width="18" style="195" customWidth="1"/>
    <col min="7430" max="7430" width="16.5703125" style="195" customWidth="1"/>
    <col min="7431" max="7431" width="14.28515625" style="195" customWidth="1"/>
    <col min="7432" max="7432" width="22.42578125" style="195" customWidth="1"/>
    <col min="7433" max="7433" width="22.5703125" style="195" customWidth="1"/>
    <col min="7434" max="7436" width="9.28515625" style="195" bestFit="1" customWidth="1"/>
    <col min="7437" max="7437" width="10.7109375" style="195" bestFit="1" customWidth="1"/>
    <col min="7438" max="7679" width="9.140625" style="195"/>
    <col min="7680" max="7680" width="52.5703125" style="195" customWidth="1"/>
    <col min="7681" max="7681" width="60" style="195" bestFit="1" customWidth="1"/>
    <col min="7682" max="7682" width="24.85546875" style="195" bestFit="1" customWidth="1"/>
    <col min="7683" max="7683" width="20.140625" style="195" customWidth="1"/>
    <col min="7684" max="7684" width="16.140625" style="195" customWidth="1"/>
    <col min="7685" max="7685" width="18" style="195" customWidth="1"/>
    <col min="7686" max="7686" width="16.5703125" style="195" customWidth="1"/>
    <col min="7687" max="7687" width="14.28515625" style="195" customWidth="1"/>
    <col min="7688" max="7688" width="22.42578125" style="195" customWidth="1"/>
    <col min="7689" max="7689" width="22.5703125" style="195" customWidth="1"/>
    <col min="7690" max="7692" width="9.28515625" style="195" bestFit="1" customWidth="1"/>
    <col min="7693" max="7693" width="10.7109375" style="195" bestFit="1" customWidth="1"/>
    <col min="7694" max="7935" width="9.140625" style="195"/>
    <col min="7936" max="7936" width="52.5703125" style="195" customWidth="1"/>
    <col min="7937" max="7937" width="60" style="195" bestFit="1" customWidth="1"/>
    <col min="7938" max="7938" width="24.85546875" style="195" bestFit="1" customWidth="1"/>
    <col min="7939" max="7939" width="20.140625" style="195" customWidth="1"/>
    <col min="7940" max="7940" width="16.140625" style="195" customWidth="1"/>
    <col min="7941" max="7941" width="18" style="195" customWidth="1"/>
    <col min="7942" max="7942" width="16.5703125" style="195" customWidth="1"/>
    <col min="7943" max="7943" width="14.28515625" style="195" customWidth="1"/>
    <col min="7944" max="7944" width="22.42578125" style="195" customWidth="1"/>
    <col min="7945" max="7945" width="22.5703125" style="195" customWidth="1"/>
    <col min="7946" max="7948" width="9.28515625" style="195" bestFit="1" customWidth="1"/>
    <col min="7949" max="7949" width="10.7109375" style="195" bestFit="1" customWidth="1"/>
    <col min="7950" max="8191" width="9.140625" style="195"/>
    <col min="8192" max="8192" width="52.5703125" style="195" customWidth="1"/>
    <col min="8193" max="8193" width="60" style="195" bestFit="1" customWidth="1"/>
    <col min="8194" max="8194" width="24.85546875" style="195" bestFit="1" customWidth="1"/>
    <col min="8195" max="8195" width="20.140625" style="195" customWidth="1"/>
    <col min="8196" max="8196" width="16.140625" style="195" customWidth="1"/>
    <col min="8197" max="8197" width="18" style="195" customWidth="1"/>
    <col min="8198" max="8198" width="16.5703125" style="195" customWidth="1"/>
    <col min="8199" max="8199" width="14.28515625" style="195" customWidth="1"/>
    <col min="8200" max="8200" width="22.42578125" style="195" customWidth="1"/>
    <col min="8201" max="8201" width="22.5703125" style="195" customWidth="1"/>
    <col min="8202" max="8204" width="9.28515625" style="195" bestFit="1" customWidth="1"/>
    <col min="8205" max="8205" width="10.7109375" style="195" bestFit="1" customWidth="1"/>
    <col min="8206" max="8447" width="9.140625" style="195"/>
    <col min="8448" max="8448" width="52.5703125" style="195" customWidth="1"/>
    <col min="8449" max="8449" width="60" style="195" bestFit="1" customWidth="1"/>
    <col min="8450" max="8450" width="24.85546875" style="195" bestFit="1" customWidth="1"/>
    <col min="8451" max="8451" width="20.140625" style="195" customWidth="1"/>
    <col min="8452" max="8452" width="16.140625" style="195" customWidth="1"/>
    <col min="8453" max="8453" width="18" style="195" customWidth="1"/>
    <col min="8454" max="8454" width="16.5703125" style="195" customWidth="1"/>
    <col min="8455" max="8455" width="14.28515625" style="195" customWidth="1"/>
    <col min="8456" max="8456" width="22.42578125" style="195" customWidth="1"/>
    <col min="8457" max="8457" width="22.5703125" style="195" customWidth="1"/>
    <col min="8458" max="8460" width="9.28515625" style="195" bestFit="1" customWidth="1"/>
    <col min="8461" max="8461" width="10.7109375" style="195" bestFit="1" customWidth="1"/>
    <col min="8462" max="8703" width="9.140625" style="195"/>
    <col min="8704" max="8704" width="52.5703125" style="195" customWidth="1"/>
    <col min="8705" max="8705" width="60" style="195" bestFit="1" customWidth="1"/>
    <col min="8706" max="8706" width="24.85546875" style="195" bestFit="1" customWidth="1"/>
    <col min="8707" max="8707" width="20.140625" style="195" customWidth="1"/>
    <col min="8708" max="8708" width="16.140625" style="195" customWidth="1"/>
    <col min="8709" max="8709" width="18" style="195" customWidth="1"/>
    <col min="8710" max="8710" width="16.5703125" style="195" customWidth="1"/>
    <col min="8711" max="8711" width="14.28515625" style="195" customWidth="1"/>
    <col min="8712" max="8712" width="22.42578125" style="195" customWidth="1"/>
    <col min="8713" max="8713" width="22.5703125" style="195" customWidth="1"/>
    <col min="8714" max="8716" width="9.28515625" style="195" bestFit="1" customWidth="1"/>
    <col min="8717" max="8717" width="10.7109375" style="195" bestFit="1" customWidth="1"/>
    <col min="8718" max="8959" width="9.140625" style="195"/>
    <col min="8960" max="8960" width="52.5703125" style="195" customWidth="1"/>
    <col min="8961" max="8961" width="60" style="195" bestFit="1" customWidth="1"/>
    <col min="8962" max="8962" width="24.85546875" style="195" bestFit="1" customWidth="1"/>
    <col min="8963" max="8963" width="20.140625" style="195" customWidth="1"/>
    <col min="8964" max="8964" width="16.140625" style="195" customWidth="1"/>
    <col min="8965" max="8965" width="18" style="195" customWidth="1"/>
    <col min="8966" max="8966" width="16.5703125" style="195" customWidth="1"/>
    <col min="8967" max="8967" width="14.28515625" style="195" customWidth="1"/>
    <col min="8968" max="8968" width="22.42578125" style="195" customWidth="1"/>
    <col min="8969" max="8969" width="22.5703125" style="195" customWidth="1"/>
    <col min="8970" max="8972" width="9.28515625" style="195" bestFit="1" customWidth="1"/>
    <col min="8973" max="8973" width="10.7109375" style="195" bestFit="1" customWidth="1"/>
    <col min="8974" max="9215" width="9.140625" style="195"/>
    <col min="9216" max="9216" width="52.5703125" style="195" customWidth="1"/>
    <col min="9217" max="9217" width="60" style="195" bestFit="1" customWidth="1"/>
    <col min="9218" max="9218" width="24.85546875" style="195" bestFit="1" customWidth="1"/>
    <col min="9219" max="9219" width="20.140625" style="195" customWidth="1"/>
    <col min="9220" max="9220" width="16.140625" style="195" customWidth="1"/>
    <col min="9221" max="9221" width="18" style="195" customWidth="1"/>
    <col min="9222" max="9222" width="16.5703125" style="195" customWidth="1"/>
    <col min="9223" max="9223" width="14.28515625" style="195" customWidth="1"/>
    <col min="9224" max="9224" width="22.42578125" style="195" customWidth="1"/>
    <col min="9225" max="9225" width="22.5703125" style="195" customWidth="1"/>
    <col min="9226" max="9228" width="9.28515625" style="195" bestFit="1" customWidth="1"/>
    <col min="9229" max="9229" width="10.7109375" style="195" bestFit="1" customWidth="1"/>
    <col min="9230" max="9471" width="9.140625" style="195"/>
    <col min="9472" max="9472" width="52.5703125" style="195" customWidth="1"/>
    <col min="9473" max="9473" width="60" style="195" bestFit="1" customWidth="1"/>
    <col min="9474" max="9474" width="24.85546875" style="195" bestFit="1" customWidth="1"/>
    <col min="9475" max="9475" width="20.140625" style="195" customWidth="1"/>
    <col min="9476" max="9476" width="16.140625" style="195" customWidth="1"/>
    <col min="9477" max="9477" width="18" style="195" customWidth="1"/>
    <col min="9478" max="9478" width="16.5703125" style="195" customWidth="1"/>
    <col min="9479" max="9479" width="14.28515625" style="195" customWidth="1"/>
    <col min="9480" max="9480" width="22.42578125" style="195" customWidth="1"/>
    <col min="9481" max="9481" width="22.5703125" style="195" customWidth="1"/>
    <col min="9482" max="9484" width="9.28515625" style="195" bestFit="1" customWidth="1"/>
    <col min="9485" max="9485" width="10.7109375" style="195" bestFit="1" customWidth="1"/>
    <col min="9486" max="9727" width="9.140625" style="195"/>
    <col min="9728" max="9728" width="52.5703125" style="195" customWidth="1"/>
    <col min="9729" max="9729" width="60" style="195" bestFit="1" customWidth="1"/>
    <col min="9730" max="9730" width="24.85546875" style="195" bestFit="1" customWidth="1"/>
    <col min="9731" max="9731" width="20.140625" style="195" customWidth="1"/>
    <col min="9732" max="9732" width="16.140625" style="195" customWidth="1"/>
    <col min="9733" max="9733" width="18" style="195" customWidth="1"/>
    <col min="9734" max="9734" width="16.5703125" style="195" customWidth="1"/>
    <col min="9735" max="9735" width="14.28515625" style="195" customWidth="1"/>
    <col min="9736" max="9736" width="22.42578125" style="195" customWidth="1"/>
    <col min="9737" max="9737" width="22.5703125" style="195" customWidth="1"/>
    <col min="9738" max="9740" width="9.28515625" style="195" bestFit="1" customWidth="1"/>
    <col min="9741" max="9741" width="10.7109375" style="195" bestFit="1" customWidth="1"/>
    <col min="9742" max="9983" width="9.140625" style="195"/>
    <col min="9984" max="9984" width="52.5703125" style="195" customWidth="1"/>
    <col min="9985" max="9985" width="60" style="195" bestFit="1" customWidth="1"/>
    <col min="9986" max="9986" width="24.85546875" style="195" bestFit="1" customWidth="1"/>
    <col min="9987" max="9987" width="20.140625" style="195" customWidth="1"/>
    <col min="9988" max="9988" width="16.140625" style="195" customWidth="1"/>
    <col min="9989" max="9989" width="18" style="195" customWidth="1"/>
    <col min="9990" max="9990" width="16.5703125" style="195" customWidth="1"/>
    <col min="9991" max="9991" width="14.28515625" style="195" customWidth="1"/>
    <col min="9992" max="9992" width="22.42578125" style="195" customWidth="1"/>
    <col min="9993" max="9993" width="22.5703125" style="195" customWidth="1"/>
    <col min="9994" max="9996" width="9.28515625" style="195" bestFit="1" customWidth="1"/>
    <col min="9997" max="9997" width="10.7109375" style="195" bestFit="1" customWidth="1"/>
    <col min="9998" max="10239" width="9.140625" style="195"/>
    <col min="10240" max="10240" width="52.5703125" style="195" customWidth="1"/>
    <col min="10241" max="10241" width="60" style="195" bestFit="1" customWidth="1"/>
    <col min="10242" max="10242" width="24.85546875" style="195" bestFit="1" customWidth="1"/>
    <col min="10243" max="10243" width="20.140625" style="195" customWidth="1"/>
    <col min="10244" max="10244" width="16.140625" style="195" customWidth="1"/>
    <col min="10245" max="10245" width="18" style="195" customWidth="1"/>
    <col min="10246" max="10246" width="16.5703125" style="195" customWidth="1"/>
    <col min="10247" max="10247" width="14.28515625" style="195" customWidth="1"/>
    <col min="10248" max="10248" width="22.42578125" style="195" customWidth="1"/>
    <col min="10249" max="10249" width="22.5703125" style="195" customWidth="1"/>
    <col min="10250" max="10252" width="9.28515625" style="195" bestFit="1" customWidth="1"/>
    <col min="10253" max="10253" width="10.7109375" style="195" bestFit="1" customWidth="1"/>
    <col min="10254" max="10495" width="9.140625" style="195"/>
    <col min="10496" max="10496" width="52.5703125" style="195" customWidth="1"/>
    <col min="10497" max="10497" width="60" style="195" bestFit="1" customWidth="1"/>
    <col min="10498" max="10498" width="24.85546875" style="195" bestFit="1" customWidth="1"/>
    <col min="10499" max="10499" width="20.140625" style="195" customWidth="1"/>
    <col min="10500" max="10500" width="16.140625" style="195" customWidth="1"/>
    <col min="10501" max="10501" width="18" style="195" customWidth="1"/>
    <col min="10502" max="10502" width="16.5703125" style="195" customWidth="1"/>
    <col min="10503" max="10503" width="14.28515625" style="195" customWidth="1"/>
    <col min="10504" max="10504" width="22.42578125" style="195" customWidth="1"/>
    <col min="10505" max="10505" width="22.5703125" style="195" customWidth="1"/>
    <col min="10506" max="10508" width="9.28515625" style="195" bestFit="1" customWidth="1"/>
    <col min="10509" max="10509" width="10.7109375" style="195" bestFit="1" customWidth="1"/>
    <col min="10510" max="10751" width="9.140625" style="195"/>
    <col min="10752" max="10752" width="52.5703125" style="195" customWidth="1"/>
    <col min="10753" max="10753" width="60" style="195" bestFit="1" customWidth="1"/>
    <col min="10754" max="10754" width="24.85546875" style="195" bestFit="1" customWidth="1"/>
    <col min="10755" max="10755" width="20.140625" style="195" customWidth="1"/>
    <col min="10756" max="10756" width="16.140625" style="195" customWidth="1"/>
    <col min="10757" max="10757" width="18" style="195" customWidth="1"/>
    <col min="10758" max="10758" width="16.5703125" style="195" customWidth="1"/>
    <col min="10759" max="10759" width="14.28515625" style="195" customWidth="1"/>
    <col min="10760" max="10760" width="22.42578125" style="195" customWidth="1"/>
    <col min="10761" max="10761" width="22.5703125" style="195" customWidth="1"/>
    <col min="10762" max="10764" width="9.28515625" style="195" bestFit="1" customWidth="1"/>
    <col min="10765" max="10765" width="10.7109375" style="195" bestFit="1" customWidth="1"/>
    <col min="10766" max="11007" width="9.140625" style="195"/>
    <col min="11008" max="11008" width="52.5703125" style="195" customWidth="1"/>
    <col min="11009" max="11009" width="60" style="195" bestFit="1" customWidth="1"/>
    <col min="11010" max="11010" width="24.85546875" style="195" bestFit="1" customWidth="1"/>
    <col min="11011" max="11011" width="20.140625" style="195" customWidth="1"/>
    <col min="11012" max="11012" width="16.140625" style="195" customWidth="1"/>
    <col min="11013" max="11013" width="18" style="195" customWidth="1"/>
    <col min="11014" max="11014" width="16.5703125" style="195" customWidth="1"/>
    <col min="11015" max="11015" width="14.28515625" style="195" customWidth="1"/>
    <col min="11016" max="11016" width="22.42578125" style="195" customWidth="1"/>
    <col min="11017" max="11017" width="22.5703125" style="195" customWidth="1"/>
    <col min="11018" max="11020" width="9.28515625" style="195" bestFit="1" customWidth="1"/>
    <col min="11021" max="11021" width="10.7109375" style="195" bestFit="1" customWidth="1"/>
    <col min="11022" max="11263" width="9.140625" style="195"/>
    <col min="11264" max="11264" width="52.5703125" style="195" customWidth="1"/>
    <col min="11265" max="11265" width="60" style="195" bestFit="1" customWidth="1"/>
    <col min="11266" max="11266" width="24.85546875" style="195" bestFit="1" customWidth="1"/>
    <col min="11267" max="11267" width="20.140625" style="195" customWidth="1"/>
    <col min="11268" max="11268" width="16.140625" style="195" customWidth="1"/>
    <col min="11269" max="11269" width="18" style="195" customWidth="1"/>
    <col min="11270" max="11270" width="16.5703125" style="195" customWidth="1"/>
    <col min="11271" max="11271" width="14.28515625" style="195" customWidth="1"/>
    <col min="11272" max="11272" width="22.42578125" style="195" customWidth="1"/>
    <col min="11273" max="11273" width="22.5703125" style="195" customWidth="1"/>
    <col min="11274" max="11276" width="9.28515625" style="195" bestFit="1" customWidth="1"/>
    <col min="11277" max="11277" width="10.7109375" style="195" bestFit="1" customWidth="1"/>
    <col min="11278" max="11519" width="9.140625" style="195"/>
    <col min="11520" max="11520" width="52.5703125" style="195" customWidth="1"/>
    <col min="11521" max="11521" width="60" style="195" bestFit="1" customWidth="1"/>
    <col min="11522" max="11522" width="24.85546875" style="195" bestFit="1" customWidth="1"/>
    <col min="11523" max="11523" width="20.140625" style="195" customWidth="1"/>
    <col min="11524" max="11524" width="16.140625" style="195" customWidth="1"/>
    <col min="11525" max="11525" width="18" style="195" customWidth="1"/>
    <col min="11526" max="11526" width="16.5703125" style="195" customWidth="1"/>
    <col min="11527" max="11527" width="14.28515625" style="195" customWidth="1"/>
    <col min="11528" max="11528" width="22.42578125" style="195" customWidth="1"/>
    <col min="11529" max="11529" width="22.5703125" style="195" customWidth="1"/>
    <col min="11530" max="11532" width="9.28515625" style="195" bestFit="1" customWidth="1"/>
    <col min="11533" max="11533" width="10.7109375" style="195" bestFit="1" customWidth="1"/>
    <col min="11534" max="11775" width="9.140625" style="195"/>
    <col min="11776" max="11776" width="52.5703125" style="195" customWidth="1"/>
    <col min="11777" max="11777" width="60" style="195" bestFit="1" customWidth="1"/>
    <col min="11778" max="11778" width="24.85546875" style="195" bestFit="1" customWidth="1"/>
    <col min="11779" max="11779" width="20.140625" style="195" customWidth="1"/>
    <col min="11780" max="11780" width="16.140625" style="195" customWidth="1"/>
    <col min="11781" max="11781" width="18" style="195" customWidth="1"/>
    <col min="11782" max="11782" width="16.5703125" style="195" customWidth="1"/>
    <col min="11783" max="11783" width="14.28515625" style="195" customWidth="1"/>
    <col min="11784" max="11784" width="22.42578125" style="195" customWidth="1"/>
    <col min="11785" max="11785" width="22.5703125" style="195" customWidth="1"/>
    <col min="11786" max="11788" width="9.28515625" style="195" bestFit="1" customWidth="1"/>
    <col min="11789" max="11789" width="10.7109375" style="195" bestFit="1" customWidth="1"/>
    <col min="11790" max="12031" width="9.140625" style="195"/>
    <col min="12032" max="12032" width="52.5703125" style="195" customWidth="1"/>
    <col min="12033" max="12033" width="60" style="195" bestFit="1" customWidth="1"/>
    <col min="12034" max="12034" width="24.85546875" style="195" bestFit="1" customWidth="1"/>
    <col min="12035" max="12035" width="20.140625" style="195" customWidth="1"/>
    <col min="12036" max="12036" width="16.140625" style="195" customWidth="1"/>
    <col min="12037" max="12037" width="18" style="195" customWidth="1"/>
    <col min="12038" max="12038" width="16.5703125" style="195" customWidth="1"/>
    <col min="12039" max="12039" width="14.28515625" style="195" customWidth="1"/>
    <col min="12040" max="12040" width="22.42578125" style="195" customWidth="1"/>
    <col min="12041" max="12041" width="22.5703125" style="195" customWidth="1"/>
    <col min="12042" max="12044" width="9.28515625" style="195" bestFit="1" customWidth="1"/>
    <col min="12045" max="12045" width="10.7109375" style="195" bestFit="1" customWidth="1"/>
    <col min="12046" max="12287" width="9.140625" style="195"/>
    <col min="12288" max="12288" width="52.5703125" style="195" customWidth="1"/>
    <col min="12289" max="12289" width="60" style="195" bestFit="1" customWidth="1"/>
    <col min="12290" max="12290" width="24.85546875" style="195" bestFit="1" customWidth="1"/>
    <col min="12291" max="12291" width="20.140625" style="195" customWidth="1"/>
    <col min="12292" max="12292" width="16.140625" style="195" customWidth="1"/>
    <col min="12293" max="12293" width="18" style="195" customWidth="1"/>
    <col min="12294" max="12294" width="16.5703125" style="195" customWidth="1"/>
    <col min="12295" max="12295" width="14.28515625" style="195" customWidth="1"/>
    <col min="12296" max="12296" width="22.42578125" style="195" customWidth="1"/>
    <col min="12297" max="12297" width="22.5703125" style="195" customWidth="1"/>
    <col min="12298" max="12300" width="9.28515625" style="195" bestFit="1" customWidth="1"/>
    <col min="12301" max="12301" width="10.7109375" style="195" bestFit="1" customWidth="1"/>
    <col min="12302" max="12543" width="9.140625" style="195"/>
    <col min="12544" max="12544" width="52.5703125" style="195" customWidth="1"/>
    <col min="12545" max="12545" width="60" style="195" bestFit="1" customWidth="1"/>
    <col min="12546" max="12546" width="24.85546875" style="195" bestFit="1" customWidth="1"/>
    <col min="12547" max="12547" width="20.140625" style="195" customWidth="1"/>
    <col min="12548" max="12548" width="16.140625" style="195" customWidth="1"/>
    <col min="12549" max="12549" width="18" style="195" customWidth="1"/>
    <col min="12550" max="12550" width="16.5703125" style="195" customWidth="1"/>
    <col min="12551" max="12551" width="14.28515625" style="195" customWidth="1"/>
    <col min="12552" max="12552" width="22.42578125" style="195" customWidth="1"/>
    <col min="12553" max="12553" width="22.5703125" style="195" customWidth="1"/>
    <col min="12554" max="12556" width="9.28515625" style="195" bestFit="1" customWidth="1"/>
    <col min="12557" max="12557" width="10.7109375" style="195" bestFit="1" customWidth="1"/>
    <col min="12558" max="12799" width="9.140625" style="195"/>
    <col min="12800" max="12800" width="52.5703125" style="195" customWidth="1"/>
    <col min="12801" max="12801" width="60" style="195" bestFit="1" customWidth="1"/>
    <col min="12802" max="12802" width="24.85546875" style="195" bestFit="1" customWidth="1"/>
    <col min="12803" max="12803" width="20.140625" style="195" customWidth="1"/>
    <col min="12804" max="12804" width="16.140625" style="195" customWidth="1"/>
    <col min="12805" max="12805" width="18" style="195" customWidth="1"/>
    <col min="12806" max="12806" width="16.5703125" style="195" customWidth="1"/>
    <col min="12807" max="12807" width="14.28515625" style="195" customWidth="1"/>
    <col min="12808" max="12808" width="22.42578125" style="195" customWidth="1"/>
    <col min="12809" max="12809" width="22.5703125" style="195" customWidth="1"/>
    <col min="12810" max="12812" width="9.28515625" style="195" bestFit="1" customWidth="1"/>
    <col min="12813" max="12813" width="10.7109375" style="195" bestFit="1" customWidth="1"/>
    <col min="12814" max="13055" width="9.140625" style="195"/>
    <col min="13056" max="13056" width="52.5703125" style="195" customWidth="1"/>
    <col min="13057" max="13057" width="60" style="195" bestFit="1" customWidth="1"/>
    <col min="13058" max="13058" width="24.85546875" style="195" bestFit="1" customWidth="1"/>
    <col min="13059" max="13059" width="20.140625" style="195" customWidth="1"/>
    <col min="13060" max="13060" width="16.140625" style="195" customWidth="1"/>
    <col min="13061" max="13061" width="18" style="195" customWidth="1"/>
    <col min="13062" max="13062" width="16.5703125" style="195" customWidth="1"/>
    <col min="13063" max="13063" width="14.28515625" style="195" customWidth="1"/>
    <col min="13064" max="13064" width="22.42578125" style="195" customWidth="1"/>
    <col min="13065" max="13065" width="22.5703125" style="195" customWidth="1"/>
    <col min="13066" max="13068" width="9.28515625" style="195" bestFit="1" customWidth="1"/>
    <col min="13069" max="13069" width="10.7109375" style="195" bestFit="1" customWidth="1"/>
    <col min="13070" max="13311" width="9.140625" style="195"/>
    <col min="13312" max="13312" width="52.5703125" style="195" customWidth="1"/>
    <col min="13313" max="13313" width="60" style="195" bestFit="1" customWidth="1"/>
    <col min="13314" max="13314" width="24.85546875" style="195" bestFit="1" customWidth="1"/>
    <col min="13315" max="13315" width="20.140625" style="195" customWidth="1"/>
    <col min="13316" max="13316" width="16.140625" style="195" customWidth="1"/>
    <col min="13317" max="13317" width="18" style="195" customWidth="1"/>
    <col min="13318" max="13318" width="16.5703125" style="195" customWidth="1"/>
    <col min="13319" max="13319" width="14.28515625" style="195" customWidth="1"/>
    <col min="13320" max="13320" width="22.42578125" style="195" customWidth="1"/>
    <col min="13321" max="13321" width="22.5703125" style="195" customWidth="1"/>
    <col min="13322" max="13324" width="9.28515625" style="195" bestFit="1" customWidth="1"/>
    <col min="13325" max="13325" width="10.7109375" style="195" bestFit="1" customWidth="1"/>
    <col min="13326" max="13567" width="9.140625" style="195"/>
    <col min="13568" max="13568" width="52.5703125" style="195" customWidth="1"/>
    <col min="13569" max="13569" width="60" style="195" bestFit="1" customWidth="1"/>
    <col min="13570" max="13570" width="24.85546875" style="195" bestFit="1" customWidth="1"/>
    <col min="13571" max="13571" width="20.140625" style="195" customWidth="1"/>
    <col min="13572" max="13572" width="16.140625" style="195" customWidth="1"/>
    <col min="13573" max="13573" width="18" style="195" customWidth="1"/>
    <col min="13574" max="13574" width="16.5703125" style="195" customWidth="1"/>
    <col min="13575" max="13575" width="14.28515625" style="195" customWidth="1"/>
    <col min="13576" max="13576" width="22.42578125" style="195" customWidth="1"/>
    <col min="13577" max="13577" width="22.5703125" style="195" customWidth="1"/>
    <col min="13578" max="13580" width="9.28515625" style="195" bestFit="1" customWidth="1"/>
    <col min="13581" max="13581" width="10.7109375" style="195" bestFit="1" customWidth="1"/>
    <col min="13582" max="13823" width="9.140625" style="195"/>
    <col min="13824" max="13824" width="52.5703125" style="195" customWidth="1"/>
    <col min="13825" max="13825" width="60" style="195" bestFit="1" customWidth="1"/>
    <col min="13826" max="13826" width="24.85546875" style="195" bestFit="1" customWidth="1"/>
    <col min="13827" max="13827" width="20.140625" style="195" customWidth="1"/>
    <col min="13828" max="13828" width="16.140625" style="195" customWidth="1"/>
    <col min="13829" max="13829" width="18" style="195" customWidth="1"/>
    <col min="13830" max="13830" width="16.5703125" style="195" customWidth="1"/>
    <col min="13831" max="13831" width="14.28515625" style="195" customWidth="1"/>
    <col min="13832" max="13832" width="22.42578125" style="195" customWidth="1"/>
    <col min="13833" max="13833" width="22.5703125" style="195" customWidth="1"/>
    <col min="13834" max="13836" width="9.28515625" style="195" bestFit="1" customWidth="1"/>
    <col min="13837" max="13837" width="10.7109375" style="195" bestFit="1" customWidth="1"/>
    <col min="13838" max="14079" width="9.140625" style="195"/>
    <col min="14080" max="14080" width="52.5703125" style="195" customWidth="1"/>
    <col min="14081" max="14081" width="60" style="195" bestFit="1" customWidth="1"/>
    <col min="14082" max="14082" width="24.85546875" style="195" bestFit="1" customWidth="1"/>
    <col min="14083" max="14083" width="20.140625" style="195" customWidth="1"/>
    <col min="14084" max="14084" width="16.140625" style="195" customWidth="1"/>
    <col min="14085" max="14085" width="18" style="195" customWidth="1"/>
    <col min="14086" max="14086" width="16.5703125" style="195" customWidth="1"/>
    <col min="14087" max="14087" width="14.28515625" style="195" customWidth="1"/>
    <col min="14088" max="14088" width="22.42578125" style="195" customWidth="1"/>
    <col min="14089" max="14089" width="22.5703125" style="195" customWidth="1"/>
    <col min="14090" max="14092" width="9.28515625" style="195" bestFit="1" customWidth="1"/>
    <col min="14093" max="14093" width="10.7109375" style="195" bestFit="1" customWidth="1"/>
    <col min="14094" max="14335" width="9.140625" style="195"/>
    <col min="14336" max="14336" width="52.5703125" style="195" customWidth="1"/>
    <col min="14337" max="14337" width="60" style="195" bestFit="1" customWidth="1"/>
    <col min="14338" max="14338" width="24.85546875" style="195" bestFit="1" customWidth="1"/>
    <col min="14339" max="14339" width="20.140625" style="195" customWidth="1"/>
    <col min="14340" max="14340" width="16.140625" style="195" customWidth="1"/>
    <col min="14341" max="14341" width="18" style="195" customWidth="1"/>
    <col min="14342" max="14342" width="16.5703125" style="195" customWidth="1"/>
    <col min="14343" max="14343" width="14.28515625" style="195" customWidth="1"/>
    <col min="14344" max="14344" width="22.42578125" style="195" customWidth="1"/>
    <col min="14345" max="14345" width="22.5703125" style="195" customWidth="1"/>
    <col min="14346" max="14348" width="9.28515625" style="195" bestFit="1" customWidth="1"/>
    <col min="14349" max="14349" width="10.7109375" style="195" bestFit="1" customWidth="1"/>
    <col min="14350" max="14591" width="9.140625" style="195"/>
    <col min="14592" max="14592" width="52.5703125" style="195" customWidth="1"/>
    <col min="14593" max="14593" width="60" style="195" bestFit="1" customWidth="1"/>
    <col min="14594" max="14594" width="24.85546875" style="195" bestFit="1" customWidth="1"/>
    <col min="14595" max="14595" width="20.140625" style="195" customWidth="1"/>
    <col min="14596" max="14596" width="16.140625" style="195" customWidth="1"/>
    <col min="14597" max="14597" width="18" style="195" customWidth="1"/>
    <col min="14598" max="14598" width="16.5703125" style="195" customWidth="1"/>
    <col min="14599" max="14599" width="14.28515625" style="195" customWidth="1"/>
    <col min="14600" max="14600" width="22.42578125" style="195" customWidth="1"/>
    <col min="14601" max="14601" width="22.5703125" style="195" customWidth="1"/>
    <col min="14602" max="14604" width="9.28515625" style="195" bestFit="1" customWidth="1"/>
    <col min="14605" max="14605" width="10.7109375" style="195" bestFit="1" customWidth="1"/>
    <col min="14606" max="14847" width="9.140625" style="195"/>
    <col min="14848" max="14848" width="52.5703125" style="195" customWidth="1"/>
    <col min="14849" max="14849" width="60" style="195" bestFit="1" customWidth="1"/>
    <col min="14850" max="14850" width="24.85546875" style="195" bestFit="1" customWidth="1"/>
    <col min="14851" max="14851" width="20.140625" style="195" customWidth="1"/>
    <col min="14852" max="14852" width="16.140625" style="195" customWidth="1"/>
    <col min="14853" max="14853" width="18" style="195" customWidth="1"/>
    <col min="14854" max="14854" width="16.5703125" style="195" customWidth="1"/>
    <col min="14855" max="14855" width="14.28515625" style="195" customWidth="1"/>
    <col min="14856" max="14856" width="22.42578125" style="195" customWidth="1"/>
    <col min="14857" max="14857" width="22.5703125" style="195" customWidth="1"/>
    <col min="14858" max="14860" width="9.28515625" style="195" bestFit="1" customWidth="1"/>
    <col min="14861" max="14861" width="10.7109375" style="195" bestFit="1" customWidth="1"/>
    <col min="14862" max="15103" width="9.140625" style="195"/>
    <col min="15104" max="15104" width="52.5703125" style="195" customWidth="1"/>
    <col min="15105" max="15105" width="60" style="195" bestFit="1" customWidth="1"/>
    <col min="15106" max="15106" width="24.85546875" style="195" bestFit="1" customWidth="1"/>
    <col min="15107" max="15107" width="20.140625" style="195" customWidth="1"/>
    <col min="15108" max="15108" width="16.140625" style="195" customWidth="1"/>
    <col min="15109" max="15109" width="18" style="195" customWidth="1"/>
    <col min="15110" max="15110" width="16.5703125" style="195" customWidth="1"/>
    <col min="15111" max="15111" width="14.28515625" style="195" customWidth="1"/>
    <col min="15112" max="15112" width="22.42578125" style="195" customWidth="1"/>
    <col min="15113" max="15113" width="22.5703125" style="195" customWidth="1"/>
    <col min="15114" max="15116" width="9.28515625" style="195" bestFit="1" customWidth="1"/>
    <col min="15117" max="15117" width="10.7109375" style="195" bestFit="1" customWidth="1"/>
    <col min="15118" max="15359" width="9.140625" style="195"/>
    <col min="15360" max="15360" width="52.5703125" style="195" customWidth="1"/>
    <col min="15361" max="15361" width="60" style="195" bestFit="1" customWidth="1"/>
    <col min="15362" max="15362" width="24.85546875" style="195" bestFit="1" customWidth="1"/>
    <col min="15363" max="15363" width="20.140625" style="195" customWidth="1"/>
    <col min="15364" max="15364" width="16.140625" style="195" customWidth="1"/>
    <col min="15365" max="15365" width="18" style="195" customWidth="1"/>
    <col min="15366" max="15366" width="16.5703125" style="195" customWidth="1"/>
    <col min="15367" max="15367" width="14.28515625" style="195" customWidth="1"/>
    <col min="15368" max="15368" width="22.42578125" style="195" customWidth="1"/>
    <col min="15369" max="15369" width="22.5703125" style="195" customWidth="1"/>
    <col min="15370" max="15372" width="9.28515625" style="195" bestFit="1" customWidth="1"/>
    <col min="15373" max="15373" width="10.7109375" style="195" bestFit="1" customWidth="1"/>
    <col min="15374" max="15615" width="9.140625" style="195"/>
    <col min="15616" max="15616" width="52.5703125" style="195" customWidth="1"/>
    <col min="15617" max="15617" width="60" style="195" bestFit="1" customWidth="1"/>
    <col min="15618" max="15618" width="24.85546875" style="195" bestFit="1" customWidth="1"/>
    <col min="15619" max="15619" width="20.140625" style="195" customWidth="1"/>
    <col min="15620" max="15620" width="16.140625" style="195" customWidth="1"/>
    <col min="15621" max="15621" width="18" style="195" customWidth="1"/>
    <col min="15622" max="15622" width="16.5703125" style="195" customWidth="1"/>
    <col min="15623" max="15623" width="14.28515625" style="195" customWidth="1"/>
    <col min="15624" max="15624" width="22.42578125" style="195" customWidth="1"/>
    <col min="15625" max="15625" width="22.5703125" style="195" customWidth="1"/>
    <col min="15626" max="15628" width="9.28515625" style="195" bestFit="1" customWidth="1"/>
    <col min="15629" max="15629" width="10.7109375" style="195" bestFit="1" customWidth="1"/>
    <col min="15630" max="15871" width="9.140625" style="195"/>
    <col min="15872" max="15872" width="52.5703125" style="195" customWidth="1"/>
    <col min="15873" max="15873" width="60" style="195" bestFit="1" customWidth="1"/>
    <col min="15874" max="15874" width="24.85546875" style="195" bestFit="1" customWidth="1"/>
    <col min="15875" max="15875" width="20.140625" style="195" customWidth="1"/>
    <col min="15876" max="15876" width="16.140625" style="195" customWidth="1"/>
    <col min="15877" max="15877" width="18" style="195" customWidth="1"/>
    <col min="15878" max="15878" width="16.5703125" style="195" customWidth="1"/>
    <col min="15879" max="15879" width="14.28515625" style="195" customWidth="1"/>
    <col min="15880" max="15880" width="22.42578125" style="195" customWidth="1"/>
    <col min="15881" max="15881" width="22.5703125" style="195" customWidth="1"/>
    <col min="15882" max="15884" width="9.28515625" style="195" bestFit="1" customWidth="1"/>
    <col min="15885" max="15885" width="10.7109375" style="195" bestFit="1" customWidth="1"/>
    <col min="15886" max="16127" width="9.140625" style="195"/>
    <col min="16128" max="16128" width="52.5703125" style="195" customWidth="1"/>
    <col min="16129" max="16129" width="60" style="195" bestFit="1" customWidth="1"/>
    <col min="16130" max="16130" width="24.85546875" style="195" bestFit="1" customWidth="1"/>
    <col min="16131" max="16131" width="20.140625" style="195" customWidth="1"/>
    <col min="16132" max="16132" width="16.140625" style="195" customWidth="1"/>
    <col min="16133" max="16133" width="18" style="195" customWidth="1"/>
    <col min="16134" max="16134" width="16.5703125" style="195" customWidth="1"/>
    <col min="16135" max="16135" width="14.28515625" style="195" customWidth="1"/>
    <col min="16136" max="16136" width="22.42578125" style="195" customWidth="1"/>
    <col min="16137" max="16137" width="22.5703125" style="195" customWidth="1"/>
    <col min="16138" max="16140" width="9.28515625" style="195" bestFit="1" customWidth="1"/>
    <col min="16141" max="16141" width="10.7109375" style="195" bestFit="1" customWidth="1"/>
    <col min="16142" max="16384" width="9.140625" style="195"/>
  </cols>
  <sheetData>
    <row r="1" spans="1:14" x14ac:dyDescent="0.2">
      <c r="A1" s="600" t="s">
        <v>1014</v>
      </c>
      <c r="B1" s="600"/>
      <c r="C1" s="600"/>
      <c r="D1" s="600"/>
      <c r="E1" s="600"/>
    </row>
    <row r="2" spans="1:14" x14ac:dyDescent="0.2">
      <c r="A2" s="325"/>
      <c r="B2" s="326"/>
      <c r="C2" s="327"/>
      <c r="D2" s="328"/>
      <c r="E2" s="328"/>
    </row>
    <row r="3" spans="1:14" x14ac:dyDescent="0.2">
      <c r="A3" s="602" t="s">
        <v>870</v>
      </c>
      <c r="B3" s="602"/>
      <c r="C3" s="602"/>
      <c r="D3" s="602"/>
      <c r="E3" s="602"/>
    </row>
    <row r="4" spans="1:14" x14ac:dyDescent="0.2">
      <c r="A4" s="325"/>
      <c r="B4" s="326"/>
      <c r="C4" s="327"/>
      <c r="D4" s="328"/>
      <c r="E4" s="328"/>
    </row>
    <row r="5" spans="1:14" s="127" customFormat="1" x14ac:dyDescent="0.2">
      <c r="A5" s="325"/>
      <c r="B5" s="326"/>
      <c r="C5" s="327"/>
      <c r="D5" s="328"/>
      <c r="E5" s="328" t="s">
        <v>543</v>
      </c>
    </row>
    <row r="6" spans="1:14" s="127" customFormat="1" ht="13.5" thickBot="1" x14ac:dyDescent="0.25">
      <c r="A6" s="326"/>
      <c r="B6" s="329"/>
      <c r="C6" s="330"/>
      <c r="D6" s="331"/>
      <c r="E6" s="332">
        <v>1</v>
      </c>
    </row>
    <row r="7" spans="1:14" s="127" customFormat="1" ht="12.75" customHeight="1" x14ac:dyDescent="0.2">
      <c r="A7" s="618" t="s">
        <v>544</v>
      </c>
      <c r="B7" s="620" t="s">
        <v>545</v>
      </c>
      <c r="C7" s="603" t="s">
        <v>546</v>
      </c>
      <c r="D7" s="622" t="s">
        <v>547</v>
      </c>
      <c r="E7" s="624" t="s">
        <v>684</v>
      </c>
    </row>
    <row r="8" spans="1:14" s="127" customFormat="1" ht="13.5" thickBot="1" x14ac:dyDescent="0.25">
      <c r="A8" s="619"/>
      <c r="B8" s="621"/>
      <c r="C8" s="604"/>
      <c r="D8" s="623"/>
      <c r="E8" s="625"/>
    </row>
    <row r="9" spans="1:14" s="127" customFormat="1" x14ac:dyDescent="0.2">
      <c r="A9" s="370" t="s">
        <v>685</v>
      </c>
      <c r="B9" s="371" t="s">
        <v>686</v>
      </c>
      <c r="C9" s="372"/>
      <c r="D9" s="373">
        <v>58420</v>
      </c>
      <c r="E9" s="374">
        <v>2346960</v>
      </c>
      <c r="F9" s="375"/>
      <c r="G9" s="375"/>
      <c r="H9" s="375"/>
      <c r="I9" s="375"/>
      <c r="J9" s="375"/>
      <c r="K9" s="375"/>
      <c r="L9" s="375"/>
      <c r="M9" s="375"/>
      <c r="N9" s="375"/>
    </row>
    <row r="10" spans="1:14" s="127" customFormat="1" x14ac:dyDescent="0.2">
      <c r="A10" s="376" t="s">
        <v>685</v>
      </c>
      <c r="B10" s="377" t="s">
        <v>687</v>
      </c>
      <c r="C10" s="378"/>
      <c r="D10" s="379">
        <v>2114551</v>
      </c>
      <c r="E10" s="380">
        <v>0</v>
      </c>
      <c r="F10" s="375"/>
      <c r="G10" s="375"/>
      <c r="H10" s="375"/>
      <c r="I10" s="375"/>
      <c r="J10" s="375"/>
      <c r="K10" s="375"/>
      <c r="L10" s="375"/>
      <c r="M10" s="375"/>
      <c r="N10" s="375"/>
    </row>
    <row r="11" spans="1:14" s="127" customFormat="1" x14ac:dyDescent="0.2">
      <c r="A11" s="381" t="s">
        <v>688</v>
      </c>
      <c r="B11" s="382" t="s">
        <v>689</v>
      </c>
      <c r="C11" s="383" t="s">
        <v>551</v>
      </c>
      <c r="D11" s="384">
        <f>580755*4</f>
        <v>2323020</v>
      </c>
      <c r="E11" s="385">
        <v>2290491</v>
      </c>
      <c r="F11" s="375"/>
      <c r="G11" s="375"/>
      <c r="H11" s="375"/>
      <c r="I11" s="375"/>
      <c r="J11" s="375"/>
      <c r="K11" s="375"/>
      <c r="L11" s="375"/>
      <c r="M11" s="375"/>
      <c r="N11" s="375"/>
    </row>
    <row r="12" spans="1:14" s="127" customFormat="1" x14ac:dyDescent="0.2">
      <c r="A12" s="386" t="s">
        <v>552</v>
      </c>
      <c r="B12" s="339" t="s">
        <v>690</v>
      </c>
      <c r="C12" s="340">
        <v>43739</v>
      </c>
      <c r="D12" s="336">
        <f>280045*4</f>
        <v>1120180</v>
      </c>
      <c r="E12" s="343">
        <v>1095709</v>
      </c>
      <c r="F12" s="375"/>
      <c r="G12" s="375"/>
      <c r="H12" s="375"/>
      <c r="I12" s="375"/>
      <c r="J12" s="375"/>
      <c r="K12" s="375"/>
      <c r="L12" s="375"/>
      <c r="M12" s="375"/>
      <c r="N12" s="375"/>
    </row>
    <row r="13" spans="1:14" s="127" customFormat="1" x14ac:dyDescent="0.2">
      <c r="A13" s="386" t="s">
        <v>691</v>
      </c>
      <c r="B13" s="339" t="s">
        <v>692</v>
      </c>
      <c r="C13" s="340">
        <v>42916</v>
      </c>
      <c r="D13" s="336">
        <v>0</v>
      </c>
      <c r="E13" s="343">
        <v>3810000</v>
      </c>
      <c r="F13" s="375"/>
      <c r="G13" s="375"/>
      <c r="H13" s="375"/>
      <c r="I13" s="375"/>
      <c r="J13" s="375"/>
      <c r="K13" s="375"/>
      <c r="L13" s="375"/>
      <c r="M13" s="375"/>
      <c r="N13" s="375"/>
    </row>
    <row r="14" spans="1:14" s="127" customFormat="1" x14ac:dyDescent="0.2">
      <c r="A14" s="386" t="s">
        <v>693</v>
      </c>
      <c r="B14" s="339" t="s">
        <v>694</v>
      </c>
      <c r="C14" s="340">
        <v>44196</v>
      </c>
      <c r="D14" s="336">
        <v>635000</v>
      </c>
      <c r="E14" s="343">
        <v>0</v>
      </c>
      <c r="F14" s="375"/>
      <c r="G14" s="375"/>
      <c r="H14" s="375"/>
      <c r="I14" s="375"/>
      <c r="J14" s="375"/>
      <c r="K14" s="375"/>
      <c r="L14" s="375"/>
      <c r="M14" s="375"/>
      <c r="N14" s="375"/>
    </row>
    <row r="15" spans="1:14" s="127" customFormat="1" x14ac:dyDescent="0.2">
      <c r="A15" s="387" t="s">
        <v>695</v>
      </c>
      <c r="B15" s="388" t="s">
        <v>696</v>
      </c>
      <c r="C15" s="340" t="s">
        <v>551</v>
      </c>
      <c r="D15" s="389">
        <v>2572241</v>
      </c>
      <c r="E15" s="390">
        <v>2572241</v>
      </c>
      <c r="F15" s="375"/>
      <c r="G15" s="375"/>
      <c r="H15" s="375"/>
      <c r="I15" s="375"/>
      <c r="J15" s="375"/>
      <c r="K15" s="375"/>
      <c r="L15" s="375"/>
      <c r="M15" s="375"/>
      <c r="N15" s="375"/>
    </row>
    <row r="16" spans="1:14" s="127" customFormat="1" x14ac:dyDescent="0.2">
      <c r="A16" s="387" t="s">
        <v>697</v>
      </c>
      <c r="B16" s="388" t="s">
        <v>698</v>
      </c>
      <c r="C16" s="340" t="s">
        <v>699</v>
      </c>
      <c r="D16" s="389">
        <f>12*30000</f>
        <v>360000</v>
      </c>
      <c r="E16" s="390">
        <v>390000</v>
      </c>
      <c r="F16" s="375"/>
      <c r="G16" s="375"/>
      <c r="H16" s="375"/>
      <c r="I16" s="375"/>
      <c r="J16" s="375"/>
      <c r="K16" s="375"/>
      <c r="L16" s="375"/>
      <c r="M16" s="375"/>
      <c r="N16" s="375"/>
    </row>
    <row r="17" spans="1:14" s="127" customFormat="1" x14ac:dyDescent="0.2">
      <c r="A17" s="387" t="s">
        <v>700</v>
      </c>
      <c r="B17" s="388" t="s">
        <v>701</v>
      </c>
      <c r="C17" s="391"/>
      <c r="D17" s="389">
        <v>1714500</v>
      </c>
      <c r="E17" s="390">
        <v>0</v>
      </c>
      <c r="F17" s="375"/>
      <c r="G17" s="375"/>
      <c r="H17" s="375"/>
      <c r="I17" s="375"/>
      <c r="J17" s="375"/>
      <c r="K17" s="375"/>
      <c r="L17" s="375"/>
      <c r="M17" s="375"/>
      <c r="N17" s="375"/>
    </row>
    <row r="18" spans="1:14" s="127" customFormat="1" x14ac:dyDescent="0.2">
      <c r="A18" s="387" t="s">
        <v>702</v>
      </c>
      <c r="B18" s="388" t="s">
        <v>703</v>
      </c>
      <c r="C18" s="340">
        <v>42978</v>
      </c>
      <c r="D18" s="389">
        <v>2500000</v>
      </c>
      <c r="E18" s="390">
        <v>0</v>
      </c>
      <c r="F18" s="375"/>
      <c r="G18" s="375"/>
      <c r="H18" s="375"/>
      <c r="I18" s="375"/>
      <c r="J18" s="375"/>
      <c r="K18" s="375"/>
      <c r="L18" s="375"/>
      <c r="M18" s="375"/>
      <c r="N18" s="375"/>
    </row>
    <row r="19" spans="1:14" s="127" customFormat="1" x14ac:dyDescent="0.2">
      <c r="A19" s="387" t="s">
        <v>704</v>
      </c>
      <c r="B19" s="392" t="s">
        <v>705</v>
      </c>
      <c r="C19" s="347" t="s">
        <v>551</v>
      </c>
      <c r="D19" s="393">
        <f>E19*E6</f>
        <v>117602</v>
      </c>
      <c r="E19" s="390">
        <v>117602</v>
      </c>
      <c r="F19" s="375"/>
      <c r="G19" s="375"/>
      <c r="H19" s="375"/>
      <c r="I19" s="375"/>
      <c r="J19" s="375"/>
      <c r="K19" s="375"/>
      <c r="L19" s="375"/>
      <c r="M19" s="375"/>
      <c r="N19" s="375"/>
    </row>
    <row r="20" spans="1:14" s="127" customFormat="1" x14ac:dyDescent="0.2">
      <c r="A20" s="387" t="s">
        <v>706</v>
      </c>
      <c r="B20" s="392" t="s">
        <v>707</v>
      </c>
      <c r="C20" s="347" t="s">
        <v>551</v>
      </c>
      <c r="D20" s="393">
        <v>6280</v>
      </c>
      <c r="E20" s="390">
        <v>6280</v>
      </c>
      <c r="F20" s="375"/>
      <c r="G20" s="375"/>
      <c r="H20" s="375"/>
      <c r="I20" s="375"/>
      <c r="J20" s="375"/>
      <c r="K20" s="375"/>
      <c r="L20" s="375"/>
      <c r="M20" s="375"/>
      <c r="N20" s="375"/>
    </row>
    <row r="21" spans="1:14" s="127" customFormat="1" x14ac:dyDescent="0.2">
      <c r="A21" s="394" t="s">
        <v>708</v>
      </c>
      <c r="B21" s="348" t="s">
        <v>709</v>
      </c>
      <c r="C21" s="347" t="s">
        <v>551</v>
      </c>
      <c r="D21" s="389">
        <f>E21*E6</f>
        <v>40575</v>
      </c>
      <c r="E21" s="390">
        <v>40575</v>
      </c>
      <c r="F21" s="375"/>
      <c r="G21" s="375"/>
      <c r="H21" s="375"/>
      <c r="I21" s="375"/>
      <c r="J21" s="375"/>
      <c r="K21" s="375"/>
      <c r="L21" s="375"/>
      <c r="M21" s="375"/>
      <c r="N21" s="375"/>
    </row>
    <row r="22" spans="1:14" s="127" customFormat="1" x14ac:dyDescent="0.2">
      <c r="A22" s="394" t="s">
        <v>708</v>
      </c>
      <c r="B22" s="395" t="s">
        <v>710</v>
      </c>
      <c r="C22" s="396" t="s">
        <v>551</v>
      </c>
      <c r="D22" s="397">
        <v>48380</v>
      </c>
      <c r="E22" s="398">
        <v>48380</v>
      </c>
      <c r="F22" s="375"/>
      <c r="G22" s="375"/>
      <c r="H22" s="375"/>
      <c r="I22" s="375"/>
      <c r="J22" s="375"/>
      <c r="K22" s="375"/>
      <c r="L22" s="375"/>
      <c r="M22" s="375"/>
      <c r="N22" s="375"/>
    </row>
    <row r="23" spans="1:14" s="127" customFormat="1" ht="38.25" x14ac:dyDescent="0.2">
      <c r="A23" s="399" t="s">
        <v>711</v>
      </c>
      <c r="B23" s="395" t="s">
        <v>712</v>
      </c>
      <c r="C23" s="400" t="s">
        <v>713</v>
      </c>
      <c r="D23" s="397">
        <v>121920</v>
      </c>
      <c r="E23" s="398">
        <v>121920</v>
      </c>
      <c r="F23" s="375"/>
      <c r="G23" s="375"/>
      <c r="H23" s="375"/>
      <c r="I23" s="375"/>
      <c r="J23" s="375"/>
      <c r="K23" s="375"/>
      <c r="L23" s="375"/>
      <c r="M23" s="375"/>
      <c r="N23" s="375"/>
    </row>
    <row r="24" spans="1:14" s="127" customFormat="1" x14ac:dyDescent="0.2">
      <c r="A24" s="399" t="s">
        <v>711</v>
      </c>
      <c r="B24" s="395" t="s">
        <v>714</v>
      </c>
      <c r="C24" s="400">
        <v>42735</v>
      </c>
      <c r="D24" s="397">
        <v>355600</v>
      </c>
      <c r="E24" s="398">
        <v>0</v>
      </c>
      <c r="F24" s="375"/>
      <c r="G24" s="375"/>
      <c r="H24" s="375"/>
      <c r="I24" s="375"/>
      <c r="J24" s="375"/>
      <c r="K24" s="375"/>
      <c r="L24" s="375"/>
      <c r="M24" s="375"/>
      <c r="N24" s="375"/>
    </row>
    <row r="25" spans="1:14" s="127" customFormat="1" x14ac:dyDescent="0.2">
      <c r="A25" s="399" t="s">
        <v>715</v>
      </c>
      <c r="B25" s="395" t="s">
        <v>716</v>
      </c>
      <c r="C25" s="401"/>
      <c r="D25" s="397">
        <v>1750000</v>
      </c>
      <c r="E25" s="398">
        <v>0</v>
      </c>
      <c r="F25" s="375"/>
      <c r="G25" s="375"/>
      <c r="H25" s="375"/>
      <c r="I25" s="375"/>
      <c r="J25" s="375"/>
      <c r="K25" s="375"/>
      <c r="L25" s="375"/>
      <c r="M25" s="375"/>
      <c r="N25" s="375"/>
    </row>
    <row r="26" spans="1:14" s="127" customFormat="1" x14ac:dyDescent="0.2">
      <c r="A26" s="399" t="s">
        <v>715</v>
      </c>
      <c r="B26" s="395" t="s">
        <v>717</v>
      </c>
      <c r="C26" s="400">
        <v>43889</v>
      </c>
      <c r="D26" s="397">
        <v>2083338</v>
      </c>
      <c r="E26" s="398">
        <v>1388895</v>
      </c>
      <c r="F26" s="375"/>
      <c r="G26" s="375"/>
      <c r="H26" s="375"/>
      <c r="I26" s="375"/>
      <c r="J26" s="375"/>
      <c r="K26" s="375"/>
      <c r="L26" s="375"/>
      <c r="M26" s="375"/>
      <c r="N26" s="375"/>
    </row>
    <row r="27" spans="1:14" s="127" customFormat="1" x14ac:dyDescent="0.2">
      <c r="A27" s="399" t="s">
        <v>718</v>
      </c>
      <c r="B27" s="395" t="s">
        <v>719</v>
      </c>
      <c r="C27" s="402">
        <v>43830</v>
      </c>
      <c r="D27" s="397">
        <f>2500000*12</f>
        <v>30000000</v>
      </c>
      <c r="E27" s="398">
        <v>28500000</v>
      </c>
      <c r="F27" s="375"/>
      <c r="G27" s="375"/>
      <c r="H27" s="375"/>
      <c r="I27" s="375"/>
      <c r="J27" s="375"/>
      <c r="K27" s="375"/>
      <c r="L27" s="375"/>
      <c r="M27" s="375"/>
      <c r="N27" s="375"/>
    </row>
    <row r="28" spans="1:14" s="127" customFormat="1" x14ac:dyDescent="0.2">
      <c r="A28" s="394" t="s">
        <v>720</v>
      </c>
      <c r="B28" s="348" t="s">
        <v>721</v>
      </c>
      <c r="C28" s="340">
        <v>43159</v>
      </c>
      <c r="D28" s="403">
        <v>635000</v>
      </c>
      <c r="E28" s="404">
        <v>1270000</v>
      </c>
      <c r="F28" s="375"/>
      <c r="G28" s="375"/>
      <c r="H28" s="375"/>
      <c r="I28" s="375"/>
      <c r="J28" s="375"/>
      <c r="K28" s="375"/>
      <c r="L28" s="375"/>
      <c r="M28" s="375"/>
      <c r="N28" s="375"/>
    </row>
    <row r="29" spans="1:14" s="127" customFormat="1" x14ac:dyDescent="0.2">
      <c r="A29" s="394" t="s">
        <v>722</v>
      </c>
      <c r="B29" s="348" t="s">
        <v>723</v>
      </c>
      <c r="C29" s="340"/>
      <c r="D29" s="403">
        <v>472782</v>
      </c>
      <c r="E29" s="404">
        <v>0</v>
      </c>
      <c r="F29" s="375"/>
      <c r="G29" s="375"/>
      <c r="H29" s="375"/>
      <c r="I29" s="375"/>
      <c r="J29" s="375"/>
      <c r="K29" s="375"/>
      <c r="L29" s="375"/>
      <c r="M29" s="375"/>
      <c r="N29" s="375"/>
    </row>
    <row r="30" spans="1:14" s="127" customFormat="1" x14ac:dyDescent="0.2">
      <c r="A30" s="394" t="s">
        <v>724</v>
      </c>
      <c r="B30" s="348" t="s">
        <v>725</v>
      </c>
      <c r="C30" s="340" t="s">
        <v>551</v>
      </c>
      <c r="D30" s="403">
        <f>75000*3</f>
        <v>225000</v>
      </c>
      <c r="E30" s="404">
        <v>75000</v>
      </c>
      <c r="F30" s="375"/>
      <c r="G30" s="375"/>
      <c r="H30" s="375"/>
      <c r="I30" s="375"/>
      <c r="J30" s="375"/>
      <c r="K30" s="375"/>
      <c r="L30" s="375"/>
      <c r="M30" s="375"/>
      <c r="N30" s="375"/>
    </row>
    <row r="31" spans="1:14" s="127" customFormat="1" x14ac:dyDescent="0.2">
      <c r="A31" s="394" t="s">
        <v>726</v>
      </c>
      <c r="B31" s="348" t="s">
        <v>727</v>
      </c>
      <c r="C31" s="340" t="s">
        <v>551</v>
      </c>
      <c r="D31" s="403">
        <f>200000*2</f>
        <v>400000</v>
      </c>
      <c r="E31" s="404">
        <v>190000</v>
      </c>
      <c r="F31" s="375"/>
      <c r="G31" s="375"/>
      <c r="H31" s="375"/>
      <c r="I31" s="375"/>
      <c r="J31" s="375"/>
      <c r="K31" s="375"/>
      <c r="L31" s="375"/>
      <c r="M31" s="375"/>
      <c r="N31" s="375"/>
    </row>
    <row r="32" spans="1:14" s="127" customFormat="1" x14ac:dyDescent="0.2">
      <c r="A32" s="394" t="s">
        <v>728</v>
      </c>
      <c r="B32" s="348" t="s">
        <v>729</v>
      </c>
      <c r="C32" s="340">
        <v>43100</v>
      </c>
      <c r="D32" s="403">
        <f>E32</f>
        <v>2180894</v>
      </c>
      <c r="E32" s="404">
        <v>2180894</v>
      </c>
      <c r="F32" s="375"/>
      <c r="G32" s="375"/>
      <c r="H32" s="405"/>
      <c r="I32" s="375"/>
      <c r="J32" s="375"/>
      <c r="K32" s="375"/>
      <c r="L32" s="375"/>
      <c r="M32" s="375"/>
      <c r="N32" s="375"/>
    </row>
    <row r="33" spans="1:14" s="127" customFormat="1" x14ac:dyDescent="0.2">
      <c r="A33" s="394" t="s">
        <v>730</v>
      </c>
      <c r="B33" s="348" t="s">
        <v>731</v>
      </c>
      <c r="C33" s="340" t="s">
        <v>551</v>
      </c>
      <c r="D33" s="403"/>
      <c r="E33" s="404">
        <v>0</v>
      </c>
      <c r="F33" s="375"/>
      <c r="G33" s="375"/>
      <c r="H33" s="405"/>
      <c r="I33" s="375"/>
      <c r="J33" s="375"/>
      <c r="K33" s="375"/>
      <c r="L33" s="375"/>
      <c r="M33" s="375"/>
      <c r="N33" s="375"/>
    </row>
    <row r="34" spans="1:14" s="127" customFormat="1" x14ac:dyDescent="0.2">
      <c r="A34" s="394" t="s">
        <v>732</v>
      </c>
      <c r="B34" s="348" t="s">
        <v>707</v>
      </c>
      <c r="C34" s="340" t="s">
        <v>551</v>
      </c>
      <c r="D34" s="403">
        <f>2577*3</f>
        <v>7731</v>
      </c>
      <c r="E34" s="404">
        <v>5154</v>
      </c>
      <c r="F34" s="406"/>
      <c r="G34" s="375"/>
      <c r="H34" s="405"/>
      <c r="I34" s="375"/>
      <c r="J34" s="375"/>
      <c r="K34" s="375"/>
      <c r="L34" s="375"/>
      <c r="M34" s="375"/>
      <c r="N34" s="375"/>
    </row>
    <row r="35" spans="1:14" s="127" customFormat="1" x14ac:dyDescent="0.2">
      <c r="A35" s="394" t="s">
        <v>733</v>
      </c>
      <c r="B35" s="388" t="s">
        <v>734</v>
      </c>
      <c r="C35" s="340" t="s">
        <v>551</v>
      </c>
      <c r="D35" s="389">
        <v>1407102</v>
      </c>
      <c r="E35" s="390">
        <v>1407102</v>
      </c>
      <c r="F35" s="375"/>
      <c r="G35" s="375"/>
      <c r="H35" s="375"/>
      <c r="I35" s="405"/>
      <c r="J35" s="375"/>
      <c r="K35" s="375"/>
      <c r="L35" s="375"/>
      <c r="M35" s="375"/>
      <c r="N35" s="375"/>
    </row>
    <row r="36" spans="1:14" s="127" customFormat="1" x14ac:dyDescent="0.2">
      <c r="A36" s="394" t="s">
        <v>733</v>
      </c>
      <c r="B36" s="388" t="s">
        <v>735</v>
      </c>
      <c r="C36" s="340" t="s">
        <v>551</v>
      </c>
      <c r="D36" s="389">
        <f>(322000*12)+(2400000*12)</f>
        <v>32664000</v>
      </c>
      <c r="E36" s="390">
        <v>59713127</v>
      </c>
      <c r="F36" s="375"/>
      <c r="G36" s="375"/>
      <c r="H36" s="375"/>
      <c r="I36" s="405"/>
      <c r="J36" s="375"/>
      <c r="K36" s="375"/>
      <c r="L36" s="375"/>
      <c r="M36" s="375"/>
      <c r="N36" s="375"/>
    </row>
    <row r="37" spans="1:14" s="127" customFormat="1" x14ac:dyDescent="0.2">
      <c r="A37" s="394" t="s">
        <v>733</v>
      </c>
      <c r="B37" s="388" t="s">
        <v>736</v>
      </c>
      <c r="C37" s="340" t="s">
        <v>551</v>
      </c>
      <c r="D37" s="389">
        <f>E37</f>
        <v>2362000</v>
      </c>
      <c r="E37" s="390">
        <v>2362000</v>
      </c>
      <c r="F37" s="375"/>
      <c r="G37" s="375"/>
      <c r="H37" s="375"/>
      <c r="I37" s="405"/>
      <c r="J37" s="375"/>
      <c r="K37" s="375"/>
      <c r="L37" s="375"/>
      <c r="M37" s="375"/>
      <c r="N37" s="375"/>
    </row>
    <row r="38" spans="1:14" s="127" customFormat="1" x14ac:dyDescent="0.2">
      <c r="A38" s="394" t="s">
        <v>737</v>
      </c>
      <c r="B38" s="348" t="s">
        <v>738</v>
      </c>
      <c r="C38" s="340">
        <v>43465</v>
      </c>
      <c r="D38" s="403">
        <f>(400000*1.27)*12</f>
        <v>6096000</v>
      </c>
      <c r="E38" s="404">
        <v>11684000</v>
      </c>
      <c r="F38" s="375"/>
      <c r="G38" s="406"/>
      <c r="H38" s="406"/>
      <c r="I38" s="375"/>
      <c r="J38" s="375"/>
      <c r="K38" s="375"/>
      <c r="L38" s="375"/>
      <c r="M38" s="375"/>
      <c r="N38" s="375"/>
    </row>
    <row r="39" spans="1:14" s="127" customFormat="1" x14ac:dyDescent="0.2">
      <c r="A39" s="394" t="s">
        <v>737</v>
      </c>
      <c r="B39" s="348" t="s">
        <v>739</v>
      </c>
      <c r="C39" s="391"/>
      <c r="D39" s="403">
        <v>12850473</v>
      </c>
      <c r="E39" s="404">
        <v>15534629</v>
      </c>
      <c r="F39" s="375"/>
      <c r="G39" s="406"/>
      <c r="H39" s="406"/>
      <c r="I39" s="375"/>
      <c r="J39" s="375"/>
      <c r="K39" s="375"/>
      <c r="L39" s="375"/>
      <c r="M39" s="375"/>
      <c r="N39" s="375"/>
    </row>
    <row r="40" spans="1:14" s="127" customFormat="1" x14ac:dyDescent="0.2">
      <c r="A40" s="394" t="s">
        <v>737</v>
      </c>
      <c r="B40" s="348" t="s">
        <v>740</v>
      </c>
      <c r="C40" s="340">
        <v>44196</v>
      </c>
      <c r="D40" s="403">
        <f>10490000</f>
        <v>10490000</v>
      </c>
      <c r="E40" s="404">
        <v>0</v>
      </c>
      <c r="F40" s="375"/>
      <c r="G40" s="406"/>
      <c r="H40" s="406"/>
      <c r="I40" s="375"/>
      <c r="J40" s="375"/>
      <c r="K40" s="375"/>
      <c r="L40" s="375"/>
      <c r="M40" s="375"/>
      <c r="N40" s="375"/>
    </row>
    <row r="41" spans="1:14" s="127" customFormat="1" x14ac:dyDescent="0.2">
      <c r="A41" s="387" t="s">
        <v>741</v>
      </c>
      <c r="B41" s="388" t="s">
        <v>742</v>
      </c>
      <c r="C41" s="340" t="s">
        <v>551</v>
      </c>
      <c r="D41" s="389">
        <f>103230*12</f>
        <v>1238760</v>
      </c>
      <c r="E41" s="390">
        <v>1344130</v>
      </c>
      <c r="F41" s="375"/>
      <c r="G41" s="375"/>
      <c r="H41" s="375"/>
      <c r="I41" s="375"/>
      <c r="J41" s="375"/>
      <c r="K41" s="375"/>
      <c r="L41" s="375"/>
      <c r="M41" s="375"/>
      <c r="N41" s="375"/>
    </row>
    <row r="42" spans="1:14" s="127" customFormat="1" x14ac:dyDescent="0.2">
      <c r="A42" s="387" t="s">
        <v>741</v>
      </c>
      <c r="B42" s="388" t="s">
        <v>743</v>
      </c>
      <c r="C42" s="340" t="s">
        <v>551</v>
      </c>
      <c r="D42" s="389">
        <f>23100*12</f>
        <v>277200</v>
      </c>
      <c r="E42" s="390">
        <v>325166</v>
      </c>
      <c r="F42" s="375"/>
      <c r="G42" s="375"/>
      <c r="H42" s="375"/>
      <c r="I42" s="375"/>
      <c r="J42" s="375"/>
      <c r="K42" s="375"/>
      <c r="L42" s="375"/>
      <c r="M42" s="375"/>
      <c r="N42" s="375"/>
    </row>
    <row r="43" spans="1:14" s="127" customFormat="1" x14ac:dyDescent="0.2">
      <c r="A43" s="387" t="s">
        <v>744</v>
      </c>
      <c r="B43" s="388" t="s">
        <v>745</v>
      </c>
      <c r="C43" s="340" t="s">
        <v>551</v>
      </c>
      <c r="D43" s="389">
        <f>209550*28</f>
        <v>5867400</v>
      </c>
      <c r="E43" s="390">
        <v>6705600</v>
      </c>
      <c r="F43" s="375"/>
      <c r="G43" s="375"/>
      <c r="H43" s="375"/>
      <c r="I43" s="375"/>
      <c r="J43" s="375"/>
      <c r="K43" s="375"/>
      <c r="L43" s="375"/>
      <c r="M43" s="375"/>
      <c r="N43" s="375"/>
    </row>
    <row r="44" spans="1:14" s="127" customFormat="1" x14ac:dyDescent="0.2">
      <c r="A44" s="394" t="s">
        <v>746</v>
      </c>
      <c r="B44" s="348" t="s">
        <v>747</v>
      </c>
      <c r="C44" s="340" t="s">
        <v>551</v>
      </c>
      <c r="D44" s="389">
        <f>E44*E6</f>
        <v>2961492</v>
      </c>
      <c r="E44" s="407">
        <v>2961492</v>
      </c>
      <c r="F44" s="375"/>
      <c r="G44" s="375"/>
      <c r="H44" s="375"/>
      <c r="I44" s="375"/>
      <c r="J44" s="375"/>
      <c r="K44" s="375"/>
      <c r="L44" s="375"/>
      <c r="M44" s="375"/>
      <c r="N44" s="375"/>
    </row>
    <row r="45" spans="1:14" s="127" customFormat="1" x14ac:dyDescent="0.2">
      <c r="A45" s="408" t="s">
        <v>572</v>
      </c>
      <c r="B45" s="409" t="s">
        <v>748</v>
      </c>
      <c r="C45" s="350" t="s">
        <v>551</v>
      </c>
      <c r="D45" s="389">
        <f>E45</f>
        <v>4964641</v>
      </c>
      <c r="E45" s="407">
        <v>4964641</v>
      </c>
      <c r="F45" s="375"/>
      <c r="G45" s="375"/>
      <c r="H45" s="375"/>
      <c r="I45" s="375"/>
      <c r="J45" s="375"/>
      <c r="K45" s="375"/>
      <c r="L45" s="375"/>
      <c r="M45" s="375"/>
      <c r="N45" s="375"/>
    </row>
    <row r="46" spans="1:14" s="315" customFormat="1" x14ac:dyDescent="0.2">
      <c r="A46" s="408" t="s">
        <v>572</v>
      </c>
      <c r="B46" s="409" t="s">
        <v>749</v>
      </c>
      <c r="C46" s="350" t="s">
        <v>551</v>
      </c>
      <c r="D46" s="389">
        <f>102495+(12*882000)</f>
        <v>10686495</v>
      </c>
      <c r="E46" s="390">
        <v>20767054</v>
      </c>
      <c r="F46" s="406"/>
      <c r="G46" s="406"/>
      <c r="H46" s="406"/>
      <c r="I46" s="406"/>
      <c r="J46" s="406"/>
      <c r="K46" s="406"/>
      <c r="L46" s="406"/>
      <c r="M46" s="406"/>
      <c r="N46" s="406"/>
    </row>
    <row r="47" spans="1:14" s="127" customFormat="1" x14ac:dyDescent="0.2">
      <c r="A47" s="408" t="s">
        <v>572</v>
      </c>
      <c r="B47" s="409" t="s">
        <v>750</v>
      </c>
      <c r="C47" s="350" t="s">
        <v>551</v>
      </c>
      <c r="D47" s="389">
        <f>E47</f>
        <v>15135671</v>
      </c>
      <c r="E47" s="390">
        <v>15135671</v>
      </c>
      <c r="F47" s="375"/>
      <c r="G47" s="375"/>
      <c r="H47" s="375"/>
      <c r="I47" s="375"/>
      <c r="J47" s="375"/>
      <c r="K47" s="375"/>
      <c r="L47" s="375"/>
      <c r="M47" s="375"/>
      <c r="N47" s="375"/>
    </row>
    <row r="48" spans="1:14" s="127" customFormat="1" x14ac:dyDescent="0.2">
      <c r="A48" s="387" t="s">
        <v>572</v>
      </c>
      <c r="B48" s="388" t="s">
        <v>751</v>
      </c>
      <c r="C48" s="340" t="s">
        <v>551</v>
      </c>
      <c r="D48" s="389">
        <f>E48*E6</f>
        <v>8590594</v>
      </c>
      <c r="E48" s="390">
        <v>8590594</v>
      </c>
      <c r="F48" s="375"/>
      <c r="G48" s="375"/>
      <c r="H48" s="375"/>
      <c r="I48" s="375"/>
      <c r="J48" s="375"/>
      <c r="K48" s="375"/>
      <c r="L48" s="375"/>
      <c r="M48" s="375"/>
      <c r="N48" s="375"/>
    </row>
    <row r="49" spans="1:14" s="127" customFormat="1" x14ac:dyDescent="0.2">
      <c r="A49" s="387" t="s">
        <v>752</v>
      </c>
      <c r="B49" s="388" t="s">
        <v>753</v>
      </c>
      <c r="C49" s="340" t="s">
        <v>551</v>
      </c>
      <c r="D49" s="389">
        <v>5980000</v>
      </c>
      <c r="E49" s="390">
        <v>5980000</v>
      </c>
      <c r="F49" s="375"/>
      <c r="G49" s="375"/>
      <c r="H49" s="375"/>
      <c r="I49" s="375"/>
      <c r="J49" s="375"/>
      <c r="K49" s="375"/>
      <c r="L49" s="375"/>
      <c r="M49" s="375"/>
      <c r="N49" s="375"/>
    </row>
    <row r="50" spans="1:14" s="127" customFormat="1" x14ac:dyDescent="0.2">
      <c r="A50" s="387" t="s">
        <v>754</v>
      </c>
      <c r="B50" s="388" t="s">
        <v>755</v>
      </c>
      <c r="C50" s="340">
        <v>43220</v>
      </c>
      <c r="D50" s="389">
        <f>226229*12</f>
        <v>2714748</v>
      </c>
      <c r="E50" s="390">
        <v>2940977</v>
      </c>
      <c r="F50" s="375"/>
      <c r="G50" s="375"/>
      <c r="H50" s="375"/>
      <c r="I50" s="375"/>
      <c r="J50" s="375"/>
      <c r="K50" s="375"/>
      <c r="L50" s="375"/>
      <c r="M50" s="375"/>
      <c r="N50" s="375"/>
    </row>
    <row r="51" spans="1:14" s="127" customFormat="1" x14ac:dyDescent="0.2">
      <c r="A51" s="387" t="s">
        <v>756</v>
      </c>
      <c r="B51" s="388" t="s">
        <v>757</v>
      </c>
      <c r="C51" s="340" t="s">
        <v>551</v>
      </c>
      <c r="D51" s="389">
        <f>E51*E6</f>
        <v>5666926</v>
      </c>
      <c r="E51" s="390">
        <v>5666926</v>
      </c>
      <c r="F51" s="375"/>
      <c r="G51" s="375"/>
      <c r="H51" s="375"/>
      <c r="I51" s="375"/>
      <c r="J51" s="375"/>
      <c r="K51" s="375"/>
      <c r="L51" s="375"/>
      <c r="M51" s="375"/>
      <c r="N51" s="375"/>
    </row>
    <row r="52" spans="1:14" s="415" customFormat="1" x14ac:dyDescent="0.2">
      <c r="A52" s="410" t="s">
        <v>758</v>
      </c>
      <c r="B52" s="411" t="s">
        <v>759</v>
      </c>
      <c r="C52" s="412">
        <v>44196</v>
      </c>
      <c r="D52" s="413">
        <v>500000</v>
      </c>
      <c r="E52" s="414">
        <v>500000</v>
      </c>
      <c r="F52" s="416"/>
      <c r="G52" s="417"/>
      <c r="H52" s="417"/>
      <c r="I52" s="417"/>
      <c r="J52" s="417"/>
      <c r="K52" s="417"/>
      <c r="L52" s="417"/>
      <c r="M52" s="417"/>
      <c r="N52" s="417"/>
    </row>
    <row r="53" spans="1:14" s="127" customFormat="1" x14ac:dyDescent="0.2">
      <c r="A53" s="408" t="s">
        <v>760</v>
      </c>
      <c r="B53" s="345" t="s">
        <v>761</v>
      </c>
      <c r="C53" s="350" t="s">
        <v>551</v>
      </c>
      <c r="D53" s="389">
        <f>E53*E6</f>
        <v>537213</v>
      </c>
      <c r="E53" s="390">
        <f>292147+245066</f>
        <v>537213</v>
      </c>
      <c r="F53" s="375"/>
      <c r="G53" s="375"/>
      <c r="H53" s="375"/>
      <c r="I53" s="375"/>
      <c r="J53" s="375"/>
      <c r="K53" s="375"/>
      <c r="L53" s="375"/>
      <c r="M53" s="375"/>
      <c r="N53" s="375"/>
    </row>
    <row r="54" spans="1:14" s="127" customFormat="1" x14ac:dyDescent="0.2">
      <c r="A54" s="408" t="s">
        <v>760</v>
      </c>
      <c r="B54" s="345" t="s">
        <v>762</v>
      </c>
      <c r="C54" s="350" t="s">
        <v>551</v>
      </c>
      <c r="D54" s="389">
        <v>132910</v>
      </c>
      <c r="E54" s="390">
        <v>132910</v>
      </c>
      <c r="F54" s="375"/>
      <c r="G54" s="375"/>
      <c r="H54" s="375"/>
      <c r="I54" s="375"/>
      <c r="J54" s="375"/>
      <c r="K54" s="375"/>
      <c r="L54" s="375"/>
      <c r="M54" s="375"/>
      <c r="N54" s="375"/>
    </row>
    <row r="55" spans="1:14" s="127" customFormat="1" x14ac:dyDescent="0.2">
      <c r="A55" s="408" t="s">
        <v>760</v>
      </c>
      <c r="B55" s="345" t="s">
        <v>763</v>
      </c>
      <c r="C55" s="350" t="s">
        <v>551</v>
      </c>
      <c r="D55" s="389">
        <f>94844*2</f>
        <v>189688</v>
      </c>
      <c r="E55" s="390">
        <v>0</v>
      </c>
      <c r="F55" s="375"/>
      <c r="G55" s="375"/>
      <c r="H55" s="375"/>
      <c r="I55" s="375"/>
      <c r="J55" s="375"/>
      <c r="K55" s="375"/>
      <c r="L55" s="375"/>
      <c r="M55" s="375"/>
      <c r="N55" s="375"/>
    </row>
    <row r="56" spans="1:14" s="127" customFormat="1" x14ac:dyDescent="0.2">
      <c r="A56" s="408" t="s">
        <v>764</v>
      </c>
      <c r="B56" s="409" t="s">
        <v>765</v>
      </c>
      <c r="C56" s="350" t="s">
        <v>551</v>
      </c>
      <c r="D56" s="389">
        <f>7875*4</f>
        <v>31500</v>
      </c>
      <c r="E56" s="390">
        <v>23625</v>
      </c>
      <c r="F56" s="375"/>
      <c r="G56" s="375"/>
      <c r="H56" s="375"/>
      <c r="I56" s="375"/>
      <c r="J56" s="375"/>
      <c r="K56" s="375"/>
      <c r="L56" s="375"/>
      <c r="M56" s="375"/>
      <c r="N56" s="375"/>
    </row>
    <row r="57" spans="1:14" s="127" customFormat="1" x14ac:dyDescent="0.2">
      <c r="A57" s="408" t="s">
        <v>764</v>
      </c>
      <c r="B57" s="409" t="s">
        <v>766</v>
      </c>
      <c r="C57" s="350" t="s">
        <v>551</v>
      </c>
      <c r="D57" s="389">
        <v>22500</v>
      </c>
      <c r="E57" s="390">
        <v>0</v>
      </c>
      <c r="F57" s="375"/>
      <c r="G57" s="375"/>
      <c r="H57" s="375"/>
      <c r="I57" s="375"/>
      <c r="J57" s="375"/>
      <c r="K57" s="375"/>
      <c r="L57" s="375"/>
      <c r="M57" s="375"/>
      <c r="N57" s="375"/>
    </row>
    <row r="58" spans="1:14" s="127" customFormat="1" x14ac:dyDescent="0.2">
      <c r="A58" s="408" t="s">
        <v>767</v>
      </c>
      <c r="B58" s="409" t="s">
        <v>768</v>
      </c>
      <c r="C58" s="350" t="s">
        <v>551</v>
      </c>
      <c r="D58" s="389">
        <f>E58</f>
        <v>391479</v>
      </c>
      <c r="E58" s="390">
        <v>391479</v>
      </c>
      <c r="F58" s="375"/>
      <c r="G58" s="375"/>
      <c r="H58" s="375"/>
      <c r="I58" s="375"/>
      <c r="J58" s="375"/>
      <c r="K58" s="375"/>
      <c r="L58" s="375"/>
      <c r="M58" s="375"/>
      <c r="N58" s="375"/>
    </row>
    <row r="59" spans="1:14" s="127" customFormat="1" x14ac:dyDescent="0.2">
      <c r="A59" s="408" t="s">
        <v>769</v>
      </c>
      <c r="B59" s="409" t="s">
        <v>770</v>
      </c>
      <c r="C59" s="350">
        <v>43060</v>
      </c>
      <c r="D59" s="389">
        <v>2193290</v>
      </c>
      <c r="E59" s="390">
        <v>0</v>
      </c>
      <c r="F59" s="375"/>
      <c r="G59" s="375"/>
      <c r="H59" s="375"/>
      <c r="I59" s="375"/>
      <c r="J59" s="375"/>
      <c r="K59" s="375"/>
      <c r="L59" s="375"/>
      <c r="M59" s="375"/>
      <c r="N59" s="375"/>
    </row>
    <row r="60" spans="1:14" s="127" customFormat="1" x14ac:dyDescent="0.2">
      <c r="A60" s="408" t="s">
        <v>771</v>
      </c>
      <c r="B60" s="409" t="s">
        <v>772</v>
      </c>
      <c r="C60" s="350" t="s">
        <v>551</v>
      </c>
      <c r="D60" s="389">
        <v>0</v>
      </c>
      <c r="E60" s="390">
        <v>114531</v>
      </c>
      <c r="F60" s="375"/>
      <c r="G60" s="375"/>
      <c r="H60" s="375"/>
      <c r="I60" s="375"/>
      <c r="J60" s="375"/>
      <c r="K60" s="375"/>
      <c r="L60" s="375"/>
      <c r="M60" s="375"/>
      <c r="N60" s="375"/>
    </row>
    <row r="61" spans="1:14" s="127" customFormat="1" x14ac:dyDescent="0.2">
      <c r="A61" s="408" t="s">
        <v>773</v>
      </c>
      <c r="B61" s="345" t="s">
        <v>774</v>
      </c>
      <c r="C61" s="350">
        <v>43049</v>
      </c>
      <c r="D61" s="389">
        <v>764667</v>
      </c>
      <c r="E61" s="390">
        <v>2411959</v>
      </c>
      <c r="F61" s="406"/>
      <c r="G61" s="375"/>
      <c r="H61" s="375"/>
      <c r="I61" s="375"/>
      <c r="J61" s="375"/>
      <c r="K61" s="375"/>
      <c r="L61" s="375"/>
      <c r="M61" s="375"/>
      <c r="N61" s="375"/>
    </row>
    <row r="62" spans="1:14" s="127" customFormat="1" x14ac:dyDescent="0.2">
      <c r="A62" s="408" t="s">
        <v>775</v>
      </c>
      <c r="B62" s="409" t="s">
        <v>776</v>
      </c>
      <c r="C62" s="350">
        <v>42741</v>
      </c>
      <c r="D62" s="389">
        <v>1758950</v>
      </c>
      <c r="E62" s="390">
        <v>0</v>
      </c>
      <c r="F62" s="375"/>
      <c r="G62" s="375"/>
      <c r="H62" s="375"/>
      <c r="I62" s="375"/>
      <c r="J62" s="375"/>
      <c r="K62" s="375"/>
      <c r="L62" s="375"/>
      <c r="M62" s="375"/>
      <c r="N62" s="375"/>
    </row>
    <row r="63" spans="1:14" s="415" customFormat="1" x14ac:dyDescent="0.2">
      <c r="A63" s="408" t="s">
        <v>775</v>
      </c>
      <c r="B63" s="418" t="s">
        <v>777</v>
      </c>
      <c r="C63" s="419">
        <v>43355</v>
      </c>
      <c r="D63" s="413">
        <v>32115179</v>
      </c>
      <c r="E63" s="414">
        <v>39251885</v>
      </c>
      <c r="F63" s="420"/>
      <c r="G63" s="417"/>
      <c r="H63" s="417"/>
      <c r="I63" s="417"/>
      <c r="J63" s="417"/>
      <c r="K63" s="417"/>
      <c r="L63" s="417"/>
      <c r="M63" s="417"/>
      <c r="N63" s="417"/>
    </row>
    <row r="64" spans="1:14" s="415" customFormat="1" x14ac:dyDescent="0.2">
      <c r="A64" s="408" t="s">
        <v>775</v>
      </c>
      <c r="B64" s="418" t="s">
        <v>778</v>
      </c>
      <c r="C64" s="419">
        <v>43355</v>
      </c>
      <c r="D64" s="413">
        <v>44799381</v>
      </c>
      <c r="E64" s="414">
        <v>19199735</v>
      </c>
      <c r="F64" s="420"/>
      <c r="G64" s="417"/>
      <c r="H64" s="417"/>
      <c r="I64" s="417"/>
      <c r="J64" s="417"/>
      <c r="K64" s="417"/>
      <c r="L64" s="417"/>
      <c r="M64" s="417"/>
      <c r="N64" s="417"/>
    </row>
    <row r="65" spans="1:14" s="127" customFormat="1" x14ac:dyDescent="0.2">
      <c r="A65" s="408" t="s">
        <v>779</v>
      </c>
      <c r="B65" s="409" t="s">
        <v>780</v>
      </c>
      <c r="C65" s="421"/>
      <c r="D65" s="389">
        <v>254000</v>
      </c>
      <c r="E65" s="390">
        <v>0</v>
      </c>
      <c r="F65" s="406"/>
      <c r="G65" s="375"/>
      <c r="H65" s="375"/>
      <c r="I65" s="375"/>
      <c r="J65" s="375"/>
      <c r="K65" s="375"/>
      <c r="L65" s="375"/>
      <c r="M65" s="375"/>
      <c r="N65" s="375"/>
    </row>
    <row r="66" spans="1:14" s="127" customFormat="1" x14ac:dyDescent="0.2">
      <c r="A66" s="408" t="s">
        <v>781</v>
      </c>
      <c r="B66" s="409" t="s">
        <v>782</v>
      </c>
      <c r="C66" s="350">
        <v>43978</v>
      </c>
      <c r="D66" s="389">
        <v>858637</v>
      </c>
      <c r="E66" s="390">
        <v>858148</v>
      </c>
      <c r="F66" s="375"/>
      <c r="G66" s="375"/>
      <c r="H66" s="375"/>
      <c r="I66" s="375"/>
      <c r="J66" s="375"/>
      <c r="K66" s="375"/>
      <c r="L66" s="375"/>
      <c r="M66" s="375"/>
      <c r="N66" s="375"/>
    </row>
    <row r="67" spans="1:14" s="127" customFormat="1" x14ac:dyDescent="0.2">
      <c r="A67" s="408" t="s">
        <v>783</v>
      </c>
      <c r="B67" s="409" t="s">
        <v>784</v>
      </c>
      <c r="C67" s="350" t="s">
        <v>551</v>
      </c>
      <c r="D67" s="389">
        <f>5080*12</f>
        <v>60960</v>
      </c>
      <c r="E67" s="390">
        <v>228600</v>
      </c>
      <c r="F67" s="375"/>
      <c r="G67" s="375"/>
      <c r="H67" s="375"/>
      <c r="I67" s="375"/>
      <c r="J67" s="375"/>
      <c r="K67" s="375"/>
      <c r="L67" s="375"/>
      <c r="M67" s="375"/>
      <c r="N67" s="375"/>
    </row>
    <row r="68" spans="1:14" s="127" customFormat="1" x14ac:dyDescent="0.2">
      <c r="A68" s="408" t="s">
        <v>785</v>
      </c>
      <c r="B68" s="422" t="s">
        <v>786</v>
      </c>
      <c r="C68" s="350" t="s">
        <v>551</v>
      </c>
      <c r="D68" s="389">
        <v>147688</v>
      </c>
      <c r="E68" s="390">
        <v>147688</v>
      </c>
      <c r="F68" s="375"/>
      <c r="G68" s="375"/>
      <c r="H68" s="375"/>
      <c r="I68" s="375"/>
      <c r="J68" s="375"/>
      <c r="K68" s="375"/>
      <c r="L68" s="375"/>
      <c r="M68" s="375"/>
      <c r="N68" s="375"/>
    </row>
    <row r="69" spans="1:14" x14ac:dyDescent="0.2">
      <c r="A69" s="423" t="s">
        <v>787</v>
      </c>
      <c r="B69" s="424" t="s">
        <v>788</v>
      </c>
      <c r="C69" s="350" t="s">
        <v>551</v>
      </c>
      <c r="D69" s="425">
        <v>100000</v>
      </c>
      <c r="E69" s="426">
        <v>100000</v>
      </c>
      <c r="F69" s="427"/>
      <c r="G69" s="427"/>
      <c r="H69" s="427"/>
      <c r="I69" s="427"/>
      <c r="J69" s="427"/>
      <c r="K69" s="427"/>
      <c r="L69" s="427"/>
      <c r="M69" s="427"/>
      <c r="N69" s="427"/>
    </row>
    <row r="70" spans="1:14" x14ac:dyDescent="0.2">
      <c r="A70" s="423" t="s">
        <v>789</v>
      </c>
      <c r="B70" s="424" t="s">
        <v>790</v>
      </c>
      <c r="C70" s="350">
        <v>43174</v>
      </c>
      <c r="D70" s="425">
        <f>E70</f>
        <v>7629843</v>
      </c>
      <c r="E70" s="426">
        <v>7629843</v>
      </c>
      <c r="F70" s="427"/>
      <c r="G70" s="427"/>
      <c r="H70" s="427"/>
      <c r="I70" s="427"/>
      <c r="J70" s="427"/>
      <c r="K70" s="427"/>
      <c r="L70" s="427"/>
      <c r="M70" s="427"/>
      <c r="N70" s="427"/>
    </row>
    <row r="71" spans="1:14" x14ac:dyDescent="0.2">
      <c r="A71" s="423" t="s">
        <v>789</v>
      </c>
      <c r="B71" s="424" t="s">
        <v>791</v>
      </c>
      <c r="C71" s="350">
        <v>43466</v>
      </c>
      <c r="D71" s="425">
        <f>(76200*13)+17350000+(152400*14)</f>
        <v>20474200</v>
      </c>
      <c r="E71" s="426">
        <v>16584549</v>
      </c>
      <c r="F71" s="427"/>
      <c r="G71" s="427"/>
      <c r="H71" s="427"/>
      <c r="I71" s="427"/>
      <c r="J71" s="427"/>
      <c r="K71" s="427"/>
      <c r="L71" s="427"/>
      <c r="M71" s="427"/>
      <c r="N71" s="427"/>
    </row>
    <row r="72" spans="1:14" x14ac:dyDescent="0.2">
      <c r="A72" s="423" t="s">
        <v>789</v>
      </c>
      <c r="B72" s="424" t="s">
        <v>792</v>
      </c>
      <c r="C72" s="350">
        <v>43072</v>
      </c>
      <c r="D72" s="425">
        <v>4857842</v>
      </c>
      <c r="E72" s="426">
        <v>0</v>
      </c>
      <c r="F72" s="427"/>
      <c r="G72" s="427"/>
      <c r="H72" s="427"/>
      <c r="I72" s="427"/>
      <c r="J72" s="427"/>
      <c r="K72" s="427"/>
      <c r="L72" s="427"/>
      <c r="M72" s="427"/>
      <c r="N72" s="427"/>
    </row>
    <row r="73" spans="1:14" x14ac:dyDescent="0.2">
      <c r="A73" s="423" t="s">
        <v>789</v>
      </c>
      <c r="B73" s="424" t="s">
        <v>793</v>
      </c>
      <c r="C73" s="350">
        <v>43023</v>
      </c>
      <c r="D73" s="425">
        <v>2242280</v>
      </c>
      <c r="E73" s="426">
        <v>0</v>
      </c>
      <c r="F73" s="427"/>
      <c r="G73" s="427"/>
      <c r="H73" s="427"/>
      <c r="I73" s="427"/>
      <c r="J73" s="427"/>
      <c r="K73" s="427"/>
      <c r="L73" s="427"/>
      <c r="M73" s="427"/>
      <c r="N73" s="427"/>
    </row>
    <row r="74" spans="1:14" x14ac:dyDescent="0.2">
      <c r="A74" s="423" t="s">
        <v>794</v>
      </c>
      <c r="B74" s="424" t="s">
        <v>795</v>
      </c>
      <c r="C74" s="350" t="s">
        <v>551</v>
      </c>
      <c r="D74" s="425">
        <v>71854</v>
      </c>
      <c r="E74" s="426">
        <v>71854</v>
      </c>
      <c r="F74" s="427"/>
      <c r="G74" s="427"/>
      <c r="H74" s="427"/>
      <c r="I74" s="427"/>
      <c r="J74" s="427"/>
      <c r="K74" s="427"/>
      <c r="L74" s="427"/>
      <c r="M74" s="427"/>
      <c r="N74" s="427"/>
    </row>
    <row r="75" spans="1:14" x14ac:dyDescent="0.2">
      <c r="A75" s="408" t="s">
        <v>796</v>
      </c>
      <c r="B75" s="409" t="s">
        <v>657</v>
      </c>
      <c r="C75" s="350" t="s">
        <v>551</v>
      </c>
      <c r="D75" s="389">
        <v>12000</v>
      </c>
      <c r="E75" s="390">
        <v>0</v>
      </c>
      <c r="F75" s="427"/>
      <c r="G75" s="427"/>
      <c r="H75" s="427"/>
      <c r="I75" s="427"/>
      <c r="J75" s="427"/>
      <c r="K75" s="427"/>
      <c r="L75" s="427"/>
      <c r="M75" s="427"/>
      <c r="N75" s="427"/>
    </row>
    <row r="76" spans="1:14" x14ac:dyDescent="0.2">
      <c r="A76" s="408" t="s">
        <v>797</v>
      </c>
      <c r="B76" s="409" t="s">
        <v>798</v>
      </c>
      <c r="C76" s="350" t="s">
        <v>551</v>
      </c>
      <c r="D76" s="389">
        <f>E76</f>
        <v>24765</v>
      </c>
      <c r="E76" s="390">
        <v>24765</v>
      </c>
      <c r="F76" s="427"/>
      <c r="G76" s="427"/>
      <c r="H76" s="427"/>
      <c r="I76" s="427"/>
      <c r="J76" s="427"/>
      <c r="K76" s="427"/>
      <c r="L76" s="427"/>
      <c r="M76" s="427"/>
      <c r="N76" s="427"/>
    </row>
    <row r="77" spans="1:14" x14ac:dyDescent="0.2">
      <c r="A77" s="408" t="s">
        <v>797</v>
      </c>
      <c r="B77" s="409" t="s">
        <v>799</v>
      </c>
      <c r="C77" s="421"/>
      <c r="D77" s="389">
        <f>(7783*14)</f>
        <v>108962</v>
      </c>
      <c r="E77" s="390">
        <v>77830</v>
      </c>
      <c r="F77" s="427"/>
      <c r="G77" s="427"/>
      <c r="H77" s="427"/>
      <c r="I77" s="427"/>
      <c r="J77" s="427"/>
      <c r="K77" s="427"/>
      <c r="L77" s="427"/>
      <c r="M77" s="427"/>
      <c r="N77" s="427"/>
    </row>
    <row r="78" spans="1:14" s="415" customFormat="1" x14ac:dyDescent="0.2">
      <c r="A78" s="428" t="s">
        <v>800</v>
      </c>
      <c r="B78" s="418" t="s">
        <v>801</v>
      </c>
      <c r="C78" s="419">
        <v>43355</v>
      </c>
      <c r="D78" s="413">
        <v>2857500</v>
      </c>
      <c r="E78" s="414">
        <v>2857500</v>
      </c>
      <c r="F78" s="417"/>
      <c r="G78" s="417"/>
      <c r="H78" s="417"/>
      <c r="I78" s="417"/>
      <c r="J78" s="417"/>
      <c r="K78" s="417"/>
      <c r="L78" s="417"/>
      <c r="M78" s="417"/>
      <c r="N78" s="417"/>
    </row>
    <row r="79" spans="1:14" x14ac:dyDescent="0.2">
      <c r="A79" s="387" t="s">
        <v>802</v>
      </c>
      <c r="B79" s="388" t="s">
        <v>803</v>
      </c>
      <c r="C79" s="347" t="s">
        <v>551</v>
      </c>
      <c r="D79" s="389">
        <f>E79*E6</f>
        <v>4743460</v>
      </c>
      <c r="E79" s="390">
        <v>4743460</v>
      </c>
      <c r="F79" s="427"/>
      <c r="G79" s="427"/>
      <c r="H79" s="427"/>
      <c r="I79" s="427"/>
      <c r="J79" s="427"/>
      <c r="K79" s="427"/>
      <c r="L79" s="427"/>
      <c r="M79" s="427"/>
      <c r="N79" s="427"/>
    </row>
    <row r="80" spans="1:14" x14ac:dyDescent="0.2">
      <c r="A80" s="387" t="s">
        <v>804</v>
      </c>
      <c r="B80" s="388" t="s">
        <v>805</v>
      </c>
      <c r="C80" s="347" t="s">
        <v>551</v>
      </c>
      <c r="D80" s="389">
        <v>21570403</v>
      </c>
      <c r="E80" s="390">
        <v>0</v>
      </c>
      <c r="F80" s="427"/>
      <c r="G80" s="427"/>
      <c r="H80" s="427"/>
      <c r="I80" s="427"/>
      <c r="J80" s="427"/>
      <c r="K80" s="427"/>
      <c r="L80" s="427"/>
      <c r="M80" s="427"/>
      <c r="N80" s="427"/>
    </row>
    <row r="81" spans="1:14" x14ac:dyDescent="0.2">
      <c r="A81" s="429" t="s">
        <v>806</v>
      </c>
      <c r="B81" s="395" t="s">
        <v>807</v>
      </c>
      <c r="C81" s="402" t="s">
        <v>551</v>
      </c>
      <c r="D81" s="397">
        <f>E81</f>
        <v>5976214</v>
      </c>
      <c r="E81" s="398">
        <f>4798289+1177925</f>
        <v>5976214</v>
      </c>
      <c r="F81" s="427"/>
      <c r="G81" s="427"/>
      <c r="H81" s="427"/>
      <c r="I81" s="427"/>
      <c r="J81" s="430"/>
      <c r="K81" s="427"/>
      <c r="L81" s="427"/>
      <c r="M81" s="427"/>
      <c r="N81" s="427"/>
    </row>
    <row r="82" spans="1:14" x14ac:dyDescent="0.2">
      <c r="A82" s="387" t="s">
        <v>808</v>
      </c>
      <c r="B82" s="388" t="s">
        <v>809</v>
      </c>
      <c r="C82" s="347" t="s">
        <v>551</v>
      </c>
      <c r="D82" s="389">
        <f>19050*12+54610</f>
        <v>283210</v>
      </c>
      <c r="E82" s="390">
        <v>337820</v>
      </c>
      <c r="F82" s="427"/>
      <c r="G82" s="427"/>
      <c r="H82" s="427"/>
      <c r="I82" s="427"/>
      <c r="J82" s="427"/>
      <c r="K82" s="427"/>
      <c r="L82" s="427"/>
      <c r="M82" s="427"/>
      <c r="N82" s="427"/>
    </row>
    <row r="83" spans="1:14" x14ac:dyDescent="0.2">
      <c r="A83" s="387" t="s">
        <v>810</v>
      </c>
      <c r="B83" s="388" t="s">
        <v>811</v>
      </c>
      <c r="C83" s="340">
        <v>44196</v>
      </c>
      <c r="D83" s="389">
        <f>2721611+596900+1193800</f>
        <v>4512311</v>
      </c>
      <c r="E83" s="390">
        <v>2721616</v>
      </c>
      <c r="F83" s="427"/>
      <c r="G83" s="431"/>
      <c r="H83" s="431"/>
      <c r="I83" s="431"/>
      <c r="J83" s="427"/>
      <c r="K83" s="427"/>
      <c r="L83" s="427"/>
      <c r="M83" s="427"/>
      <c r="N83" s="427"/>
    </row>
    <row r="84" spans="1:14" x14ac:dyDescent="0.2">
      <c r="A84" s="387" t="s">
        <v>810</v>
      </c>
      <c r="B84" s="388" t="s">
        <v>812</v>
      </c>
      <c r="C84" s="340">
        <v>44135</v>
      </c>
      <c r="D84" s="389">
        <v>457200</v>
      </c>
      <c r="E84" s="390">
        <v>0</v>
      </c>
      <c r="F84" s="613"/>
      <c r="G84" s="614"/>
      <c r="H84" s="614"/>
      <c r="I84" s="614"/>
      <c r="J84" s="427"/>
      <c r="K84" s="427"/>
      <c r="L84" s="427"/>
      <c r="M84" s="427"/>
      <c r="N84" s="427"/>
    </row>
    <row r="85" spans="1:14" x14ac:dyDescent="0.2">
      <c r="A85" s="387" t="s">
        <v>810</v>
      </c>
      <c r="B85" s="388" t="s">
        <v>813</v>
      </c>
      <c r="C85" s="340">
        <v>44398</v>
      </c>
      <c r="D85" s="389">
        <f>4795520+254000</f>
        <v>5049520</v>
      </c>
      <c r="E85" s="390">
        <v>0</v>
      </c>
      <c r="F85" s="432"/>
      <c r="G85" s="151"/>
      <c r="H85" s="151"/>
      <c r="I85" s="151"/>
      <c r="J85" s="427"/>
      <c r="K85" s="427"/>
      <c r="L85" s="427"/>
      <c r="M85" s="427"/>
      <c r="N85" s="427"/>
    </row>
    <row r="86" spans="1:14" x14ac:dyDescent="0.2">
      <c r="A86" s="387" t="s">
        <v>814</v>
      </c>
      <c r="B86" s="348" t="s">
        <v>815</v>
      </c>
      <c r="C86" s="340" t="s">
        <v>816</v>
      </c>
      <c r="D86" s="389">
        <f>E86*E6/2</f>
        <v>12948051</v>
      </c>
      <c r="E86" s="390">
        <v>25896102</v>
      </c>
      <c r="F86" s="427"/>
      <c r="G86" s="427"/>
      <c r="H86" s="427"/>
      <c r="I86" s="427"/>
      <c r="J86" s="427"/>
      <c r="K86" s="427"/>
      <c r="L86" s="427"/>
      <c r="M86" s="427"/>
      <c r="N86" s="427"/>
    </row>
    <row r="87" spans="1:14" x14ac:dyDescent="0.2">
      <c r="A87" s="429" t="s">
        <v>817</v>
      </c>
      <c r="B87" s="395" t="s">
        <v>818</v>
      </c>
      <c r="C87" s="402" t="s">
        <v>551</v>
      </c>
      <c r="D87" s="397">
        <f>21707*6</f>
        <v>130242</v>
      </c>
      <c r="E87" s="398">
        <v>57880</v>
      </c>
      <c r="F87" s="427"/>
      <c r="G87" s="427"/>
      <c r="H87" s="427"/>
      <c r="I87" s="427"/>
      <c r="J87" s="427"/>
      <c r="K87" s="427"/>
      <c r="L87" s="427"/>
      <c r="M87" s="427"/>
      <c r="N87" s="427"/>
    </row>
    <row r="88" spans="1:14" x14ac:dyDescent="0.2">
      <c r="A88" s="429" t="s">
        <v>817</v>
      </c>
      <c r="B88" s="395" t="s">
        <v>819</v>
      </c>
      <c r="C88" s="402" t="s">
        <v>551</v>
      </c>
      <c r="D88" s="397">
        <f>850427*3</f>
        <v>2551281</v>
      </c>
      <c r="E88" s="398">
        <v>2042595</v>
      </c>
      <c r="F88" s="427"/>
      <c r="G88" s="427"/>
      <c r="H88" s="427"/>
      <c r="I88" s="427"/>
      <c r="J88" s="427"/>
      <c r="K88" s="427"/>
      <c r="L88" s="427"/>
      <c r="M88" s="430"/>
      <c r="N88" s="427"/>
    </row>
    <row r="89" spans="1:14" x14ac:dyDescent="0.2">
      <c r="A89" s="429" t="s">
        <v>817</v>
      </c>
      <c r="B89" s="395" t="s">
        <v>820</v>
      </c>
      <c r="C89" s="402" t="s">
        <v>551</v>
      </c>
      <c r="D89" s="397">
        <f>20810*3</f>
        <v>62430</v>
      </c>
      <c r="E89" s="398">
        <v>31214</v>
      </c>
      <c r="F89" s="427"/>
      <c r="G89" s="427"/>
      <c r="H89" s="427"/>
      <c r="I89" s="427"/>
      <c r="J89" s="430"/>
      <c r="K89" s="427"/>
      <c r="L89" s="427"/>
      <c r="M89" s="427"/>
      <c r="N89" s="427"/>
    </row>
    <row r="90" spans="1:14" x14ac:dyDescent="0.2">
      <c r="A90" s="429" t="s">
        <v>817</v>
      </c>
      <c r="B90" s="395" t="s">
        <v>821</v>
      </c>
      <c r="C90" s="402" t="s">
        <v>551</v>
      </c>
      <c r="D90" s="397">
        <f>2413*25</f>
        <v>60325</v>
      </c>
      <c r="E90" s="398">
        <v>4826</v>
      </c>
      <c r="F90" s="427"/>
      <c r="G90" s="427"/>
      <c r="H90" s="427"/>
      <c r="I90" s="427"/>
      <c r="J90" s="430"/>
      <c r="K90" s="427"/>
      <c r="L90" s="427"/>
      <c r="M90" s="427"/>
      <c r="N90" s="427"/>
    </row>
    <row r="91" spans="1:14" x14ac:dyDescent="0.2">
      <c r="A91" s="429" t="s">
        <v>817</v>
      </c>
      <c r="B91" s="395" t="s">
        <v>822</v>
      </c>
      <c r="C91" s="402" t="s">
        <v>551</v>
      </c>
      <c r="D91" s="397">
        <f>142730*6</f>
        <v>856380</v>
      </c>
      <c r="E91" s="398">
        <v>38231</v>
      </c>
      <c r="F91" s="427"/>
      <c r="G91" s="427"/>
      <c r="H91" s="427"/>
      <c r="I91" s="427"/>
      <c r="J91" s="430"/>
      <c r="K91" s="427"/>
      <c r="L91" s="427"/>
      <c r="M91" s="427"/>
      <c r="N91" s="427"/>
    </row>
    <row r="92" spans="1:14" x14ac:dyDescent="0.2">
      <c r="A92" s="429" t="s">
        <v>817</v>
      </c>
      <c r="B92" s="395" t="s">
        <v>823</v>
      </c>
      <c r="C92" s="402" t="s">
        <v>551</v>
      </c>
      <c r="D92" s="397">
        <f>20808*2</f>
        <v>41616</v>
      </c>
      <c r="E92" s="398">
        <v>0</v>
      </c>
      <c r="F92" s="427"/>
      <c r="G92" s="427"/>
      <c r="H92" s="427"/>
      <c r="I92" s="427"/>
      <c r="J92" s="430"/>
      <c r="K92" s="427"/>
      <c r="L92" s="427"/>
      <c r="M92" s="427"/>
      <c r="N92" s="427"/>
    </row>
    <row r="93" spans="1:14" x14ac:dyDescent="0.2">
      <c r="A93" s="429" t="s">
        <v>824</v>
      </c>
      <c r="B93" s="395" t="s">
        <v>825</v>
      </c>
      <c r="C93" s="402" t="s">
        <v>551</v>
      </c>
      <c r="D93" s="397">
        <v>16020</v>
      </c>
      <c r="E93" s="398">
        <v>16020</v>
      </c>
      <c r="F93" s="427"/>
      <c r="G93" s="427"/>
      <c r="H93" s="427"/>
      <c r="I93" s="427"/>
      <c r="J93" s="427"/>
      <c r="K93" s="427"/>
      <c r="L93" s="427"/>
      <c r="M93" s="427"/>
      <c r="N93" s="427"/>
    </row>
    <row r="94" spans="1:14" x14ac:dyDescent="0.2">
      <c r="A94" s="429" t="s">
        <v>824</v>
      </c>
      <c r="B94" s="395" t="s">
        <v>826</v>
      </c>
      <c r="C94" s="402" t="s">
        <v>551</v>
      </c>
      <c r="D94" s="397">
        <v>15600</v>
      </c>
      <c r="E94" s="398">
        <v>15600</v>
      </c>
      <c r="F94" s="427"/>
      <c r="G94" s="427"/>
      <c r="H94" s="427"/>
      <c r="I94" s="427"/>
      <c r="J94" s="427"/>
      <c r="K94" s="427"/>
      <c r="L94" s="427"/>
      <c r="M94" s="427"/>
      <c r="N94" s="427"/>
    </row>
    <row r="95" spans="1:14" x14ac:dyDescent="0.2">
      <c r="A95" s="429" t="s">
        <v>647</v>
      </c>
      <c r="B95" s="433" t="s">
        <v>827</v>
      </c>
      <c r="C95" s="434"/>
      <c r="D95" s="435"/>
      <c r="E95" s="398">
        <v>1862074</v>
      </c>
      <c r="F95" s="427"/>
      <c r="G95" s="427"/>
      <c r="H95" s="427"/>
      <c r="I95" s="427"/>
      <c r="J95" s="427"/>
      <c r="K95" s="427"/>
      <c r="L95" s="427"/>
      <c r="M95" s="427"/>
      <c r="N95" s="427"/>
    </row>
    <row r="96" spans="1:14" x14ac:dyDescent="0.2">
      <c r="A96" s="429" t="s">
        <v>647</v>
      </c>
      <c r="B96" s="433" t="s">
        <v>828</v>
      </c>
      <c r="C96" s="402" t="s">
        <v>551</v>
      </c>
      <c r="D96" s="436">
        <v>8488554</v>
      </c>
      <c r="E96" s="398">
        <v>1590616</v>
      </c>
      <c r="F96" s="427"/>
      <c r="G96" s="427"/>
      <c r="H96" s="427"/>
      <c r="I96" s="427"/>
      <c r="J96" s="427"/>
      <c r="K96" s="427"/>
      <c r="L96" s="427"/>
      <c r="M96" s="430"/>
      <c r="N96" s="427"/>
    </row>
    <row r="97" spans="1:14" x14ac:dyDescent="0.2">
      <c r="A97" s="429" t="s">
        <v>647</v>
      </c>
      <c r="B97" s="433" t="s">
        <v>829</v>
      </c>
      <c r="C97" s="402" t="s">
        <v>551</v>
      </c>
      <c r="D97" s="436">
        <f>E97</f>
        <v>203200</v>
      </c>
      <c r="E97" s="398">
        <v>203200</v>
      </c>
      <c r="F97" s="427"/>
      <c r="G97" s="427"/>
      <c r="H97" s="427"/>
      <c r="I97" s="427"/>
      <c r="J97" s="427"/>
      <c r="K97" s="427"/>
      <c r="L97" s="427"/>
      <c r="M97" s="427"/>
      <c r="N97" s="427"/>
    </row>
    <row r="98" spans="1:14" x14ac:dyDescent="0.2">
      <c r="A98" s="387" t="s">
        <v>647</v>
      </c>
      <c r="B98" s="348" t="s">
        <v>830</v>
      </c>
      <c r="C98" s="340" t="s">
        <v>831</v>
      </c>
      <c r="D98" s="389">
        <f>2349264+1886420</f>
        <v>4235684</v>
      </c>
      <c r="E98" s="390">
        <v>0</v>
      </c>
      <c r="F98" s="427"/>
      <c r="G98" s="427"/>
      <c r="H98" s="430"/>
      <c r="I98" s="427"/>
      <c r="J98" s="427"/>
      <c r="K98" s="427"/>
      <c r="L98" s="427"/>
      <c r="M98" s="427"/>
      <c r="N98" s="427"/>
    </row>
    <row r="99" spans="1:14" s="127" customFormat="1" x14ac:dyDescent="0.2">
      <c r="A99" s="387" t="s">
        <v>832</v>
      </c>
      <c r="B99" s="348" t="s">
        <v>833</v>
      </c>
      <c r="C99" s="340">
        <v>43100</v>
      </c>
      <c r="D99" s="389">
        <v>300138</v>
      </c>
      <c r="E99" s="390">
        <v>999862</v>
      </c>
      <c r="F99" s="375"/>
      <c r="G99" s="375"/>
      <c r="H99" s="405"/>
      <c r="I99" s="375"/>
      <c r="J99" s="375"/>
      <c r="K99" s="375"/>
      <c r="L99" s="375"/>
      <c r="M99" s="375"/>
      <c r="N99" s="375"/>
    </row>
    <row r="100" spans="1:14" s="127" customFormat="1" x14ac:dyDescent="0.2">
      <c r="A100" s="387" t="s">
        <v>834</v>
      </c>
      <c r="B100" s="348" t="s">
        <v>707</v>
      </c>
      <c r="C100" s="340" t="s">
        <v>551</v>
      </c>
      <c r="D100" s="389">
        <v>11496</v>
      </c>
      <c r="E100" s="390">
        <v>11496</v>
      </c>
      <c r="F100" s="375"/>
      <c r="G100" s="375"/>
      <c r="H100" s="405"/>
      <c r="I100" s="375"/>
      <c r="J100" s="375"/>
      <c r="K100" s="375"/>
      <c r="L100" s="375"/>
      <c r="M100" s="375"/>
      <c r="N100" s="375"/>
    </row>
    <row r="101" spans="1:14" s="127" customFormat="1" x14ac:dyDescent="0.2">
      <c r="A101" s="387" t="s">
        <v>835</v>
      </c>
      <c r="B101" s="348" t="s">
        <v>836</v>
      </c>
      <c r="C101" s="340">
        <v>43176</v>
      </c>
      <c r="D101" s="389">
        <f>(E101/12)*3</f>
        <v>114712.75</v>
      </c>
      <c r="E101" s="390">
        <f>44450+189230+225171</f>
        <v>458851</v>
      </c>
      <c r="F101" s="375"/>
      <c r="G101" s="375"/>
      <c r="H101" s="405"/>
      <c r="I101" s="375"/>
      <c r="J101" s="375"/>
      <c r="K101" s="375"/>
      <c r="L101" s="375"/>
      <c r="M101" s="375"/>
      <c r="N101" s="375"/>
    </row>
    <row r="102" spans="1:14" x14ac:dyDescent="0.2">
      <c r="A102" s="394" t="s">
        <v>837</v>
      </c>
      <c r="B102" s="424" t="s">
        <v>838</v>
      </c>
      <c r="C102" s="350">
        <v>43555</v>
      </c>
      <c r="D102" s="389">
        <f>E102*E6</f>
        <v>55396361</v>
      </c>
      <c r="E102" s="407">
        <v>55396361</v>
      </c>
      <c r="F102" s="427"/>
      <c r="G102" s="427"/>
      <c r="H102" s="427"/>
      <c r="I102" s="427"/>
      <c r="J102" s="427"/>
      <c r="K102" s="427"/>
      <c r="L102" s="427"/>
      <c r="M102" s="427"/>
      <c r="N102" s="427"/>
    </row>
    <row r="103" spans="1:14" x14ac:dyDescent="0.2">
      <c r="A103" s="394" t="s">
        <v>839</v>
      </c>
      <c r="B103" s="424" t="s">
        <v>840</v>
      </c>
      <c r="C103" s="350">
        <v>43046</v>
      </c>
      <c r="D103" s="389">
        <v>4085488</v>
      </c>
      <c r="E103" s="407">
        <v>0</v>
      </c>
      <c r="F103" s="427"/>
      <c r="G103" s="427"/>
      <c r="H103" s="427"/>
      <c r="I103" s="427"/>
      <c r="J103" s="427"/>
      <c r="K103" s="427"/>
      <c r="L103" s="427"/>
      <c r="M103" s="427"/>
      <c r="N103" s="427"/>
    </row>
    <row r="104" spans="1:14" x14ac:dyDescent="0.2">
      <c r="A104" s="394" t="s">
        <v>841</v>
      </c>
      <c r="B104" s="424" t="s">
        <v>842</v>
      </c>
      <c r="C104" s="350" t="s">
        <v>551</v>
      </c>
      <c r="D104" s="389">
        <v>101880</v>
      </c>
      <c r="E104" s="407">
        <v>101880</v>
      </c>
      <c r="F104" s="427"/>
      <c r="G104" s="427"/>
      <c r="H104" s="427"/>
      <c r="I104" s="427"/>
      <c r="J104" s="427"/>
      <c r="K104" s="427"/>
      <c r="L104" s="427"/>
      <c r="M104" s="427"/>
      <c r="N104" s="427"/>
    </row>
    <row r="105" spans="1:14" x14ac:dyDescent="0.2">
      <c r="A105" s="394" t="s">
        <v>843</v>
      </c>
      <c r="B105" s="424" t="s">
        <v>844</v>
      </c>
      <c r="C105" s="350">
        <v>43105</v>
      </c>
      <c r="D105" s="389">
        <v>2467483</v>
      </c>
      <c r="E105" s="407">
        <v>0</v>
      </c>
      <c r="F105" s="427"/>
      <c r="G105" s="427"/>
      <c r="H105" s="427"/>
      <c r="I105" s="427"/>
      <c r="J105" s="427"/>
      <c r="K105" s="427"/>
      <c r="L105" s="427"/>
      <c r="M105" s="427"/>
      <c r="N105" s="427"/>
    </row>
    <row r="106" spans="1:14" x14ac:dyDescent="0.2">
      <c r="A106" s="394" t="s">
        <v>845</v>
      </c>
      <c r="B106" s="424" t="s">
        <v>846</v>
      </c>
      <c r="C106" s="350">
        <v>43497</v>
      </c>
      <c r="D106" s="389">
        <f>E106</f>
        <v>55996783</v>
      </c>
      <c r="E106" s="407">
        <v>55996783</v>
      </c>
      <c r="F106" s="427"/>
      <c r="G106" s="427"/>
      <c r="H106" s="427"/>
      <c r="I106" s="427"/>
      <c r="J106" s="427"/>
      <c r="K106" s="430"/>
      <c r="L106" s="427"/>
      <c r="M106" s="430"/>
      <c r="N106" s="427"/>
    </row>
    <row r="107" spans="1:14" s="127" customFormat="1" x14ac:dyDescent="0.2">
      <c r="A107" s="423" t="s">
        <v>847</v>
      </c>
      <c r="B107" s="424" t="s">
        <v>848</v>
      </c>
      <c r="C107" s="350" t="s">
        <v>551</v>
      </c>
      <c r="D107" s="425">
        <f>E107*E6</f>
        <v>2797228</v>
      </c>
      <c r="E107" s="426">
        <v>2797228</v>
      </c>
      <c r="F107" s="375"/>
      <c r="G107" s="375"/>
      <c r="H107" s="375"/>
      <c r="I107" s="375"/>
      <c r="J107" s="375"/>
      <c r="K107" s="375"/>
      <c r="L107" s="375"/>
      <c r="M107" s="375"/>
      <c r="N107" s="375"/>
    </row>
    <row r="108" spans="1:14" s="127" customFormat="1" x14ac:dyDescent="0.2">
      <c r="A108" s="423" t="s">
        <v>849</v>
      </c>
      <c r="B108" s="424" t="s">
        <v>850</v>
      </c>
      <c r="C108" s="350">
        <v>43100</v>
      </c>
      <c r="D108" s="425">
        <v>952500</v>
      </c>
      <c r="E108" s="426">
        <v>0</v>
      </c>
      <c r="F108" s="375"/>
      <c r="G108" s="375"/>
      <c r="H108" s="375"/>
      <c r="I108" s="375"/>
      <c r="J108" s="375"/>
      <c r="K108" s="375"/>
      <c r="L108" s="375"/>
      <c r="M108" s="375"/>
      <c r="N108" s="375"/>
    </row>
    <row r="109" spans="1:14" s="127" customFormat="1" x14ac:dyDescent="0.2">
      <c r="A109" s="423" t="s">
        <v>851</v>
      </c>
      <c r="B109" s="424" t="s">
        <v>852</v>
      </c>
      <c r="C109" s="350"/>
      <c r="D109" s="425">
        <f>18000*12</f>
        <v>216000</v>
      </c>
      <c r="E109" s="426">
        <v>229530</v>
      </c>
      <c r="F109" s="375"/>
      <c r="G109" s="375"/>
      <c r="H109" s="375"/>
      <c r="I109" s="375"/>
      <c r="J109" s="375"/>
      <c r="K109" s="375"/>
      <c r="L109" s="375"/>
      <c r="M109" s="375"/>
      <c r="N109" s="375"/>
    </row>
    <row r="110" spans="1:14" s="127" customFormat="1" x14ac:dyDescent="0.2">
      <c r="A110" s="423" t="s">
        <v>851</v>
      </c>
      <c r="B110" s="424" t="s">
        <v>853</v>
      </c>
      <c r="C110" s="350">
        <v>43874</v>
      </c>
      <c r="D110" s="425">
        <f>((((322875/1.27)*1.05))/9)*12</f>
        <v>355925.19685039367</v>
      </c>
      <c r="E110" s="426">
        <v>322875</v>
      </c>
      <c r="F110" s="375"/>
      <c r="G110" s="375"/>
      <c r="H110" s="375"/>
      <c r="I110" s="375"/>
      <c r="J110" s="375"/>
      <c r="K110" s="375"/>
      <c r="L110" s="375"/>
      <c r="M110" s="375"/>
      <c r="N110" s="375"/>
    </row>
    <row r="111" spans="1:14" x14ac:dyDescent="0.2">
      <c r="A111" s="387" t="s">
        <v>854</v>
      </c>
      <c r="B111" s="388" t="s">
        <v>855</v>
      </c>
      <c r="C111" s="340">
        <v>43251</v>
      </c>
      <c r="D111" s="389">
        <v>3959888</v>
      </c>
      <c r="E111" s="390">
        <v>4142740</v>
      </c>
      <c r="F111" s="427"/>
      <c r="G111" s="427"/>
      <c r="H111" s="427"/>
      <c r="I111" s="427"/>
      <c r="J111" s="427"/>
      <c r="K111" s="427"/>
      <c r="L111" s="427"/>
      <c r="M111" s="427"/>
      <c r="N111" s="427"/>
    </row>
    <row r="112" spans="1:14" x14ac:dyDescent="0.2">
      <c r="A112" s="387" t="s">
        <v>856</v>
      </c>
      <c r="B112" s="388" t="s">
        <v>857</v>
      </c>
      <c r="C112" s="340">
        <v>43462</v>
      </c>
      <c r="D112" s="389">
        <f>E112</f>
        <v>1379229</v>
      </c>
      <c r="E112" s="390">
        <v>1379229</v>
      </c>
      <c r="F112" s="427"/>
      <c r="G112" s="427"/>
      <c r="H112" s="427"/>
      <c r="I112" s="427"/>
      <c r="J112" s="427"/>
      <c r="K112" s="427"/>
      <c r="L112" s="427"/>
      <c r="M112" s="427"/>
      <c r="N112" s="427"/>
    </row>
    <row r="113" spans="1:14" x14ac:dyDescent="0.2">
      <c r="A113" s="387" t="s">
        <v>858</v>
      </c>
      <c r="B113" s="388" t="s">
        <v>859</v>
      </c>
      <c r="C113" s="340" t="s">
        <v>551</v>
      </c>
      <c r="D113" s="389">
        <f>2008837*13</f>
        <v>26114881</v>
      </c>
      <c r="E113" s="390">
        <v>10035139</v>
      </c>
      <c r="F113" s="427"/>
      <c r="G113" s="427"/>
      <c r="H113" s="427"/>
      <c r="I113" s="427"/>
      <c r="J113" s="427"/>
      <c r="K113" s="427"/>
      <c r="L113" s="427"/>
      <c r="M113" s="427"/>
      <c r="N113" s="427"/>
    </row>
    <row r="114" spans="1:14" x14ac:dyDescent="0.2">
      <c r="A114" s="387" t="s">
        <v>858</v>
      </c>
      <c r="B114" s="388" t="s">
        <v>860</v>
      </c>
      <c r="C114" s="340">
        <v>43196</v>
      </c>
      <c r="D114" s="389">
        <v>5508625</v>
      </c>
      <c r="E114" s="390">
        <v>0</v>
      </c>
      <c r="F114" s="427"/>
      <c r="G114" s="427"/>
      <c r="H114" s="427"/>
      <c r="I114" s="427"/>
      <c r="J114" s="427"/>
      <c r="K114" s="427"/>
      <c r="L114" s="427"/>
      <c r="M114" s="427"/>
      <c r="N114" s="427"/>
    </row>
    <row r="115" spans="1:14" x14ac:dyDescent="0.2">
      <c r="A115" s="394" t="s">
        <v>678</v>
      </c>
      <c r="B115" s="348" t="s">
        <v>861</v>
      </c>
      <c r="C115" s="340" t="s">
        <v>551</v>
      </c>
      <c r="D115" s="389">
        <v>994073</v>
      </c>
      <c r="E115" s="390">
        <v>994073</v>
      </c>
      <c r="F115" s="427"/>
      <c r="G115" s="427"/>
      <c r="H115" s="427"/>
      <c r="I115" s="427"/>
      <c r="J115" s="427"/>
      <c r="K115" s="427"/>
      <c r="L115" s="427"/>
      <c r="M115" s="427"/>
      <c r="N115" s="427"/>
    </row>
    <row r="116" spans="1:14" x14ac:dyDescent="0.2">
      <c r="A116" s="394" t="s">
        <v>678</v>
      </c>
      <c r="B116" s="348" t="s">
        <v>862</v>
      </c>
      <c r="C116" s="340">
        <v>44926</v>
      </c>
      <c r="D116" s="389">
        <f>E116*E6</f>
        <v>459607</v>
      </c>
      <c r="E116" s="390">
        <v>459607</v>
      </c>
      <c r="F116" s="427"/>
      <c r="G116" s="427"/>
      <c r="H116" s="427"/>
      <c r="I116" s="427"/>
      <c r="J116" s="427"/>
      <c r="K116" s="427"/>
      <c r="L116" s="427"/>
      <c r="M116" s="427"/>
      <c r="N116" s="427"/>
    </row>
    <row r="117" spans="1:14" x14ac:dyDescent="0.2">
      <c r="A117" s="394" t="s">
        <v>678</v>
      </c>
      <c r="B117" s="348" t="s">
        <v>863</v>
      </c>
      <c r="C117" s="340" t="s">
        <v>551</v>
      </c>
      <c r="D117" s="389">
        <v>755110</v>
      </c>
      <c r="E117" s="390">
        <v>755110</v>
      </c>
      <c r="F117" s="427"/>
      <c r="G117" s="427"/>
      <c r="H117" s="427"/>
      <c r="I117" s="427"/>
      <c r="J117" s="427"/>
      <c r="K117" s="427"/>
      <c r="L117" s="427"/>
      <c r="M117" s="427"/>
      <c r="N117" s="427"/>
    </row>
    <row r="118" spans="1:14" x14ac:dyDescent="0.2">
      <c r="A118" s="394" t="s">
        <v>678</v>
      </c>
      <c r="B118" s="348" t="s">
        <v>864</v>
      </c>
      <c r="C118" s="340"/>
      <c r="D118" s="389">
        <v>11887</v>
      </c>
      <c r="E118" s="390">
        <v>11887</v>
      </c>
      <c r="F118" s="427"/>
      <c r="G118" s="427"/>
      <c r="H118" s="427"/>
      <c r="I118" s="427"/>
      <c r="J118" s="427"/>
      <c r="K118" s="427"/>
      <c r="L118" s="427"/>
      <c r="M118" s="427"/>
      <c r="N118" s="427"/>
    </row>
    <row r="119" spans="1:14" x14ac:dyDescent="0.2">
      <c r="A119" s="394" t="s">
        <v>678</v>
      </c>
      <c r="B119" s="348" t="s">
        <v>865</v>
      </c>
      <c r="C119" s="340"/>
      <c r="D119" s="389">
        <v>7859709</v>
      </c>
      <c r="E119" s="390">
        <v>0</v>
      </c>
      <c r="F119" s="427"/>
      <c r="G119" s="427"/>
      <c r="H119" s="427"/>
      <c r="I119" s="427"/>
      <c r="J119" s="427"/>
      <c r="K119" s="427"/>
      <c r="L119" s="427"/>
      <c r="M119" s="427"/>
      <c r="N119" s="427"/>
    </row>
    <row r="120" spans="1:14" x14ac:dyDescent="0.2">
      <c r="A120" s="429" t="s">
        <v>866</v>
      </c>
      <c r="B120" s="433" t="s">
        <v>867</v>
      </c>
      <c r="C120" s="400">
        <v>44377</v>
      </c>
      <c r="D120" s="389">
        <f>E120</f>
        <v>239988</v>
      </c>
      <c r="E120" s="390">
        <v>239988</v>
      </c>
      <c r="F120" s="427"/>
      <c r="G120" s="427"/>
      <c r="H120" s="427"/>
      <c r="I120" s="427"/>
      <c r="J120" s="427"/>
      <c r="K120" s="427"/>
      <c r="L120" s="427"/>
      <c r="M120" s="427"/>
      <c r="N120" s="427"/>
    </row>
    <row r="121" spans="1:14" x14ac:dyDescent="0.2">
      <c r="A121" s="429" t="s">
        <v>866</v>
      </c>
      <c r="B121" s="433" t="s">
        <v>868</v>
      </c>
      <c r="C121" s="400" t="s">
        <v>551</v>
      </c>
      <c r="D121" s="389">
        <f>56601+543996</f>
        <v>600597</v>
      </c>
      <c r="E121" s="390">
        <v>108800</v>
      </c>
      <c r="F121" s="427"/>
      <c r="G121" s="427"/>
      <c r="H121" s="427"/>
      <c r="I121" s="427"/>
      <c r="J121" s="427"/>
      <c r="K121" s="427"/>
      <c r="L121" s="427"/>
      <c r="M121" s="427"/>
      <c r="N121" s="427"/>
    </row>
    <row r="122" spans="1:14" x14ac:dyDescent="0.2">
      <c r="A122" s="387" t="s">
        <v>869</v>
      </c>
      <c r="B122" s="388"/>
      <c r="C122" s="351"/>
      <c r="D122" s="389">
        <f>1311617+8671098+12095832+8496900</f>
        <v>30575447</v>
      </c>
      <c r="E122" s="390">
        <f>963455+(2*4817277)+5183928</f>
        <v>15781937</v>
      </c>
      <c r="F122" s="427"/>
      <c r="G122" s="427"/>
      <c r="H122" s="427"/>
      <c r="I122" s="427"/>
      <c r="J122" s="427"/>
      <c r="K122" s="427"/>
      <c r="L122" s="427"/>
      <c r="M122" s="427"/>
      <c r="N122" s="427"/>
    </row>
    <row r="123" spans="1:14" ht="13.5" thickBot="1" x14ac:dyDescent="0.25">
      <c r="A123" s="615" t="s">
        <v>30</v>
      </c>
      <c r="B123" s="616"/>
      <c r="C123" s="617"/>
      <c r="D123" s="437">
        <f>SUM(D9:D122)</f>
        <v>578390540.94685042</v>
      </c>
      <c r="E123" s="438">
        <f>SUM(E9:E122)</f>
        <v>499438168</v>
      </c>
      <c r="F123" s="427"/>
      <c r="G123" s="427"/>
      <c r="H123" s="427"/>
      <c r="I123" s="427"/>
      <c r="J123" s="427"/>
      <c r="K123" s="427"/>
      <c r="L123" s="427"/>
      <c r="M123" s="427"/>
      <c r="N123" s="427"/>
    </row>
    <row r="124" spans="1:14" x14ac:dyDescent="0.2">
      <c r="F124" s="427"/>
      <c r="G124" s="427"/>
      <c r="H124" s="427"/>
      <c r="I124" s="427"/>
      <c r="J124" s="427"/>
      <c r="K124" s="427"/>
      <c r="L124" s="427"/>
      <c r="M124" s="427"/>
      <c r="N124" s="427"/>
    </row>
    <row r="125" spans="1:14" x14ac:dyDescent="0.2">
      <c r="F125" s="427"/>
      <c r="G125" s="427"/>
      <c r="H125" s="427"/>
      <c r="I125" s="427"/>
      <c r="J125" s="427"/>
      <c r="K125" s="427"/>
      <c r="L125" s="427"/>
      <c r="M125" s="427"/>
      <c r="N125" s="427"/>
    </row>
    <row r="126" spans="1:14" x14ac:dyDescent="0.2">
      <c r="F126" s="427"/>
      <c r="G126" s="427"/>
      <c r="H126" s="427"/>
      <c r="I126" s="427"/>
      <c r="J126" s="427"/>
      <c r="K126" s="427"/>
      <c r="L126" s="427"/>
      <c r="M126" s="427"/>
      <c r="N126" s="427"/>
    </row>
    <row r="129" spans="6:6" x14ac:dyDescent="0.2">
      <c r="F129" s="427"/>
    </row>
    <row r="130" spans="6:6" x14ac:dyDescent="0.2">
      <c r="F130" s="427"/>
    </row>
    <row r="131" spans="6:6" x14ac:dyDescent="0.2">
      <c r="F131" s="427"/>
    </row>
    <row r="132" spans="6:6" x14ac:dyDescent="0.2">
      <c r="F132" s="427"/>
    </row>
    <row r="133" spans="6:6" x14ac:dyDescent="0.2">
      <c r="F133" s="427"/>
    </row>
    <row r="134" spans="6:6" x14ac:dyDescent="0.2">
      <c r="F134" s="427"/>
    </row>
    <row r="135" spans="6:6" x14ac:dyDescent="0.2">
      <c r="F135" s="427"/>
    </row>
    <row r="136" spans="6:6" x14ac:dyDescent="0.2">
      <c r="F136" s="427"/>
    </row>
    <row r="137" spans="6:6" x14ac:dyDescent="0.2">
      <c r="F137" s="427"/>
    </row>
    <row r="138" spans="6:6" x14ac:dyDescent="0.2">
      <c r="F138" s="427"/>
    </row>
    <row r="139" spans="6:6" x14ac:dyDescent="0.2">
      <c r="F139" s="427"/>
    </row>
    <row r="140" spans="6:6" x14ac:dyDescent="0.2">
      <c r="F140" s="427"/>
    </row>
    <row r="141" spans="6:6" x14ac:dyDescent="0.2">
      <c r="F141" s="427"/>
    </row>
    <row r="142" spans="6:6" x14ac:dyDescent="0.2">
      <c r="F142" s="427"/>
    </row>
    <row r="143" spans="6:6" x14ac:dyDescent="0.2">
      <c r="F143" s="427"/>
    </row>
    <row r="144" spans="6:6" x14ac:dyDescent="0.2">
      <c r="F144" s="439"/>
    </row>
    <row r="145" spans="4:6" x14ac:dyDescent="0.2">
      <c r="D145" s="375"/>
      <c r="F145" s="427"/>
    </row>
    <row r="146" spans="4:6" x14ac:dyDescent="0.2">
      <c r="F146" s="427"/>
    </row>
    <row r="147" spans="4:6" x14ac:dyDescent="0.2">
      <c r="F147" s="427"/>
    </row>
    <row r="148" spans="4:6" x14ac:dyDescent="0.2">
      <c r="F148" s="427"/>
    </row>
    <row r="149" spans="4:6" x14ac:dyDescent="0.2">
      <c r="F149" s="427"/>
    </row>
    <row r="150" spans="4:6" x14ac:dyDescent="0.2">
      <c r="F150" s="427"/>
    </row>
    <row r="151" spans="4:6" x14ac:dyDescent="0.2">
      <c r="F151" s="427"/>
    </row>
    <row r="152" spans="4:6" x14ac:dyDescent="0.2">
      <c r="F152" s="427"/>
    </row>
    <row r="153" spans="4:6" x14ac:dyDescent="0.2">
      <c r="F153" s="427"/>
    </row>
    <row r="154" spans="4:6" x14ac:dyDescent="0.2">
      <c r="F154" s="427"/>
    </row>
    <row r="155" spans="4:6" x14ac:dyDescent="0.2">
      <c r="F155" s="427"/>
    </row>
    <row r="156" spans="4:6" x14ac:dyDescent="0.2">
      <c r="F156" s="427"/>
    </row>
    <row r="157" spans="4:6" x14ac:dyDescent="0.2">
      <c r="F157" s="427"/>
    </row>
    <row r="158" spans="4:6" x14ac:dyDescent="0.2">
      <c r="F158" s="427"/>
    </row>
  </sheetData>
  <mergeCells count="9">
    <mergeCell ref="A1:E1"/>
    <mergeCell ref="F84:I84"/>
    <mergeCell ref="A123:C123"/>
    <mergeCell ref="A3:E3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11</vt:i4>
      </vt:variant>
    </vt:vector>
  </HeadingPairs>
  <TitlesOfParts>
    <vt:vector size="26" baseType="lpstr">
      <vt:lpstr>1. m. bevételek 2018</vt:lpstr>
      <vt:lpstr>2. m. kiadások 2018</vt:lpstr>
      <vt:lpstr>2.a KÖH 2018</vt:lpstr>
      <vt:lpstr>3. m. létszám 2018</vt:lpstr>
      <vt:lpstr>4. melléklet 2018</vt:lpstr>
      <vt:lpstr>5.a melléklet-hitelek</vt:lpstr>
      <vt:lpstr>5.b melléklet-kezességv.</vt:lpstr>
      <vt:lpstr>5.c melléklet-szerződések-KÖH</vt:lpstr>
      <vt:lpstr>5.c melléklet-szerződések-Önk</vt:lpstr>
      <vt:lpstr>6. melléklet 2018</vt:lpstr>
      <vt:lpstr>7. melléklet 2018</vt:lpstr>
      <vt:lpstr>8. melléklet 2018</vt:lpstr>
      <vt:lpstr>8.a melléklet 2018</vt:lpstr>
      <vt:lpstr>9. melléklet 2018</vt:lpstr>
      <vt:lpstr>10. melléklet 2018</vt:lpstr>
      <vt:lpstr>'1. m. bevételek 2018'!Nyomtatási_cím</vt:lpstr>
      <vt:lpstr>'2. m. kiadások 2018'!Nyomtatási_cím</vt:lpstr>
      <vt:lpstr>'2.a KÖH 2018'!Nyomtatási_cím</vt:lpstr>
      <vt:lpstr>'5.c melléklet-szerződések-Önk'!Nyomtatási_cím</vt:lpstr>
      <vt:lpstr>'1. m. bevételek 2018'!Nyomtatási_terület</vt:lpstr>
      <vt:lpstr>'2. m. kiadások 2018'!Nyomtatási_terület</vt:lpstr>
      <vt:lpstr>'2.a KÖH 2018'!Nyomtatási_terület</vt:lpstr>
      <vt:lpstr>'5.b melléklet-kezességv.'!Nyomtatási_terület</vt:lpstr>
      <vt:lpstr>'5.c melléklet-szerződések-KÖH'!Nyomtatási_terület</vt:lpstr>
      <vt:lpstr>'5.c melléklet-szerződések-Önk'!Nyomtatási_terület</vt:lpstr>
      <vt:lpstr>'8. melléklet 2018'!Nyomtatási_terület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Gábor Viktória</cp:lastModifiedBy>
  <cp:lastPrinted>2018-03-01T12:25:58Z</cp:lastPrinted>
  <dcterms:created xsi:type="dcterms:W3CDTF">2009-01-15T09:14:34Z</dcterms:created>
  <dcterms:modified xsi:type="dcterms:W3CDTF">2018-03-05T15:01:39Z</dcterms:modified>
</cp:coreProperties>
</file>