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firstSheet="21" activeTab="24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KV 1 mell" sheetId="5" r:id="rId5"/>
    <sheet name="2 mell" sheetId="6" r:id="rId6"/>
    <sheet name="3. M " sheetId="7" r:id="rId7"/>
    <sheet name="4 mell" sheetId="8" r:id="rId8"/>
    <sheet name="5. M " sheetId="9" r:id="rId9"/>
    <sheet name="6. melléklet" sheetId="10" r:id="rId10"/>
    <sheet name="9 mell" sheetId="11" r:id="rId11"/>
    <sheet name="10.M  " sheetId="12" r:id="rId12"/>
    <sheet name="11.Mód" sheetId="13" r:id="rId13"/>
    <sheet name="12. melléklet" sheetId="14" r:id="rId14"/>
    <sheet name="13 melléklet (2)" sheetId="15" r:id="rId15"/>
    <sheet name="14módosítás" sheetId="16" r:id="rId16"/>
    <sheet name="16 műv ház" sheetId="17" r:id="rId17"/>
    <sheet name="15ovi" sheetId="18" r:id="rId18"/>
    <sheet name="17 PMH" sheetId="19" r:id="rId19"/>
    <sheet name="18VÜKI" sheetId="20" r:id="rId20"/>
    <sheet name="19 önkormányzat" sheetId="21" r:id="rId21"/>
    <sheet name="20KÖT FEL" sheetId="22" r:id="rId22"/>
    <sheet name="21 céltartalék" sheetId="23" r:id="rId23"/>
    <sheet name="21 kötelező feladat" sheetId="24" state="hidden" r:id="rId24"/>
    <sheet name="ÖNK ÖSSZESITŐ" sheetId="25" r:id="rId25"/>
    <sheet name="Munkalap27" sheetId="26" state="hidden" r:id="rId26"/>
  </sheets>
  <definedNames>
    <definedName name="Excel_BuiltIn__FilterDatabase" localSheetId="21">'20KÖT FEL'!$A$9:$E$9</definedName>
    <definedName name="Excel_BuiltIn__FilterDatabase" localSheetId="23">NA()</definedName>
    <definedName name="Excel_BuiltIn__FilterDatabase" localSheetId="9">'6. melléklet'!$A$12:$I$33</definedName>
    <definedName name="Excel_BuiltIn__FilterDatabase" localSheetId="24">'ÖNK ÖSSZESITŐ'!$A$50:$D$88</definedName>
    <definedName name="Excel_BuiltIn_Print_Area" localSheetId="17">'15ovi'!$A$1:$D$65</definedName>
    <definedName name="Excel_BuiltIn_Print_Area" localSheetId="16">'16 műv ház'!$A$1:$D$45</definedName>
    <definedName name="Excel_BuiltIn_Print_Area" localSheetId="18">'17 PMH'!$A$1:$D$47</definedName>
    <definedName name="Excel_BuiltIn_Print_Area" localSheetId="19">'18VÜKI'!$A$1:$D$89</definedName>
    <definedName name="Excel_BuiltIn_Print_Area" localSheetId="20">'19 önkormányzat'!$A$1:$F$165</definedName>
    <definedName name="Excel_BuiltIn_Print_Area" localSheetId="0">'2'!$A$1:$A$21</definedName>
    <definedName name="Excel_BuiltIn_Print_Area" localSheetId="21">'20KÖT FEL'!$A$1:$E$59</definedName>
    <definedName name="Excel_BuiltIn_Print_Area" localSheetId="8">'5. M '!$A$1:$E$269</definedName>
    <definedName name="Excel_BuiltIn_Print_Area" localSheetId="4">'KV 1 mell'!$A$1:$F$57</definedName>
    <definedName name="Excel_BuiltIn_Print_Area" localSheetId="24">'ÖNK ÖSSZESITŐ'!$A$1:$D$109</definedName>
    <definedName name="_xlnm.Print_Titles" localSheetId="20">'19 önkormányzat'!$37:$38</definedName>
    <definedName name="_xlnm.Print_Titles" localSheetId="23">'21 kötelező feladat'!$1:$3</definedName>
    <definedName name="_xlnm.Print_Titles" localSheetId="8">'5. M '!$5:$12</definedName>
    <definedName name="_xlnm.Print_Titles" localSheetId="24">'ÖNK ÖSSZESITŐ'!$50:$51</definedName>
    <definedName name="_xlnm.Print_Area" localSheetId="11">'10.M  '!$A$1:$F$23</definedName>
    <definedName name="_xlnm.Print_Area" localSheetId="12">'11.Mód'!$A$1:$N$35</definedName>
    <definedName name="_xlnm.Print_Area" localSheetId="1">'12'!$A$1:$B$11</definedName>
    <definedName name="_xlnm.Print_Area" localSheetId="13">'12. melléklet'!$A$1:$G$97</definedName>
    <definedName name="_xlnm.Print_Area" localSheetId="2">'14adóss'!$A$1:$G$30</definedName>
    <definedName name="_xlnm.Print_Area" localSheetId="3">'15 3éves'!$A$1:$E$55</definedName>
    <definedName name="_xlnm.Print_Area" localSheetId="17">'15ovi'!$A$1:$J$64</definedName>
    <definedName name="_xlnm.Print_Area" localSheetId="16">'16 műv ház'!$A$1:$J$44</definedName>
    <definedName name="_xlnm.Print_Area" localSheetId="18">'17 PMH'!$A$1:$J$46</definedName>
    <definedName name="_xlnm.Print_Area" localSheetId="19">'18VÜKI'!$A$1:$J$88</definedName>
    <definedName name="_xlnm.Print_Area" localSheetId="20">'19 önkormányzat'!$A$1:$J$165</definedName>
    <definedName name="_xlnm.Print_Area" localSheetId="0">'2'!$A$1:$D$21</definedName>
    <definedName name="_xlnm.Print_Area" localSheetId="5">'2 mell'!$A$1:$J$49</definedName>
    <definedName name="_xlnm.Print_Area" localSheetId="21">'20KÖT FEL'!$A$1:$U$59</definedName>
    <definedName name="_xlnm.Print_Area" localSheetId="23">'21 kötelező feladat'!$A$1:$E$23</definedName>
    <definedName name="_xlnm.Print_Area" localSheetId="6">'3. M '!$A$1:$J$48</definedName>
    <definedName name="_xlnm.Print_Area" localSheetId="7">'4 mell'!$A$1:$I$80</definedName>
    <definedName name="_xlnm.Print_Area" localSheetId="8">'5. M '!$A$1:$I$273</definedName>
    <definedName name="_xlnm.Print_Area" localSheetId="9">'6. melléklet'!$A$1:$I$75</definedName>
    <definedName name="_xlnm.Print_Area" localSheetId="10">'9 mell'!$A$1:$P$33</definedName>
    <definedName name="_xlnm.Print_Area" localSheetId="4">'KV 1 mell'!$A$1:$J$67</definedName>
    <definedName name="_xlnm.Print_Area" localSheetId="24">'ÖNK ÖSSZESITŐ'!$A$1:$J$106</definedName>
  </definedNames>
  <calcPr fullCalcOnLoad="1"/>
</workbook>
</file>

<file path=xl/sharedStrings.xml><?xml version="1.0" encoding="utf-8"?>
<sst xmlns="http://schemas.openxmlformats.org/spreadsheetml/2006/main" count="3466" uniqueCount="1355">
  <si>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</si>
  <si>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</si>
  <si>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</si>
  <si>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</si>
  <si>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</si>
  <si>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</si>
  <si>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</si>
  <si>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</si>
  <si>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</si>
  <si>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</si>
  <si>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</si>
  <si>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</si>
  <si>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</si>
  <si>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</si>
  <si>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</si>
  <si>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</si>
  <si>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</si>
  <si>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</si>
  <si>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</si>
  <si>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</si>
  <si>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</si>
  <si>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</si>
  <si>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</si>
  <si>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</si>
  <si>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</si>
  <si>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</si>
  <si>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</si>
  <si>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</si>
  <si>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</si>
  <si>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</si>
  <si>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</si>
  <si>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</si>
  <si>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</si>
  <si>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</si>
  <si>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</si>
  <si>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</si>
  <si>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</si>
  <si>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</si>
  <si>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</si>
  <si>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</si>
  <si>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</si>
  <si>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</si>
  <si>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</si>
  <si>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</si>
  <si>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</si>
  <si>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</si>
  <si>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</si>
  <si>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</si>
  <si>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</si>
  <si>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</si>
  <si>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</si>
  <si>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</si>
  <si>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</si>
  <si>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</si>
  <si>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</si>
  <si>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</si>
  <si>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</si>
  <si>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</si>
  <si>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</si>
  <si>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</si>
  <si>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</si>
  <si>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</si>
  <si>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</si>
  <si>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</si>
  <si>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</si>
  <si>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</si>
  <si>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</si>
  <si>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</si>
  <si>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</si>
  <si>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</si>
  <si>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</si>
  <si>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</si>
  <si>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</si>
  <si>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</si>
  <si>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</si>
  <si>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</si>
  <si>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</si>
  <si>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</si>
  <si>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</si>
  <si>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</si>
  <si>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</si>
  <si>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</si>
  <si>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</si>
  <si>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</si>
  <si>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</si>
  <si>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</si>
  <si>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</si>
  <si>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</si>
  <si>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</si>
  <si>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</si>
  <si>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</si>
  <si>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</si>
  <si>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</si>
  <si>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</si>
  <si>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</si>
  <si>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</si>
  <si>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</si>
  <si>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</si>
  <si>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</si>
  <si>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</si>
  <si>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</si>
  <si>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</si>
  <si>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</si>
  <si>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</si>
  <si>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</si>
  <si>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</si>
  <si>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</si>
  <si>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</si>
  <si>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</si>
  <si>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</si>
  <si>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</si>
  <si>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</si>
  <si>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</si>
  <si>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</si>
  <si>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</si>
  <si>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</si>
  <si>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</si>
  <si>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</si>
  <si>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</si>
  <si>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</si>
  <si>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</si>
  <si>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</si>
  <si>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</si>
  <si>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</si>
  <si>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</si>
  <si>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</si>
  <si>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</si>
  <si>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</si>
  <si>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</si>
  <si>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</si>
  <si>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</si>
  <si>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</si>
  <si>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</si>
  <si>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</si>
  <si>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</si>
  <si>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</si>
  <si>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</si>
  <si>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</si>
  <si>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</si>
  <si>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</si>
  <si>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</si>
  <si>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</si>
  <si>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</si>
  <si>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</si>
  <si>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</si>
  <si>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</si>
  <si>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</si>
  <si>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</si>
  <si>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</si>
  <si>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</si>
  <si>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</si>
  <si>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</si>
  <si>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</si>
  <si>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</si>
  <si>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</si>
  <si>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ezer Ft-ban</t>
  </si>
  <si>
    <t>Sor szám</t>
  </si>
  <si>
    <t>Bevételek</t>
  </si>
  <si>
    <t>2015. évi előirányzat</t>
  </si>
  <si>
    <t>2016. évi előirányzat</t>
  </si>
  <si>
    <t>2015. évi %-ában</t>
  </si>
  <si>
    <t xml:space="preserve">Módosított I. </t>
  </si>
  <si>
    <t>Módosított II.</t>
  </si>
  <si>
    <t>A</t>
  </si>
  <si>
    <t>B</t>
  </si>
  <si>
    <t>C</t>
  </si>
  <si>
    <t>D</t>
  </si>
  <si>
    <t>E</t>
  </si>
  <si>
    <t>F</t>
  </si>
  <si>
    <t>I.</t>
  </si>
  <si>
    <t>Intézményi működéssel kapcsolatos bevételek</t>
  </si>
  <si>
    <t>Általános forgalmi adó</t>
  </si>
  <si>
    <t>Kamat bevételek</t>
  </si>
  <si>
    <t>II.</t>
  </si>
  <si>
    <t>Önkormányzat sajátos működési bevételei</t>
  </si>
  <si>
    <t>Egyéb sajátos bevétel</t>
  </si>
  <si>
    <t>Bírság, pótlék</t>
  </si>
  <si>
    <t>III.</t>
  </si>
  <si>
    <t>Működési támogatások</t>
  </si>
  <si>
    <t>IV.</t>
  </si>
  <si>
    <t>V.</t>
  </si>
  <si>
    <t>Felhalmozási célú átvett pénzeszköz</t>
  </si>
  <si>
    <t>VI.</t>
  </si>
  <si>
    <t>Kölcsön törlesztés</t>
  </si>
  <si>
    <t>VII.</t>
  </si>
  <si>
    <t>Önkormányzat felhalmozási költségvetési támogatása</t>
  </si>
  <si>
    <t>VIII.</t>
  </si>
  <si>
    <t>Támogatásértékű bevételek</t>
  </si>
  <si>
    <t>Működési célú pénzeszköz átvétel</t>
  </si>
  <si>
    <t>Működési célú pénzeszköz á.v. ÁH-on kív.</t>
  </si>
  <si>
    <t>Költségvetési bevételek összesen</t>
  </si>
  <si>
    <t>IX.</t>
  </si>
  <si>
    <t>Finanszírozási bevételek</t>
  </si>
  <si>
    <t>Felhalmozási célú hitel felvétel</t>
  </si>
  <si>
    <t>Államháztartáson belüli megelőlegezés</t>
  </si>
  <si>
    <t>Lekötött bankbetétek</t>
  </si>
  <si>
    <t>X.</t>
  </si>
  <si>
    <t xml:space="preserve"> Költségvetési maradvány</t>
  </si>
  <si>
    <t>Ebből felhalmozási célú</t>
  </si>
  <si>
    <t xml:space="preserve">         működési célú</t>
  </si>
  <si>
    <t>BEVÉTELEK ÖSSZESEN</t>
  </si>
  <si>
    <t>Módosított I.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</si>
  <si>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</si>
  <si>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</si>
  <si>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</si>
  <si>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</si>
  <si>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</si>
  <si>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 xml:space="preserve">           Működési célú támogatás</t>
  </si>
  <si>
    <t xml:space="preserve">           Szociális juttatás, ellátottak juttatása</t>
  </si>
  <si>
    <t>Elvonások befizetések</t>
  </si>
  <si>
    <t>Költségvetési kiadások</t>
  </si>
  <si>
    <t>Felhalmozási célú pénzeszköz átadás</t>
  </si>
  <si>
    <t>48.</t>
  </si>
  <si>
    <t>Államháztartáson belüli megelőlegezés visszafizetése</t>
  </si>
  <si>
    <t>49.</t>
  </si>
  <si>
    <t>50.</t>
  </si>
  <si>
    <t>Hiteltörlesztés, hitelkiváltás</t>
  </si>
  <si>
    <t>51.</t>
  </si>
  <si>
    <t>Finanszírozási kiadások</t>
  </si>
  <si>
    <t>52.</t>
  </si>
  <si>
    <t>KIADÁSOK ÖSSZESEN</t>
  </si>
  <si>
    <t xml:space="preserve">2.melléklet </t>
  </si>
  <si>
    <t xml:space="preserve">                                                                                                                                                                 </t>
  </si>
  <si>
    <t>MEGNEVEZÉS</t>
  </si>
  <si>
    <t>Előirányzat változás</t>
  </si>
  <si>
    <t xml:space="preserve">E </t>
  </si>
  <si>
    <t>G</t>
  </si>
  <si>
    <t>Intézményi működési bevételek</t>
  </si>
  <si>
    <t>Önkormányzat sajátos működési bevételei (helyi és átengedett adók)</t>
  </si>
  <si>
    <t>Költségvetési támogatás</t>
  </si>
  <si>
    <t>Előző évi költségvetési maradvány</t>
  </si>
  <si>
    <t>Kölcsön  törlesztés</t>
  </si>
  <si>
    <t>Működési bevételek összesen</t>
  </si>
  <si>
    <t>Munkaadói járulék</t>
  </si>
  <si>
    <t>Dologi és egyéb folyó kiadások</t>
  </si>
  <si>
    <t>Támogatásértékű kiadás</t>
  </si>
  <si>
    <t>Működési célú pénzeszköz átadás ÁH-on kiv.</t>
  </si>
  <si>
    <t>Szociális juttatások</t>
  </si>
  <si>
    <t>Elvonások, befizetések</t>
  </si>
  <si>
    <t>Működési kiadások összesen</t>
  </si>
  <si>
    <t>Finanszírozási bevétel</t>
  </si>
  <si>
    <t>Államháztartáson belüli megelőlegezés visszafizetés</t>
  </si>
  <si>
    <t>Lekötött bankbetétek megszüntetése</t>
  </si>
  <si>
    <t>Hiteltörlesztés</t>
  </si>
  <si>
    <t>Kommunális adó</t>
  </si>
  <si>
    <t>Felhalmozási célú hitel felvétele</t>
  </si>
  <si>
    <t xml:space="preserve">Önkormányzati lakásértékesítés </t>
  </si>
  <si>
    <t>Felhalmozási pénzmaradvány</t>
  </si>
  <si>
    <t>Felhalmozási bevételek összesen</t>
  </si>
  <si>
    <t>Felújítás, beruházás</t>
  </si>
  <si>
    <t>Felhalmozási kiadások összesen</t>
  </si>
  <si>
    <t xml:space="preserve"> BEVÉTELEK ÖSSZESEN</t>
  </si>
  <si>
    <t>KÖLTSÉGVETÉSI KIADÁSOK ÖSSZESEN</t>
  </si>
  <si>
    <t xml:space="preserve">3.melléklet </t>
  </si>
  <si>
    <t>Herend Város Önkormányzat 2016. évi bevételi előirányzatai forrásonként</t>
  </si>
  <si>
    <t>Előirányzat változás %</t>
  </si>
  <si>
    <t>Átengedett közponit adók</t>
  </si>
  <si>
    <t>Önkormányzatok sajátos működési bevételei összesen</t>
  </si>
  <si>
    <t>Normatív támogatások</t>
  </si>
  <si>
    <t>Normatív kötött támogatások</t>
  </si>
  <si>
    <t>Központosított támogatások</t>
  </si>
  <si>
    <t>Egyéb központi támogatás</t>
  </si>
  <si>
    <t>Támogatások összesen</t>
  </si>
  <si>
    <t>Tárgyi eszközök , immateriális javak értékesítése</t>
  </si>
  <si>
    <t>Felhalmozási célú pénzeszköz átvétele</t>
  </si>
  <si>
    <t>Felhalmozási költségvetési maradvány</t>
  </si>
  <si>
    <t>OEP finanszírozás egészségügy működtetésre</t>
  </si>
  <si>
    <t>Elkülönített állami pénzalaptól pénzeszköz átvétel</t>
  </si>
  <si>
    <t>Önkormányzati költségvetési szervtől</t>
  </si>
  <si>
    <t>Központi költségvetési szervtől</t>
  </si>
  <si>
    <t>Előző évi költségvetési elszámolás</t>
  </si>
  <si>
    <t>Működési célú pénzeszköz átvétel Áh-on kiv.</t>
  </si>
  <si>
    <t>Véglegesen átvett pénzeszköz összesen</t>
  </si>
  <si>
    <t>Lekötött bankbetét</t>
  </si>
  <si>
    <t>Költségvetési maradvány</t>
  </si>
  <si>
    <t>XI.</t>
  </si>
  <si>
    <t>Felhalmozási célú hitel</t>
  </si>
  <si>
    <t xml:space="preserve">4.melléklet </t>
  </si>
  <si>
    <t>Herend Város Önkormányzat önállóan működő intézményei bevétele</t>
  </si>
  <si>
    <t>Önkormányzat</t>
  </si>
  <si>
    <t xml:space="preserve">2015.évi előirányzat   </t>
  </si>
  <si>
    <t>Működési bevétel</t>
  </si>
  <si>
    <t>Lakóingatlan bérbeadás</t>
  </si>
  <si>
    <t>Nem lakóingatlan bérbeadás</t>
  </si>
  <si>
    <t>Sportlétesítmény bérbeadás</t>
  </si>
  <si>
    <t>Állategészségügyi ellátás</t>
  </si>
  <si>
    <t>Temetőfenntartás</t>
  </si>
  <si>
    <t>Adóbevételek, és pótlék bírság bevétel</t>
  </si>
  <si>
    <t>ebből Polgármesteri Hivatal támogatása</t>
  </si>
  <si>
    <t xml:space="preserve">    Óvoda és bölcsőde működtetésre</t>
  </si>
  <si>
    <t xml:space="preserve">    Családsegítő szolgálat támogatása</t>
  </si>
  <si>
    <t xml:space="preserve">     Intézményi étkeztetés támogatás</t>
  </si>
  <si>
    <t xml:space="preserve">     Önkormányzati feladatok támogatása</t>
  </si>
  <si>
    <t>Kötött támogatások és egyéb támogatások</t>
  </si>
  <si>
    <t>ebből Művelődési ház támogatása</t>
  </si>
  <si>
    <t>Működéscélú péneszközátvétel  államháztartáson kívülről</t>
  </si>
  <si>
    <t xml:space="preserve">OEP finanszírozás </t>
  </si>
  <si>
    <t>Kamatbevétel</t>
  </si>
  <si>
    <t>Ingatlan,immateriális javak, tárgyi eszk. Értékesítés</t>
  </si>
  <si>
    <t>Értékesített telkek közmű hj</t>
  </si>
  <si>
    <t>Átvett pénzeszközök felhalmozásra</t>
  </si>
  <si>
    <t>Felhalmozási célú támogatások</t>
  </si>
  <si>
    <t>Felhalmozási célú hitelfelvétel</t>
  </si>
  <si>
    <t>Kölcsön visszatérülés, igénybe vétel</t>
  </si>
  <si>
    <t>Önkormányzat összesen</t>
  </si>
  <si>
    <t>Polgármesteri Hivatal</t>
  </si>
  <si>
    <t>Működési célú támogatások (választás)</t>
  </si>
  <si>
    <t>Hivatali működés támogatása elismert létszám alapján</t>
  </si>
  <si>
    <t>Herend önk.támogatása</t>
  </si>
  <si>
    <t>Polgármesteri Hivatal összesen</t>
  </si>
  <si>
    <t>Herendi Hétszínvilág Óvoda és Bölcsőde</t>
  </si>
  <si>
    <t>Óvodai intézményi ellátási díj bevétel</t>
  </si>
  <si>
    <t>Bölcsődei intézményi ellátási díj bevétel</t>
  </si>
  <si>
    <t>Óvodai alkalmazottak étkezés térítése</t>
  </si>
  <si>
    <t>ÁFA bevételek</t>
  </si>
  <si>
    <t xml:space="preserve">Óvoda működési bevétele </t>
  </si>
  <si>
    <t>Működési célú átvett pénzeszköz</t>
  </si>
  <si>
    <t xml:space="preserve">Költségvetési támogatás </t>
  </si>
  <si>
    <t>Támogatás, átvett pénzeszközök összesen</t>
  </si>
  <si>
    <t>Óvoda bevétele összesen</t>
  </si>
  <si>
    <t>Művelődési Ház és Könyvtár</t>
  </si>
  <si>
    <t>Helyiségek bérbeadása</t>
  </si>
  <si>
    <t>Művelődési ház bevétele összesen</t>
  </si>
  <si>
    <t>Herendi Városüzemeltetési Közszolgáltató Intézmény</t>
  </si>
  <si>
    <t>Egyéb működési célú támogatás</t>
  </si>
  <si>
    <t>Herendi Városüzemeltetési Közszolgáltató Intézmény bevétele összesen</t>
  </si>
  <si>
    <t>ÖNKORMÁNYZAT ÖSSZESEN</t>
  </si>
  <si>
    <t xml:space="preserve">5.melléklet </t>
  </si>
  <si>
    <t>Herend Város Önkormányzat és költségvetési szervei 2016. évi működési és felhalmozási  kiadási előirányzatai  kormányzati funkciónként</t>
  </si>
  <si>
    <t>Szakfeladat</t>
  </si>
  <si>
    <t>2016. Engedélyezett létszám</t>
  </si>
  <si>
    <t>2016.évi előirányzat</t>
  </si>
  <si>
    <t>ÖNKORMÁNYZATI FELADATOK</t>
  </si>
  <si>
    <t>Televízió-műsor szolg. És tám.</t>
  </si>
  <si>
    <t>Ebből: Dologi kiadás</t>
  </si>
  <si>
    <t>Lakóingatlan hasznosítás</t>
  </si>
  <si>
    <t xml:space="preserve">          Felhalmozási kiadás</t>
  </si>
  <si>
    <t>Önkormányzati vagyonnal való gazd.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</si>
  <si>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</si>
  <si>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</si>
  <si>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</si>
  <si>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</si>
  <si>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</si>
  <si>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</si>
  <si>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</si>
  <si>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</si>
  <si>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Iskola eü.Egyéb egészségügyi ellátás</t>
  </si>
  <si>
    <t>Máshova nem sorolt tevékenység</t>
  </si>
  <si>
    <t>Pénzeszköz átadás társulásnak</t>
  </si>
  <si>
    <t>Nonprofit szervezetek támogatása</t>
  </si>
  <si>
    <t>Közvetett támogatások</t>
  </si>
  <si>
    <t>Önkormányzat által folyósított ellátások</t>
  </si>
  <si>
    <t>Köztemetés , és dologi</t>
  </si>
  <si>
    <t>Rendszeres szociális segély</t>
  </si>
  <si>
    <t>Lakásfenntartási támogatás</t>
  </si>
  <si>
    <t>Települési támogatások</t>
  </si>
  <si>
    <t>- önkormányzati segély</t>
  </si>
  <si>
    <t>- lakhatáshoz kapcsolódó támogatás</t>
  </si>
  <si>
    <t>- Gyógyszerkiadásokhoz kapcsolódó támogatás</t>
  </si>
  <si>
    <t>- temetési kiadásokhoz kapcsolódó támogatás</t>
  </si>
  <si>
    <t>- Rendkívüli települési támogatás</t>
  </si>
  <si>
    <t>Átmeneti segély</t>
  </si>
  <si>
    <t>Természetben nyújtott átmeneti</t>
  </si>
  <si>
    <t>Temetési segély</t>
  </si>
  <si>
    <t>Rendkivüli gyermekvédelmi támogatás</t>
  </si>
  <si>
    <t>Foglalkozás helyettesítő támogatás</t>
  </si>
  <si>
    <t>Egyéb pénzbeli ellátás</t>
  </si>
  <si>
    <t>Közgyógy ellátás</t>
  </si>
  <si>
    <t>Önkormányzati ig tevékenység</t>
  </si>
  <si>
    <t>53.</t>
  </si>
  <si>
    <t>54.</t>
  </si>
  <si>
    <t>55.</t>
  </si>
  <si>
    <t xml:space="preserve">          Tartalékok</t>
  </si>
  <si>
    <t>56.</t>
  </si>
  <si>
    <t>Beruházás</t>
  </si>
  <si>
    <t>57.</t>
  </si>
  <si>
    <t>Egyéb műkődési célú kiadások</t>
  </si>
  <si>
    <t>58.</t>
  </si>
  <si>
    <t>59.</t>
  </si>
  <si>
    <t>60.</t>
  </si>
  <si>
    <t>61.</t>
  </si>
  <si>
    <t>Elvonások,befizetések</t>
  </si>
  <si>
    <t>62.</t>
  </si>
  <si>
    <t>Önkormányzatok elszámolásai</t>
  </si>
  <si>
    <t>63.</t>
  </si>
  <si>
    <t>64.</t>
  </si>
  <si>
    <t>Közfoglalkoztatás hosszabb időtartamban</t>
  </si>
  <si>
    <t>65.</t>
  </si>
  <si>
    <t>66.</t>
  </si>
  <si>
    <t>67.</t>
  </si>
  <si>
    <t>68.</t>
  </si>
  <si>
    <t>Város és község gazdálkodás</t>
  </si>
  <si>
    <t>69.</t>
  </si>
  <si>
    <t>70.</t>
  </si>
  <si>
    <t>71.</t>
  </si>
  <si>
    <t>Téli közfoglalkoztatás</t>
  </si>
  <si>
    <t>72.</t>
  </si>
  <si>
    <t>73.</t>
  </si>
  <si>
    <t>74.</t>
  </si>
  <si>
    <t>75.</t>
  </si>
  <si>
    <t>76.</t>
  </si>
  <si>
    <t xml:space="preserve">        Intézményfinanszírozás</t>
  </si>
  <si>
    <t>77.</t>
  </si>
  <si>
    <t>78.</t>
  </si>
  <si>
    <t>79.</t>
  </si>
  <si>
    <t>80.</t>
  </si>
  <si>
    <t>81.</t>
  </si>
  <si>
    <t>82.</t>
  </si>
  <si>
    <t xml:space="preserve">         Önkormányzat által folyósított ellátások</t>
  </si>
  <si>
    <t>83.</t>
  </si>
  <si>
    <t xml:space="preserve">         Felhalmozási kiadás</t>
  </si>
  <si>
    <t>84.</t>
  </si>
  <si>
    <t xml:space="preserve">         Finanszírozási műveletek</t>
  </si>
  <si>
    <t>85.</t>
  </si>
  <si>
    <t>86.</t>
  </si>
  <si>
    <t>87.</t>
  </si>
  <si>
    <t>88.</t>
  </si>
  <si>
    <t>89.</t>
  </si>
  <si>
    <t>90.</t>
  </si>
  <si>
    <t>Működési célú visszatérítendő kölcsön</t>
  </si>
  <si>
    <t>91.</t>
  </si>
  <si>
    <t>POLGÁRMESTERI HIVATAL</t>
  </si>
  <si>
    <t>92.</t>
  </si>
  <si>
    <t>93.</t>
  </si>
  <si>
    <t>94.</t>
  </si>
  <si>
    <t>95.</t>
  </si>
  <si>
    <t>96.</t>
  </si>
  <si>
    <t>97.</t>
  </si>
  <si>
    <t>98.</t>
  </si>
  <si>
    <t>Adó, vám és jővedéki igazgatás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</si>
  <si>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</si>
  <si>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</si>
  <si>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</si>
  <si>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</si>
  <si>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</si>
  <si>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</si>
  <si>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</si>
  <si>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</si>
  <si>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</si>
  <si>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</si>
  <si>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HÉTSZÍNVILÁG ÓVODA ÉS BÖLCSŐDE</t>
  </si>
  <si>
    <t>Óvodai intézményi étkeztetés</t>
  </si>
  <si>
    <t>109.</t>
  </si>
  <si>
    <t>110.</t>
  </si>
  <si>
    <t>111.</t>
  </si>
  <si>
    <t>112.</t>
  </si>
  <si>
    <t>Étkeztetés a bölcsödében</t>
  </si>
  <si>
    <t>113.</t>
  </si>
  <si>
    <t>114.</t>
  </si>
  <si>
    <t>115.</t>
  </si>
  <si>
    <t>116.</t>
  </si>
  <si>
    <t>Óvodai nevelés, iskola előkészítés</t>
  </si>
  <si>
    <t>117.</t>
  </si>
  <si>
    <t>118.</t>
  </si>
  <si>
    <t>119.</t>
  </si>
  <si>
    <t>120.</t>
  </si>
  <si>
    <t>121.</t>
  </si>
  <si>
    <t>Sajátos nev.</t>
  </si>
  <si>
    <t>122.</t>
  </si>
  <si>
    <t>123.</t>
  </si>
  <si>
    <t>124.</t>
  </si>
  <si>
    <t>125.</t>
  </si>
  <si>
    <t>Nemzetiségi óvodai nevelés</t>
  </si>
  <si>
    <t>126.</t>
  </si>
  <si>
    <t>127.</t>
  </si>
  <si>
    <t>128.</t>
  </si>
  <si>
    <t>129.</t>
  </si>
  <si>
    <t>Bölcsődei ellátás</t>
  </si>
  <si>
    <t>130.</t>
  </si>
  <si>
    <t>131.</t>
  </si>
  <si>
    <t>132.</t>
  </si>
  <si>
    <t>133.</t>
  </si>
  <si>
    <t>134.</t>
  </si>
  <si>
    <t>Óvodai ellátás működtetés</t>
  </si>
  <si>
    <t>135.</t>
  </si>
  <si>
    <t>136.</t>
  </si>
  <si>
    <t xml:space="preserve">           Járulékok</t>
  </si>
  <si>
    <t>137.</t>
  </si>
  <si>
    <t xml:space="preserve">           Dologi</t>
  </si>
  <si>
    <t>138.</t>
  </si>
  <si>
    <t>139.</t>
  </si>
  <si>
    <t>Óvodai nevelés összesen</t>
  </si>
  <si>
    <t>140.</t>
  </si>
  <si>
    <t>141.</t>
  </si>
  <si>
    <t>142.</t>
  </si>
  <si>
    <t>143.</t>
  </si>
  <si>
    <t>144.</t>
  </si>
  <si>
    <t>145.</t>
  </si>
  <si>
    <t>MŰVELŐDÉSI HÁZ ÉS KÖNYVTÁR</t>
  </si>
  <si>
    <t>146.</t>
  </si>
  <si>
    <t>Közművelődési intézmény működtetése</t>
  </si>
  <si>
    <t>147.</t>
  </si>
  <si>
    <t>148.</t>
  </si>
  <si>
    <t>149.</t>
  </si>
  <si>
    <t>150.</t>
  </si>
  <si>
    <t>151.</t>
  </si>
  <si>
    <t>Könyvtár</t>
  </si>
  <si>
    <t>152.</t>
  </si>
  <si>
    <t>153.</t>
  </si>
  <si>
    <t>154.</t>
  </si>
  <si>
    <t>155.</t>
  </si>
  <si>
    <t>Művelődési ház és könyvtár összesen</t>
  </si>
  <si>
    <t>156.</t>
  </si>
  <si>
    <t>157.</t>
  </si>
  <si>
    <t>158.</t>
  </si>
  <si>
    <t>159.</t>
  </si>
  <si>
    <t>160.</t>
  </si>
  <si>
    <t>161.</t>
  </si>
  <si>
    <t>Gyermekétkeztetés köznevelési intézményben</t>
  </si>
  <si>
    <t>162.</t>
  </si>
  <si>
    <t>163.</t>
  </si>
  <si>
    <t>164.</t>
  </si>
  <si>
    <t>165.</t>
  </si>
  <si>
    <t>Munkahelyi étkezés köznevelési intézményben</t>
  </si>
  <si>
    <t>166.</t>
  </si>
  <si>
    <t>167.</t>
  </si>
  <si>
    <t>168.</t>
  </si>
  <si>
    <t>169.</t>
  </si>
  <si>
    <t>Intézményen kívüli gyermekétkeztetés</t>
  </si>
  <si>
    <t>170.</t>
  </si>
  <si>
    <t>171.</t>
  </si>
  <si>
    <t>172.</t>
  </si>
  <si>
    <t>173.</t>
  </si>
  <si>
    <t>174.</t>
  </si>
  <si>
    <t>Közutak,hidak üzemeltetése</t>
  </si>
  <si>
    <t>175.</t>
  </si>
  <si>
    <t>176.</t>
  </si>
  <si>
    <t>177.</t>
  </si>
  <si>
    <t>Köztemető fenntartás</t>
  </si>
  <si>
    <t>178.</t>
  </si>
  <si>
    <t>179.</t>
  </si>
  <si>
    <t>180.</t>
  </si>
  <si>
    <t>181.</t>
  </si>
  <si>
    <t>182.</t>
  </si>
  <si>
    <t>183.</t>
  </si>
  <si>
    <t>184.</t>
  </si>
  <si>
    <t>Sportlétesítmények fenntartása</t>
  </si>
  <si>
    <t>185.</t>
  </si>
  <si>
    <t>186.</t>
  </si>
  <si>
    <t>187.</t>
  </si>
  <si>
    <t>188.</t>
  </si>
  <si>
    <t>Állategészségügy</t>
  </si>
  <si>
    <t>189.</t>
  </si>
  <si>
    <t>190.</t>
  </si>
  <si>
    <t>191.</t>
  </si>
  <si>
    <t>192.</t>
  </si>
  <si>
    <t>193.</t>
  </si>
  <si>
    <t>194.</t>
  </si>
  <si>
    <t xml:space="preserve">           beruházás</t>
  </si>
  <si>
    <t>195.</t>
  </si>
  <si>
    <t>Zöldterület fenntartása</t>
  </si>
  <si>
    <t>196.</t>
  </si>
  <si>
    <t>197.</t>
  </si>
  <si>
    <t>198.</t>
  </si>
  <si>
    <t>199.</t>
  </si>
  <si>
    <t>200.</t>
  </si>
  <si>
    <t>201.</t>
  </si>
  <si>
    <t xml:space="preserve">           Beruházás</t>
  </si>
  <si>
    <t>202.</t>
  </si>
  <si>
    <t>203.</t>
  </si>
  <si>
    <t>204.</t>
  </si>
  <si>
    <t>205.</t>
  </si>
  <si>
    <t>206.</t>
  </si>
  <si>
    <t>207.</t>
  </si>
  <si>
    <t>ÖNKORMÁNYZAT ÉS INTÉZMÉNYEI ÖSSZESEN</t>
  </si>
  <si>
    <t>208.</t>
  </si>
  <si>
    <t>209.</t>
  </si>
  <si>
    <t>210.</t>
  </si>
  <si>
    <t>211.</t>
  </si>
  <si>
    <t xml:space="preserve">          Működési célú pénzeszköz             átadás</t>
  </si>
  <si>
    <t>212.</t>
  </si>
  <si>
    <t xml:space="preserve">          Önkormányzat által folyósított ellátások</t>
  </si>
  <si>
    <t>213.</t>
  </si>
  <si>
    <t>214.</t>
  </si>
  <si>
    <t xml:space="preserve">          Finanszírozási kiadások</t>
  </si>
  <si>
    <t>215.</t>
  </si>
  <si>
    <t xml:space="preserve">          Tartalék</t>
  </si>
  <si>
    <t>216.</t>
  </si>
  <si>
    <t>217.</t>
  </si>
  <si>
    <t>218.</t>
  </si>
  <si>
    <t>219.</t>
  </si>
  <si>
    <t xml:space="preserve">6.melléklet </t>
  </si>
  <si>
    <t>Herend Város Önkormányzat 2016.évi felhalmozási kiadások előirányzata feladatonként</t>
  </si>
  <si>
    <t>Beruházás megnevezés</t>
  </si>
  <si>
    <t>2016. évi módosított I.</t>
  </si>
  <si>
    <t>2016. évi módosított II.</t>
  </si>
  <si>
    <t xml:space="preserve">A </t>
  </si>
  <si>
    <t>Felújítás</t>
  </si>
  <si>
    <t>Művelődési ház szennyvízelvezető r. és vészkijárat felújítás</t>
  </si>
  <si>
    <t>Polgármesteri Hivatal épület lábazatának mészkő burkolása</t>
  </si>
  <si>
    <t>Iskola tornacsarnok terasz szigetelés</t>
  </si>
  <si>
    <t>Herendi Művelődési ház villamos főelosztó kiépítése, energiaellátás szabványosítása</t>
  </si>
  <si>
    <t>Herendi Hétszínvilág Óvoda és Bölcsőde villamos főelosztó kiépítése, szabványosítás</t>
  </si>
  <si>
    <t>Polgármesteri Hiv. gép, berendezés</t>
  </si>
  <si>
    <t>Herendi Hétszínvilág Óvoda és Bölcsőde inf. Gép beszerzés</t>
  </si>
  <si>
    <t>Herendi Hétszínvilág Óvoda és bölcsőde egyéb gép vásárlás</t>
  </si>
  <si>
    <t>Herend 795/29 hrsz.-ú lakóutca vízellátása és szennyvízelvezetése</t>
  </si>
  <si>
    <t>Kossuth utcai ivóvízvezeték cserére</t>
  </si>
  <si>
    <t>Egyéb gép, berendezés iskola</t>
  </si>
  <si>
    <t>Egyéb gép, berendezés városüzemeltetés</t>
  </si>
  <si>
    <t>Herendi Hétszínvilág Óvoda és Bölcsőde épületének tető cseréje</t>
  </si>
  <si>
    <t>Önkormányzat egyéb , géb berendezés (ajtó, számítógép)</t>
  </si>
  <si>
    <t>Eon Kossuth utca villanyoszlop csere</t>
  </si>
  <si>
    <t>CGR program f</t>
  </si>
  <si>
    <t>7.melléklet</t>
  </si>
  <si>
    <t xml:space="preserve">Herend Város Önkormányzat 2016. évi pénzeszköz átadásainak és egyéb támogatásainak előirányzata 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</si>
  <si>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</si>
  <si>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</si>
  <si>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</si>
  <si>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</si>
  <si>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</si>
  <si>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Német Nemzetiségi önkormányzatnak átadás</t>
  </si>
  <si>
    <t>Kisebbség rezsi</t>
  </si>
  <si>
    <t>Rendőrség rezsi</t>
  </si>
  <si>
    <t>Fogorvos rezsi</t>
  </si>
  <si>
    <t>8.melléklet</t>
  </si>
  <si>
    <t>Herend Város Önkormányzat  2016.évre tervezett közvetett támogatásai</t>
  </si>
  <si>
    <t>2015. évi</t>
  </si>
  <si>
    <t xml:space="preserve">2016 .évi </t>
  </si>
  <si>
    <t>Kossuth u. 45. helyi önszerveződő közösségek részére helyiség biztosítása</t>
  </si>
  <si>
    <t>Talajterhelési díj szociális alapon történő mérséklése</t>
  </si>
  <si>
    <t>9.melléklet</t>
  </si>
  <si>
    <t>2016. évi működési és felhalmozási bevételek mérlegszerűen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</si>
  <si>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</si>
  <si>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</si>
  <si>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</si>
  <si>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</si>
  <si>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</si>
  <si>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</si>
  <si>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</si>
  <si>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</si>
  <si>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</si>
  <si>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</si>
  <si>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Munkaadókat terhelő járulék</t>
  </si>
  <si>
    <t>Dologi kiadás</t>
  </si>
  <si>
    <t>Önkormányzatok sajátos műk. Bev.</t>
  </si>
  <si>
    <t>Egyéb folyó kiadások</t>
  </si>
  <si>
    <t>Működési célú hitelek felvétele</t>
  </si>
  <si>
    <t>Támogatás értékű működési kiadások</t>
  </si>
  <si>
    <t xml:space="preserve">Államháztartáson belüli megelőlegezés </t>
  </si>
  <si>
    <t>Támogatásértékű bevételek működési célra</t>
  </si>
  <si>
    <t>Ellátottak juttatásai</t>
  </si>
  <si>
    <t>Társadalom és szociálpolitikai jutt.</t>
  </si>
  <si>
    <t>Költségvetési támogatásból intézményeknek</t>
  </si>
  <si>
    <t>Felügyelet alá tart kv.szerv tám.</t>
  </si>
  <si>
    <t>OEP finanszírozás</t>
  </si>
  <si>
    <t>Önkormányzati támogatás</t>
  </si>
  <si>
    <t>Felhalmozási bevétel, ingataln értékesítés</t>
  </si>
  <si>
    <t>Normatív hozzáj felhalm. célú része</t>
  </si>
  <si>
    <t>Támogatás értékű felhalm. kiadások</t>
  </si>
  <si>
    <t>Helyi adó felhalmozási célra</t>
  </si>
  <si>
    <t>Pénzeszköz átadások</t>
  </si>
  <si>
    <t>Önkormányztai támogatás felhalmozási célú</t>
  </si>
  <si>
    <t>Értékpapír vásárlása</t>
  </si>
  <si>
    <t>Felhalmozás célú hitel</t>
  </si>
  <si>
    <t>Céltartalék</t>
  </si>
  <si>
    <t>Kölcsön visszatérülés</t>
  </si>
  <si>
    <t>Kamatkiadás</t>
  </si>
  <si>
    <t>Felhalmozási célú pe. Átvétel áht-n belül</t>
  </si>
  <si>
    <t>Kiadások mindösszesen:</t>
  </si>
  <si>
    <t>Bevételek mindösszesen:</t>
  </si>
  <si>
    <t>11.melléklet</t>
  </si>
  <si>
    <t>2016. évi előirányzat felhasználási ütemterv</t>
  </si>
  <si>
    <t>Adatok  ezer 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</si>
  <si>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</si>
  <si>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</si>
  <si>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</si>
  <si>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</si>
  <si>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</si>
  <si>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</si>
  <si>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</si>
  <si>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</si>
  <si>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</si>
  <si>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</si>
  <si>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</si>
  <si>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</si>
  <si>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</si>
  <si>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Sajátos bevételek</t>
  </si>
  <si>
    <t>Átvett pénzeszköz</t>
  </si>
  <si>
    <t>Felhalmozási hitelfelvétel</t>
  </si>
  <si>
    <t>Felhalmozási célú pénzeszköz átvétel</t>
  </si>
  <si>
    <t>Lekötött betét</t>
  </si>
  <si>
    <t>Összes bevétel</t>
  </si>
  <si>
    <t>Működési kiadás</t>
  </si>
  <si>
    <t>Támogatásértékű pe átadás áht-n belül</t>
  </si>
  <si>
    <t>Működési célú pe. Átadás áht-n kívül</t>
  </si>
  <si>
    <t>Lekötött betét megszüntetése</t>
  </si>
  <si>
    <t>Összes kiadás</t>
  </si>
  <si>
    <t>Havi egyenleg</t>
  </si>
  <si>
    <t>Halmozott egyenleg</t>
  </si>
  <si>
    <t>H</t>
  </si>
  <si>
    <t xml:space="preserve">14.melléklet </t>
  </si>
  <si>
    <t>2016-2018 évre tervezett bevételei és kiadásai</t>
  </si>
  <si>
    <t>Adatok  ezer Ft-ban</t>
  </si>
  <si>
    <t>2016.év</t>
  </si>
  <si>
    <t>2017.év</t>
  </si>
  <si>
    <t>2018. év</t>
  </si>
  <si>
    <t>2019. év</t>
  </si>
  <si>
    <t>Felhalmozási célú átvett pénzeszközök</t>
  </si>
  <si>
    <t>Elvonások , befizetések</t>
  </si>
  <si>
    <t>Hiteltőrlesztés</t>
  </si>
  <si>
    <t xml:space="preserve">15.  melléklet </t>
  </si>
  <si>
    <t>Herendi Hétszínvilág Óvoda és Bölcsőde költségvetése</t>
  </si>
  <si>
    <t>2016. évi módosított I. előirányzat</t>
  </si>
  <si>
    <t>2016. évi módosított II. előirányzat</t>
  </si>
  <si>
    <t>Óvodai alkalmazottak térítési díja</t>
  </si>
  <si>
    <t>Egyéb működési bevételek</t>
  </si>
  <si>
    <t>Működési célú átvett pénzeszköz, támgatások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</si>
  <si>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</si>
  <si>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</si>
  <si>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</si>
  <si>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</si>
  <si>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</si>
  <si>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>Finanszírozási bevétek</t>
  </si>
  <si>
    <t xml:space="preserve">Létszám </t>
  </si>
  <si>
    <t>Étkeztetés bölcsődében</t>
  </si>
  <si>
    <t>Munkahelyi étkeztetés</t>
  </si>
  <si>
    <t>Sajátos nevelési ig</t>
  </si>
  <si>
    <t>VII:</t>
  </si>
  <si>
    <t>Ebből: személyi juttatás</t>
  </si>
  <si>
    <t>Járulékok</t>
  </si>
  <si>
    <t>Óvodai kiadás összesen</t>
  </si>
  <si>
    <t>16. melléklet</t>
  </si>
  <si>
    <t>Herendi Művelődési Ház és Könyvtár  költségvetése</t>
  </si>
  <si>
    <t xml:space="preserve">Intézmény finanszírozás </t>
  </si>
  <si>
    <t>Létszám</t>
  </si>
  <si>
    <t>Művelődési ház és könyvtár kiadások összesen</t>
  </si>
  <si>
    <t>17. melléklet</t>
  </si>
  <si>
    <t>Herend Város Polgármesteri Hivatal  költségvetése</t>
  </si>
  <si>
    <t>Módosított I</t>
  </si>
  <si>
    <t>Saját működési bevétel</t>
  </si>
  <si>
    <t>Működési célú támogatások</t>
  </si>
  <si>
    <t>előző évi költségvetési maradvány</t>
  </si>
  <si>
    <t xml:space="preserve">         Önkormányzati forrás</t>
  </si>
  <si>
    <t>Országgyűlési választás</t>
  </si>
  <si>
    <t>18. melléklet</t>
  </si>
  <si>
    <t>módosított I.</t>
  </si>
  <si>
    <t>módosított II.</t>
  </si>
  <si>
    <t>Egyéb működési célú pe. Átvétel</t>
  </si>
  <si>
    <t>KIADÁSOK  Kormányzati funkció</t>
  </si>
  <si>
    <t>Munkahelyi étkeztetés köznevelési intézményben</t>
  </si>
  <si>
    <t>Közutak, hidak üzemeltetése</t>
  </si>
  <si>
    <t>Köztemető fennt. Üzemeltetés</t>
  </si>
  <si>
    <t>Önkormányztai vagyonnal való gazdálkodás</t>
  </si>
  <si>
    <t>Egyéb város és k gazd.</t>
  </si>
  <si>
    <t>Sport</t>
  </si>
  <si>
    <t>Ebből Dologi kiadás</t>
  </si>
  <si>
    <t>Herendi Városüzemeltetési Közszolgáltató Intézmény összesen</t>
  </si>
  <si>
    <t>19. melléklet</t>
  </si>
  <si>
    <t>Herend Város Önkormányzat  költségvetése</t>
  </si>
  <si>
    <t>Adóbevételek</t>
  </si>
  <si>
    <t>Költségvetési támogatás (normatív és lakosságsz.)</t>
  </si>
  <si>
    <t>Átvett pénzeszközök, támogatások (közfogi)</t>
  </si>
  <si>
    <t>Működési célú pénzeszközátvétel államháztartáson kívülről</t>
  </si>
  <si>
    <t xml:space="preserve">OEP finanszírozás  </t>
  </si>
  <si>
    <t>Önkormányzati lakásértékesítés bevétel</t>
  </si>
  <si>
    <t>Felhalmozási bevétel, ingatlanértékesítésből</t>
  </si>
  <si>
    <t>Értékesített telkek közműhj áthárítás</t>
  </si>
  <si>
    <t>Felhalmozási bevétel tárgyi eszköz értékesítés</t>
  </si>
  <si>
    <t>Kölcsön visszatérülése</t>
  </si>
  <si>
    <t>Hosszú lejáratú hitelek, kölcsönök felvétele p.ü. Vál.</t>
  </si>
  <si>
    <t>083050-1 Televízió-műsor szolg. és tám.</t>
  </si>
  <si>
    <t>013350-1 Önkormányzati vagyonnal való gazd.</t>
  </si>
  <si>
    <t>Köztemető</t>
  </si>
  <si>
    <t xml:space="preserve">          dologi kiadások</t>
  </si>
  <si>
    <t>Állat egészségügy</t>
  </si>
  <si>
    <t>Szennyvíz gyűjtése</t>
  </si>
  <si>
    <t>Közutak hidak üzemeltetése</t>
  </si>
  <si>
    <t>064010-1 Közvilágítás</t>
  </si>
  <si>
    <t>XII.</t>
  </si>
  <si>
    <t>Iskola eü. Egyéb egészségügyi ellátás</t>
  </si>
  <si>
    <t>XIII.</t>
  </si>
  <si>
    <t>Könyvtári szolgáltatások</t>
  </si>
  <si>
    <t>egyéb mükődéi kiadások</t>
  </si>
  <si>
    <t>XIV.</t>
  </si>
  <si>
    <t>Pénzeszköz átadás (Cssk-Társulás)</t>
  </si>
  <si>
    <t>Nonprofit szervezetek támogatás</t>
  </si>
  <si>
    <t>Dologi</t>
  </si>
  <si>
    <t>XV.</t>
  </si>
  <si>
    <t>Köztemetés</t>
  </si>
  <si>
    <t>Foglalkoztatást helyettesítő támogatás</t>
  </si>
  <si>
    <t>önkormányzati segély</t>
  </si>
  <si>
    <t>Lakhatáshoz kapcsolódó tám.</t>
  </si>
  <si>
    <t>Gyógyszerkiadásokhoz kapcs. Tám.</t>
  </si>
  <si>
    <t>rendkívüli települési támogatás</t>
  </si>
  <si>
    <t>Intézményi ellátottak pénzbeli juttatásai(rendkívüli gyv.)</t>
  </si>
  <si>
    <t>Betegséggel és fogyatékossággal kapcsolats nem tb ellátások</t>
  </si>
  <si>
    <t>Rendkívüli gyermekvédelmi tám</t>
  </si>
  <si>
    <t>Ápolási díj</t>
  </si>
  <si>
    <t>természetben nyújtott átmeneti</t>
  </si>
  <si>
    <t>XVI.</t>
  </si>
  <si>
    <t>egyéb működési célú kiadások</t>
  </si>
  <si>
    <t>Felhalmozási célú támogatások áhn kivülre</t>
  </si>
  <si>
    <t>Tervezett tartalék</t>
  </si>
  <si>
    <t>Államháztartáson belüli megelőlegezés visszafiz</t>
  </si>
  <si>
    <t>XVII.</t>
  </si>
  <si>
    <t>elvonások, befizetések</t>
  </si>
  <si>
    <t>XVIII.</t>
  </si>
  <si>
    <t>XIX.</t>
  </si>
  <si>
    <t>XX.</t>
  </si>
  <si>
    <t>Forgatási és befektetési célúfin. Műv.</t>
  </si>
  <si>
    <t>XXII.</t>
  </si>
  <si>
    <t>Támogatási célú finanszírózási műveletek</t>
  </si>
  <si>
    <t>Felhalmozási pénzeszköz átadás</t>
  </si>
  <si>
    <t>tervezett céltartalék</t>
  </si>
  <si>
    <t>Müködési célú visszatérítendő kölcsön</t>
  </si>
  <si>
    <t>20. melléklet</t>
  </si>
  <si>
    <t>Kötelező , önként vállalt és állami (államigazgatási) feladatainak kiadásai 2016. évre</t>
  </si>
  <si>
    <t>Intézmény</t>
  </si>
  <si>
    <t>Kiadás összesen</t>
  </si>
  <si>
    <t>Eredeti előirányzat</t>
  </si>
  <si>
    <t>Módosítás I.</t>
  </si>
  <si>
    <t>Módosítás II.</t>
  </si>
  <si>
    <t>kötelező</t>
  </si>
  <si>
    <t>önként vállalt</t>
  </si>
  <si>
    <t>állami (igazgatási)</t>
  </si>
  <si>
    <t>lakó és nem lakó ingatlan hasznosítás</t>
  </si>
  <si>
    <t>közvilágítás</t>
  </si>
  <si>
    <t>ár és belvízvédelem</t>
  </si>
  <si>
    <t>háziorvosi alapellátás, iskola eü</t>
  </si>
  <si>
    <t>önkormányzat által folyósított ellátások</t>
  </si>
  <si>
    <t>önkormányzat és a képviselőtestület működtetése</t>
  </si>
  <si>
    <t>Önkormányzatok elszámolása költségvetési szervvel</t>
  </si>
  <si>
    <t xml:space="preserve"> </t>
  </si>
  <si>
    <t>Önkormányzati vagyonnal való gazdálkodás</t>
  </si>
  <si>
    <t>városi és kábel tv üzemeltetés, településen video felvétel készítés</t>
  </si>
  <si>
    <t>Városüzemeltetési Közszolgáltató Intézmény</t>
  </si>
  <si>
    <t>utak, hidak üzemeltetése</t>
  </si>
  <si>
    <t>köztemető fenntartás</t>
  </si>
  <si>
    <t>egyéb város és k. gazd.</t>
  </si>
  <si>
    <t>Állategészségügyi tevékenység</t>
  </si>
  <si>
    <t>köznevelési feladatokat ellátó intézmény működtetése</t>
  </si>
  <si>
    <t>Zöldterületek kezelése, fenntartása</t>
  </si>
  <si>
    <t>közfoglalkoztatás</t>
  </si>
  <si>
    <t>polgármesteri hivatal működtetés</t>
  </si>
  <si>
    <t>Hétszínvilág Óvoda és Bölcsőde</t>
  </si>
  <si>
    <t>Óvodai nevelés</t>
  </si>
  <si>
    <t>nemzetiségi óvodai nevelés</t>
  </si>
  <si>
    <t>óvodai étkeztetls</t>
  </si>
  <si>
    <t>sajátos nevelés</t>
  </si>
  <si>
    <t>étkeztetés bölcsődében</t>
  </si>
  <si>
    <t>bölcsődei ellátás</t>
  </si>
  <si>
    <t>Óvodai mükődtetés</t>
  </si>
  <si>
    <t xml:space="preserve"> Ebből: művelődési ház és könyvtár működtetés</t>
  </si>
  <si>
    <t xml:space="preserve">           rendezvények, közösségi programok szervezése</t>
  </si>
  <si>
    <t xml:space="preserve">          időszaki önkormányzati lap kiadás</t>
  </si>
  <si>
    <t>21.melléklet</t>
  </si>
  <si>
    <t>CÉLTARTALÉK FELHALSZNÁLÁSA</t>
  </si>
  <si>
    <t>KÖZTERÜLETEK, Építmények beszerzése, FELÚJÍTÁSA</t>
  </si>
  <si>
    <t>Rendkívüli belvíz elvezetési problémák</t>
  </si>
  <si>
    <t>Top-2.1.2. Zöld város kialakítása</t>
  </si>
  <si>
    <t>TOP-2.3.1.-15 Fenntartaható települési közlekedés fejlesztése</t>
  </si>
  <si>
    <t>TOP-2.1.3.-15 Települési környezetvédelmi infrastruktúra fejlesztése</t>
  </si>
  <si>
    <t>TOP-1.2.1-15 Társadalmi és környezeti szempontból fenntartható turizmus fejlesztése</t>
  </si>
  <si>
    <t>TOP-4.3.1-15 Leromlott területek rehabilitációja</t>
  </si>
  <si>
    <t>TOP-5.2.1-15 A társadalmi együttműködés erősítését szolgáló helyi szintű komplex programok</t>
  </si>
  <si>
    <t>TOP-4.2.1-15 Szociális alapszolgáltatások infrastruktúrájának bővítése ( CSSK)</t>
  </si>
  <si>
    <t>Kossuth utcai villanyoszlopok cseréje nyomvonal módosítással tervezési díj</t>
  </si>
  <si>
    <t>Rendezési terv módosítása és integrált város fejlesztési stratégia</t>
  </si>
  <si>
    <t>ÖSSZESEN</t>
  </si>
  <si>
    <t>GÉP, BERENDEZÉS FELSZERELÉS VÁSÁRLÁS</t>
  </si>
  <si>
    <t>Közművelődési Érdekeltségnövelő támogatás önerő</t>
  </si>
  <si>
    <t>B LAKÓÖVEZET KÖZMŰVESÍTÉSE</t>
  </si>
  <si>
    <t>Murvázott közút és csapadékvíz elvezető árok kiépítése</t>
  </si>
  <si>
    <t xml:space="preserve">Közvilágítási  kiépítése </t>
  </si>
  <si>
    <t>ÉPÜLETEK FELÚJÍTÁSA</t>
  </si>
  <si>
    <t>VP6-7.4.1.1-15 Településképet meghatározó épületek külső rekonstrukciója pályázat (Műv ház))</t>
  </si>
  <si>
    <t>Kossuth u. 60. Idősek klubja-Nemzetiségi Ház villamoshálózat korszerűsítése</t>
  </si>
  <si>
    <t>TOP-4.1.1.-15 Egészségügyi alapellátás infrastruktúrájának fejlesztése</t>
  </si>
  <si>
    <t>TOP-3.2.1.-15 Önkormányzati épületek energetikai korszerűsítése (Egészségház)</t>
  </si>
  <si>
    <t>MINDÖSSZESEN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</si>
  <si>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</si>
  <si>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</si>
  <si>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</si>
  <si>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</si>
  <si>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</si>
  <si>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</si>
  <si>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 polgármesteri hivatal működtetés</t>
  </si>
  <si>
    <t xml:space="preserve">  városüzemeltetés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</si>
  <si>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</si>
  <si>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</si>
  <si>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</si>
  <si>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</si>
  <si>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</si>
  <si>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</si>
  <si>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</si>
  <si>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Támogatás, pénzeszköz átvétel(finanszírozás)</t>
  </si>
  <si>
    <t>támogatás, pénzeszköz átvétel (finanszírozás)</t>
  </si>
  <si>
    <t>működési célú támogatás</t>
  </si>
  <si>
    <t>Városüzemeltetési Közszolg.Int.</t>
  </si>
  <si>
    <t>támogatás, pénzeszköz átvétel</t>
  </si>
  <si>
    <t>Kölcsön megtérülés</t>
  </si>
  <si>
    <t>Működési támogatás</t>
  </si>
  <si>
    <t>Sajátos bevétel</t>
  </si>
  <si>
    <t>lekötött betét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</si>
  <si>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</si>
  <si>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</si>
  <si>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</si>
  <si>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</si>
  <si>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Önkormányzat által folyósított ellátások</t>
  </si>
  <si>
    <t xml:space="preserve">           Felhalmozási kiadás</t>
  </si>
  <si>
    <t xml:space="preserve">           Finanszírozási műveletek</t>
  </si>
  <si>
    <t>Mükődési célú visszatérítendő támogatás</t>
  </si>
  <si>
    <t>MINDÖSSZESEN INTÉZM FINANSZÍROZÁSSAL</t>
  </si>
  <si>
    <t>Működési kiadás összesítő</t>
  </si>
  <si>
    <t>SZEMÉLYI</t>
  </si>
  <si>
    <t>JÁRULÉK</t>
  </si>
  <si>
    <t>DOLOGI</t>
  </si>
  <si>
    <t>Módosított III.</t>
  </si>
  <si>
    <t>Országos népszavazás</t>
  </si>
  <si>
    <t>Módosítás III.</t>
  </si>
  <si>
    <t>2016. évi módosított III. előirányzat</t>
  </si>
  <si>
    <t>módosított III.</t>
  </si>
  <si>
    <t>Időszaki lapkiadás</t>
  </si>
  <si>
    <t>Táj Ház</t>
  </si>
  <si>
    <t>2016. évi módosított III.</t>
  </si>
  <si>
    <t xml:space="preserve">10.melléklet </t>
  </si>
  <si>
    <t>Herend Város Önkormányzat 2016. évi létszámkerete költségvetési szervenként  és a közfoglalkoztatottak száma (fő)</t>
  </si>
  <si>
    <t>Teljes munkaidőben foglalkoztatottak</t>
  </si>
  <si>
    <t>Részmunka -időben foglalkoztatottak</t>
  </si>
  <si>
    <t>Állományba nem tartozók</t>
  </si>
  <si>
    <t>Háziorvosi szolgálat</t>
  </si>
  <si>
    <t>Nem lakó ingatlan hasznosítás</t>
  </si>
  <si>
    <t>Intézményi étkeztetés</t>
  </si>
  <si>
    <t>Munkahelyi vendéglátás</t>
  </si>
  <si>
    <t>Sport létesítmény üzemeltetés</t>
  </si>
  <si>
    <t>Városüzemeltetési Közsz.Int.</t>
  </si>
  <si>
    <t>Művelődési ház és könyvtár</t>
  </si>
  <si>
    <t>Közcélú foglalkoztatás</t>
  </si>
  <si>
    <t>Mindösszesen</t>
  </si>
  <si>
    <t xml:space="preserve">          Táj Ház</t>
  </si>
  <si>
    <t>fénytechnikai rendszer Műv. Ház</t>
  </si>
  <si>
    <t xml:space="preserve">         felhalmozási pénzeszköz átadás</t>
  </si>
  <si>
    <t xml:space="preserve">           Felhalmozási pénzeszköz átadás</t>
  </si>
  <si>
    <t xml:space="preserve">          Felhalmozási célú pénzeszköz átadás</t>
  </si>
  <si>
    <t>Felhalmozási célú pe. Átvétel áhn kivűl</t>
  </si>
  <si>
    <t>XI:</t>
  </si>
  <si>
    <t>Felhalmozási pénz. Átvétel</t>
  </si>
  <si>
    <t xml:space="preserve">          Felhalmozási pénzeszköz átvétel</t>
  </si>
  <si>
    <t xml:space="preserve">          Felhalmozási célú pénzeszköz átvétel</t>
  </si>
  <si>
    <t>220.</t>
  </si>
  <si>
    <t>Módosított IV.</t>
  </si>
  <si>
    <t>I</t>
  </si>
  <si>
    <t>12. melléklet</t>
  </si>
  <si>
    <t>Herend Város Önkormányzat 2016. évi költségvetési támogatása</t>
  </si>
  <si>
    <t>TÁMOGATÁS ÖSSZESEN</t>
  </si>
  <si>
    <t/>
  </si>
  <si>
    <t>Jogcím száma</t>
  </si>
  <si>
    <t xml:space="preserve">Jogcím megnevezése       </t>
  </si>
  <si>
    <t>Mennyiségi egység</t>
  </si>
  <si>
    <t>Mutató</t>
  </si>
  <si>
    <t>Fajlagos összeg</t>
  </si>
  <si>
    <t>Összeg (Ft)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</si>
  <si>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</si>
  <si>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</si>
  <si>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</si>
  <si>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</si>
  <si>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</si>
  <si>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</si>
  <si>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</si>
  <si>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</si>
  <si>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I.1.b Település-üzemeltetéshez kapcsolódó feladatellátás támogatása</t>
  </si>
  <si>
    <t>3</t>
  </si>
  <si>
    <t>I.1.b</t>
  </si>
  <si>
    <t xml:space="preserve"> Támogatás összesen </t>
  </si>
  <si>
    <t>4</t>
  </si>
  <si>
    <t>I.1.b - V.</t>
  </si>
  <si>
    <t xml:space="preserve"> Támogatás összesen - beszámítás után </t>
  </si>
  <si>
    <t>5</t>
  </si>
  <si>
    <t>I.1.ba</t>
  </si>
  <si>
    <t xml:space="preserve"> A zöldterület-gazdálkodással kapcsolatos feladatok ellátásának támogatása </t>
  </si>
  <si>
    <t>hektár</t>
  </si>
  <si>
    <t>6</t>
  </si>
  <si>
    <t>I.1.ba - V.</t>
  </si>
  <si>
    <t xml:space="preserve"> A zöldterület-gazdálkodással kapcsolatos feladatok ellátásának támogatása - beszámítás után </t>
  </si>
  <si>
    <t>7</t>
  </si>
  <si>
    <t>I.1.bb</t>
  </si>
  <si>
    <t xml:space="preserve"> Közvilágítás fenntartásának támogatása </t>
  </si>
  <si>
    <t>km</t>
  </si>
  <si>
    <t>8</t>
  </si>
  <si>
    <t>I.1.bb - V.</t>
  </si>
  <si>
    <t xml:space="preserve"> Közvilágítás fenntartásának támogatása - beszámítás után </t>
  </si>
  <si>
    <t>9</t>
  </si>
  <si>
    <t>I.1.bc</t>
  </si>
  <si>
    <t xml:space="preserve"> Köztemető fenntartással kapcsolatos feladatok támogatása </t>
  </si>
  <si>
    <t>m2</t>
  </si>
  <si>
    <t>10</t>
  </si>
  <si>
    <t>I.1.bc - V.</t>
  </si>
  <si>
    <t xml:space="preserve"> Köztemető fenntartással kapcsolatos feladatok támogatása - beszámítás után </t>
  </si>
  <si>
    <t>11</t>
  </si>
  <si>
    <t>I.1.bd</t>
  </si>
  <si>
    <t xml:space="preserve"> Közutak fenntartásának támogatása </t>
  </si>
  <si>
    <t>12</t>
  </si>
  <si>
    <t>I.1.bd - V.</t>
  </si>
  <si>
    <t xml:space="preserve"> Közutak fenntartásának támogatása - beszámítás után 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</si>
  <si>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</si>
  <si>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</si>
  <si>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</si>
  <si>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</si>
  <si>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</si>
  <si>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</si>
  <si>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</si>
  <si>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</si>
  <si>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</si>
  <si>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</si>
  <si>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</si>
  <si>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</si>
  <si>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</si>
  <si>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</si>
  <si>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</si>
  <si>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</si>
  <si>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</si>
  <si>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</si>
  <si>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</si>
  <si>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V.</t>
  </si>
  <si>
    <t>Üdülőhelyi feladatok támogatása - beszámítás után</t>
  </si>
  <si>
    <t>19</t>
  </si>
  <si>
    <t>I.1. - V.</t>
  </si>
  <si>
    <t>A települési önkormányzatok működésének támogatása beszámítás és kiegészítés után</t>
  </si>
  <si>
    <t>20</t>
  </si>
  <si>
    <t>V. Info</t>
  </si>
  <si>
    <t>Beszámítás</t>
  </si>
  <si>
    <t>21</t>
  </si>
  <si>
    <t>V. I.1. kiegészítés</t>
  </si>
  <si>
    <t>I.1. jogcímekhez kapcsolódó kiegészítés</t>
  </si>
  <si>
    <t>22</t>
  </si>
  <si>
    <t>I.2.</t>
  </si>
  <si>
    <t>Nem közművel összegyűjtött háztartási szennyvíz ártalmatlanítása</t>
  </si>
  <si>
    <t>m3</t>
  </si>
  <si>
    <t>I.6.</t>
  </si>
  <si>
    <t>A 2015. évről áthuzodó bérkompenzáció</t>
  </si>
  <si>
    <t>23</t>
  </si>
  <si>
    <t xml:space="preserve">I. </t>
  </si>
  <si>
    <t>A helyi önkormányzatok működésének általános támogatása összesen</t>
  </si>
  <si>
    <t>II.1. Óvodapedagógusok , és az óvodapedagogusok nevelő munkáját segítők bértámogatása</t>
  </si>
  <si>
    <t>25</t>
  </si>
  <si>
    <t>II.1. (1) 1</t>
  </si>
  <si>
    <t xml:space="preserve"> Óvodapedagógusok elismert létszáma </t>
  </si>
  <si>
    <t>26</t>
  </si>
  <si>
    <t>II.1. (2) 1</t>
  </si>
  <si>
    <t xml:space="preserve"> pedagógus szakképzettséggel nem rendelkező, óvodapedagógusok nevelő munkáját közvetlenül segítők száma a Köznev. tv. 2. melléklete szerint </t>
  </si>
  <si>
    <t>27</t>
  </si>
  <si>
    <t>II.1. (3) 1</t>
  </si>
  <si>
    <t xml:space="preserve"> pedagógus szakképzettséggel rendelkező, óvodapedagógusok nevelő munkáját közvetlenül segítők száma a Köznev. tv. 2. melléklete szerint </t>
  </si>
  <si>
    <t>28</t>
  </si>
  <si>
    <t>II.1. (1) 2</t>
  </si>
  <si>
    <t>29</t>
  </si>
  <si>
    <t>II.1. (2) 2</t>
  </si>
  <si>
    <t>30</t>
  </si>
  <si>
    <t>II.1. (3) 2</t>
  </si>
  <si>
    <t>32</t>
  </si>
  <si>
    <t>II.1. (4) 2</t>
  </si>
  <si>
    <t xml:space="preserve"> óvodapedagógusok elismert létszáma (pótlólagos összeg) </t>
  </si>
  <si>
    <t>33</t>
  </si>
  <si>
    <t>II.1. (5) 2</t>
  </si>
  <si>
    <t xml:space="preserve"> pedagógus szakképzettséggel rendelkező, óvodapedagógusok nevelő munkáját közvetlenül segítők pótlólagos támogatása </t>
  </si>
  <si>
    <t>II.2. Óvodaműködtetési támogatás</t>
  </si>
  <si>
    <t>34</t>
  </si>
  <si>
    <t>II.2. (1) 1</t>
  </si>
  <si>
    <t xml:space="preserve">gyermekek nevelése a napi 8 órát nem éri el </t>
  </si>
  <si>
    <t>35</t>
  </si>
  <si>
    <t>II.2. (8) 1</t>
  </si>
  <si>
    <t xml:space="preserve">gyermekek nevelése a napi 8 órát eléri vagy meghaladja </t>
  </si>
  <si>
    <t>36</t>
  </si>
  <si>
    <t>II.2. (1) 2</t>
  </si>
  <si>
    <t>37</t>
  </si>
  <si>
    <t>II.2. (8) 2</t>
  </si>
  <si>
    <t xml:space="preserve">II.3. Társulás által fenntartott óvodákba bejáró gyermekek utaztatásának támogatása </t>
  </si>
  <si>
    <t>38</t>
  </si>
  <si>
    <t>II.3. 1</t>
  </si>
  <si>
    <t xml:space="preserve">8 hónap  </t>
  </si>
  <si>
    <t>39</t>
  </si>
  <si>
    <t>II.3. 2</t>
  </si>
  <si>
    <t xml:space="preserve">4 hónap </t>
  </si>
  <si>
    <t>40</t>
  </si>
  <si>
    <t>II.4.</t>
  </si>
  <si>
    <t xml:space="preserve">   A köznevelési intézmények működtetéséhez kapcsolódó támogatás</t>
  </si>
  <si>
    <t>II.5. Kiegészítő támogatás az óvodapedagógusok minősítéséből adódó többletkiadásokhoz</t>
  </si>
  <si>
    <t>41</t>
  </si>
  <si>
    <t>II.5.a (1)</t>
  </si>
  <si>
    <t xml:space="preserve"> alapfokozatú végzettségű pedagógus II. kategóriába sorolt óvodapedagógusok kiegészítő támogatása - akik a minősítést 2014. december 31-éig szerezték meg </t>
  </si>
  <si>
    <t>42</t>
  </si>
  <si>
    <t>II.5.b (1)</t>
  </si>
  <si>
    <t xml:space="preserve"> alapfokozatú végzettségű pedagógus II. kategóriába sorolt óvodapedagógusok kiegészítő támogatása - akik a minősítést 2015. évben szerezték meg </t>
  </si>
  <si>
    <t>43</t>
  </si>
  <si>
    <t>II.5.a (2)</t>
  </si>
  <si>
    <t xml:space="preserve"> alapfokozatú végzettségű mesterpedagógus kategóriába sorolt óvodapedagógusok kiegészítő támogatása - akik a minősítést 2014. december 31-éig szerezték meg </t>
  </si>
  <si>
    <t>44</t>
  </si>
  <si>
    <t>II.5.b (2)</t>
  </si>
  <si>
    <t xml:space="preserve"> alapfokozatú végzettségű mesterpedagógus kategóriába sorolt óvodapedagógusok kiegészítő támogatása - akik a minősítést 2015. évben szerezték meg </t>
  </si>
  <si>
    <t>45</t>
  </si>
  <si>
    <t>II.5.a (3)</t>
  </si>
  <si>
    <t xml:space="preserve"> mesterfokozatú végzettségű pedagógus II. kategóriába sorolt óvodapedagógusok kiegészítő támogatása - akik a minősítést 2014. december 31-éig szerezték meg </t>
  </si>
  <si>
    <t>46</t>
  </si>
  <si>
    <t>II.5.b (3)</t>
  </si>
  <si>
    <t xml:space="preserve"> mesterfokozatú végzettségű pedagógus II. kategóriába sorolt óvodapedagógusok kiegészítő támogatása - akik a minősítést 2015. évben szerezték meg </t>
  </si>
  <si>
    <t>47</t>
  </si>
  <si>
    <t>II.5.a (4)</t>
  </si>
  <si>
    <t xml:space="preserve"> mesterfokozatú végzettségű mesterpedagógus kategóriába sorolt óvodapedagógusok kiegészítő támogatása - akik a minősítést 2014. december 31-éig szerezték meg </t>
  </si>
  <si>
    <t>48</t>
  </si>
  <si>
    <t>II.5.b (4)</t>
  </si>
  <si>
    <t xml:space="preserve"> mesterfokozatú végzettségű mesterpedagógus kategóriába sorolt óvodapedagógusok kiegészítő támogatása - akik a minősítést 2015. évben szerezték meg </t>
  </si>
  <si>
    <t>49</t>
  </si>
  <si>
    <t xml:space="preserve">II. </t>
  </si>
  <si>
    <t>A települési önkormányzatok egyes köznevelési feladatainak támogatása</t>
  </si>
  <si>
    <t>50</t>
  </si>
  <si>
    <t>III.2.</t>
  </si>
  <si>
    <t>A települési önkormányzatok szociális feladatainak egyéb támogatása</t>
  </si>
  <si>
    <t>III.3. Egyes szociális és gyermekjóléti feladatok támogatása</t>
  </si>
  <si>
    <t>51</t>
  </si>
  <si>
    <t>III.3.a</t>
  </si>
  <si>
    <t xml:space="preserve"> Család- és gyermekjóléti szolgálat </t>
  </si>
  <si>
    <t>számított létszám</t>
  </si>
  <si>
    <t>52</t>
  </si>
  <si>
    <t>III.3.b</t>
  </si>
  <si>
    <t xml:space="preserve"> Család- és gyermekjóléti központ </t>
  </si>
  <si>
    <t>53</t>
  </si>
  <si>
    <t>III.3.c (1)</t>
  </si>
  <si>
    <t xml:space="preserve"> szociális étkeztetés </t>
  </si>
  <si>
    <t>54</t>
  </si>
  <si>
    <t>III.3.c (2)</t>
  </si>
  <si>
    <t xml:space="preserve"> szociális étkeztetés - társulás által történő feladatellátás </t>
  </si>
  <si>
    <t>55</t>
  </si>
  <si>
    <t>III.3.d (1)</t>
  </si>
  <si>
    <t xml:space="preserve"> házi segítségnyújtás </t>
  </si>
  <si>
    <t>56</t>
  </si>
  <si>
    <t>III.3.d (2)</t>
  </si>
  <si>
    <t xml:space="preserve"> házi segítségnyújtás - társulás által történő feladatellátás </t>
  </si>
  <si>
    <t>57</t>
  </si>
  <si>
    <t>III.3.e</t>
  </si>
  <si>
    <t xml:space="preserve"> falugondnoki vagy tanyagondnoki szolgáltatás összesen </t>
  </si>
  <si>
    <t>működési hó</t>
  </si>
  <si>
    <t>III.3.j Gyermekek napközbeni ellátása</t>
  </si>
  <si>
    <t>III.3.ja (1)</t>
  </si>
  <si>
    <t xml:space="preserve"> bölcsődei ellátás - nem fogyatékos, nem hátrányos helyzetű gyermek</t>
  </si>
  <si>
    <t>III.3.ja (2)</t>
  </si>
  <si>
    <t xml:space="preserve"> bölcsődei ellátás - nem fogyatékos, hátrányos helyzetű gyermek</t>
  </si>
  <si>
    <t>III.3.ja (3)</t>
  </si>
  <si>
    <t xml:space="preserve"> bölcsődei ellátás - nem fogyatékos, halmozottan hátrányos helyzetű gyermek</t>
  </si>
  <si>
    <t>III.3.ja (4)</t>
  </si>
  <si>
    <t xml:space="preserve"> bölcsődei ellátás - fogyatékos gyermek</t>
  </si>
  <si>
    <t>III.3.jb (1)</t>
  </si>
  <si>
    <t xml:space="preserve"> családi napközi ellátás, családi gyermekfelügyelet ha a napi nyitvatartási idő összességében a heti 20 órát eléri</t>
  </si>
  <si>
    <t>III.3.jb (2)</t>
  </si>
  <si>
    <t xml:space="preserve"> családi napközi ellátás, családi gyermekfelügyelet ha a napi nyitvatartási idő összességében a heti 20 órát nem éri el</t>
  </si>
  <si>
    <t>III.3.jb (3)</t>
  </si>
  <si>
    <t xml:space="preserve"> családi napközi ellátás, családi gyermekfelügyelet társulás általi ellátása, ha a napi nyitvatartási idő összességében a heti 20 órát eléri</t>
  </si>
  <si>
    <t>III.3.jb (4)</t>
  </si>
  <si>
    <t xml:space="preserve"> családi napközi ellátás, családi gyermekfelügyelet társulás általi ellátása, ha a napi nyitvatartási idő összességében a heti 20 órát nem éri el</t>
  </si>
  <si>
    <t>III.5. Gyermekétkeztetés támogatása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</si>
  <si>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</si>
  <si>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</si>
  <si>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</si>
  <si>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</si>
  <si>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</si>
  <si>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</si>
  <si>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A települési önkormányzatok szociális, gyermekjóléti és gyermekétkeztetési feladatainak támogatása</t>
  </si>
  <si>
    <t>Könyvtári, közművelődési és múzeumi feladatok támogatása</t>
  </si>
  <si>
    <t>IV.1.a</t>
  </si>
  <si>
    <t xml:space="preserve">Könyvtári, közművelődési és múzeumi feladatok támogatása
 Megyei hatókörű városi múzeumok feladatainak támogatása  </t>
  </si>
  <si>
    <t>Ft</t>
  </si>
  <si>
    <t>IV.1.b</t>
  </si>
  <si>
    <t xml:space="preserve">Könyvtári, közművelődési és múzeumi feladatok támogatása
 Megyei könyvtárak feladatainak támogatása </t>
  </si>
  <si>
    <t>IV.1.c</t>
  </si>
  <si>
    <t xml:space="preserve">Könyvtári, közművelődési és múzeumi feladatok támogatása
 Megyeszékhely megyei jogú városok és Szentendre Város Önkormányzata közművelődési feladatainak támogatása  </t>
  </si>
  <si>
    <t>IV.1.d</t>
  </si>
  <si>
    <t xml:space="preserve">Könyvtári, közművelődési és múzeumi feladatok támogatása
 Települési önkormányzatok nyilvános könyvtári és a közművelődési feladatainak támogatása </t>
  </si>
  <si>
    <t>IV.1.e</t>
  </si>
  <si>
    <t xml:space="preserve">Könyvtári, közművelődési és múzeumi feladatok támogatása
 Települési önkormányzatok muzeális intézményi feladatainak támogatása </t>
  </si>
  <si>
    <t>IV.1.f</t>
  </si>
  <si>
    <t xml:space="preserve">Könyvtári, közművelődési és múzeumi feladatok támogatása
 Budapest Főváros Önkormányzata múzeumi, könyvtári és közművelődési feladatainak támogatása  </t>
  </si>
  <si>
    <t>IV.1.g</t>
  </si>
  <si>
    <t xml:space="preserve">Könyvtári, közművelődési és múzeumi feladatok támogatása
 Fővárosi kerületi önkormányzatok közművelődési feladatainak támogatása </t>
  </si>
  <si>
    <t>IV.1.h</t>
  </si>
  <si>
    <t xml:space="preserve">Könyvtári, közművelődési és múzeumi feladatok támogatása
 Megyei könyvtár kistelepülési könyvtári célú kiegészítő támogatása  </t>
  </si>
  <si>
    <t>IV.1.i</t>
  </si>
  <si>
    <t xml:space="preserve">Könyvtári, közművelődési és múzeumi feladatok támogatása
 A települési önkormányzatok könyvtári célú érdekeltségnövelő támogatása </t>
  </si>
  <si>
    <t>IV.1.</t>
  </si>
  <si>
    <t xml:space="preserve">Könyvtári, közművelődési és múzeumi feladatok támogatása
 Könyvtári, közművelődési és műzeumi feladatok támogatása összesen </t>
  </si>
  <si>
    <t>A települési önkormányzatok kulturális feladatainak támogatása</t>
  </si>
  <si>
    <t>13.melléklet</t>
  </si>
  <si>
    <t>Kimutatás a Magyarország gazdasági stabilitásáról szóló 2011. évi CXVIV. Törvény 3.§ (1) bekezdése szerinti ügyletekről és kezességvállalásokból fennálló kötelezettségekről és a 353/2011. (XII.30.) Kormányrendelet 2.§-a szerinti saját bevételekről</t>
  </si>
  <si>
    <t>Hitelező pénzintézet</t>
  </si>
  <si>
    <t>Hitel típusa</t>
  </si>
  <si>
    <t>Hitelállomány Tárgyév</t>
  </si>
  <si>
    <t>Lejárat</t>
  </si>
  <si>
    <t>Tárgyév</t>
  </si>
  <si>
    <t>J</t>
  </si>
  <si>
    <t>K</t>
  </si>
  <si>
    <t>L</t>
  </si>
  <si>
    <t>M</t>
  </si>
  <si>
    <t>N</t>
  </si>
  <si>
    <t>OTP Bank Nyrt.</t>
  </si>
  <si>
    <t>Felhalmozási célú kölcsön</t>
  </si>
  <si>
    <t>2025.08.31.</t>
  </si>
  <si>
    <t>Saját bevételek</t>
  </si>
  <si>
    <t>Tárgy év</t>
  </si>
  <si>
    <t>2018.</t>
  </si>
  <si>
    <t>Osztalék,koncessziós díjak</t>
  </si>
  <si>
    <t>Díjak,pótlékok, bírságok</t>
  </si>
  <si>
    <t>Tárgyi eszközök, immateriális javak, vagyoni értékű jog értékesítése, vagyonhasznosításból származó bevétel</t>
  </si>
  <si>
    <t>Részvények részesedések értékesítése</t>
  </si>
  <si>
    <t>Vállalatértékesítésből, privatizációból származó bevételek</t>
  </si>
  <si>
    <t>Kezesség-,illetve garanciavállalással kapcsolatos megtérülés</t>
  </si>
  <si>
    <t>Saját bevételek (01+.....+07)</t>
  </si>
  <si>
    <t>Saját bevételek (08.sor) 50%-a</t>
  </si>
  <si>
    <t>2016. évi módosított IV. előirányzat</t>
  </si>
  <si>
    <t>Bölcsi</t>
  </si>
  <si>
    <t>módosított IV.</t>
  </si>
  <si>
    <t>Iskola működtetés 1-4 évfolyam</t>
  </si>
  <si>
    <t>Iskola működtetés 5-8 évfolyam</t>
  </si>
  <si>
    <t>2016. évi módosított IV.</t>
  </si>
  <si>
    <t>KÖFOP-1.2.1-VEKOP-16-2016-00028 ASP projekt</t>
  </si>
  <si>
    <t>Módosítás IV.</t>
  </si>
  <si>
    <t>Módosítás IV..</t>
  </si>
  <si>
    <t>Egyéb kiegészítő szolgáltatások</t>
  </si>
  <si>
    <t>Egyéb működési célú támogatások államháztart. Belülre</t>
  </si>
  <si>
    <t>ebből: helyi önk és költségvetési szervei</t>
  </si>
  <si>
    <t xml:space="preserve">          társulások</t>
  </si>
  <si>
    <t>Működési célú visszatér.  támogatások, kölcsönök Áhn kivülre</t>
  </si>
  <si>
    <t>Egyéb mükődési támogatás Áhn kivülre</t>
  </si>
  <si>
    <t>ebből: Nonprofit társaságnak</t>
  </si>
  <si>
    <t xml:space="preserve">          egyéb vállalkozás</t>
  </si>
  <si>
    <t>XXI.</t>
  </si>
  <si>
    <t>XXIII.</t>
  </si>
  <si>
    <t>Gyermekvédelmi pénzbeli és természetben ellátások</t>
  </si>
  <si>
    <t>Családi támogatások</t>
  </si>
  <si>
    <t>Lakásfenntartással, lakhatással összefüggő ellátások</t>
  </si>
  <si>
    <t>dologi kiadások</t>
  </si>
  <si>
    <t>Lakhatással kapcsolatos ellátások</t>
  </si>
  <si>
    <t>Szociális étkeztetés</t>
  </si>
  <si>
    <t xml:space="preserve">  dologi kiadások</t>
  </si>
  <si>
    <t>Egyéb szociális pénzbeli és természetben ellátások</t>
  </si>
  <si>
    <t>Betegséggel kapcsolatos ellátások</t>
  </si>
  <si>
    <t>Egyéb nem intézményi ellátások</t>
  </si>
  <si>
    <t>ebből: egyéb önk rendeletben megállapított juttatás</t>
  </si>
  <si>
    <t xml:space="preserve">         köztemetés</t>
  </si>
  <si>
    <t>XXIV.</t>
  </si>
  <si>
    <t>XXV.</t>
  </si>
  <si>
    <t>XXVI.</t>
  </si>
  <si>
    <t>Egyéb mükődési támogatás egyéb fejezeti kezelésű ( Erzsébet utalvány)</t>
  </si>
  <si>
    <t>Egyéb mükődési támogatás EU-s ASP</t>
  </si>
  <si>
    <t>Szennyvíz gyűjtés</t>
  </si>
  <si>
    <t>Lakásfenntartással, lakhatással  összefüggő ellátások</t>
  </si>
  <si>
    <t>Gyermekvédelmi pénzbeli és természetbeni ellátások</t>
  </si>
  <si>
    <t>Szociális étkezés</t>
  </si>
  <si>
    <t>Egyéb szociális pénzbeli és természetbeni ellátások</t>
  </si>
  <si>
    <t>Egyéb kiegészítő szolgáltatás</t>
  </si>
  <si>
    <t>Forgatási és fin. célú műveletek</t>
  </si>
  <si>
    <t xml:space="preserve">munkahelyi étkezés   </t>
  </si>
  <si>
    <t>Adatok ezer  Ft-ban</t>
  </si>
  <si>
    <t>Átengedett központi adók (gj.adó)</t>
  </si>
  <si>
    <t>Felhalmozási célű pénzeszköz átvétel</t>
  </si>
  <si>
    <t xml:space="preserve">          Támogatásértékű kiadások</t>
  </si>
  <si>
    <t>Herend Város Önkormányzat 2017. évi működési és felhalmozási mérlege</t>
  </si>
  <si>
    <t>Egyéb felhalmozási célú támogatás ASP</t>
  </si>
  <si>
    <t>Egyéb támogatás egyéb fejezeti kezelésű (Erzsébet utalvány)</t>
  </si>
  <si>
    <t>Egyéb működási támogatás ASP</t>
  </si>
  <si>
    <t>Szennyvíz kezelés, gyűjtés</t>
  </si>
  <si>
    <t xml:space="preserve">          Beruházás</t>
  </si>
  <si>
    <t>Forgatási és befektetési célú fin. Műveletek</t>
  </si>
  <si>
    <t>Támogatási célú finanszírozási műv.</t>
  </si>
  <si>
    <t>Munkahelyi étkezés</t>
  </si>
  <si>
    <t>Iskola működtetése 1-4 évfolyam</t>
  </si>
  <si>
    <t>Iskola működtetése 5-8 évfolyam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</si>
  <si>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</si>
  <si>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</si>
  <si>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</si>
  <si>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</si>
  <si>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</si>
  <si>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</si>
  <si>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</si>
  <si>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</si>
  <si>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</si>
  <si>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</si>
  <si>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</si>
  <si>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</si>
  <si>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</si>
  <si>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</si>
  <si>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</si>
  <si>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</si>
  <si>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</si>
  <si>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</si>
  <si>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</si>
  <si>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</si>
  <si>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</si>
  <si>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</si>
  <si>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</si>
  <si>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</si>
  <si>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</si>
  <si>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</si>
  <si>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</si>
  <si>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</si>
  <si>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</si>
  <si>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</si>
  <si>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</si>
  <si>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</si>
  <si>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</si>
  <si>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</si>
  <si>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</si>
  <si>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</si>
  <si>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</si>
  <si>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</si>
  <si>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</si>
  <si>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</si>
  <si>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</si>
  <si>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Kossuth utcai légvezeték átépítés</t>
  </si>
  <si>
    <t>Polgárőrség</t>
  </si>
  <si>
    <t>Rendőrség helyiség használat</t>
  </si>
  <si>
    <t>Polgárőrség támogatása</t>
  </si>
  <si>
    <t>Választott tisztésgviselők</t>
  </si>
  <si>
    <t>3/2017.(IV.28.)  önkormányzati rendelethez</t>
  </si>
  <si>
    <t xml:space="preserve">"1. melléklet a 4/2016.(II.29.) önkormányzati rendelethez" </t>
  </si>
  <si>
    <t xml:space="preserve">"2. melléklet a 4/2016.(II.29.) önkormányzati rendelethez" </t>
  </si>
  <si>
    <t>3. mellléklet a 3/2017.(IV.28.)  önkormányzati rendelethez</t>
  </si>
  <si>
    <t xml:space="preserve">"3. melléklet a 4/2016.(II.29.) önkormányzati rendelethez" </t>
  </si>
  <si>
    <t xml:space="preserve">"4. melléklet a 4/2016.(II.29.) önkormányzati rendelethez" </t>
  </si>
  <si>
    <t xml:space="preserve">1. melléklet a 3/2017.(IV.28.) önkormányzati rendelethez
</t>
  </si>
  <si>
    <t>2. melléklet a 3/2017.(IV.28.) önkormányzati rendelethez</t>
  </si>
  <si>
    <t>4. melléklet a 3/2017.(IV.28.) önkormányzati rendelethez</t>
  </si>
  <si>
    <t xml:space="preserve">"5. melléklet a 4/2016.(II.29.) önkormányzati rendelethez" </t>
  </si>
  <si>
    <t>5. melléklet a 3/2017.(IV.28.) önkormányzati rendelethez</t>
  </si>
  <si>
    <t xml:space="preserve"> "6. melléklet a 4/2016.(II.29.) önkormányzati rendelethez" </t>
  </si>
  <si>
    <t>6. melléklet a 3/2017.(IV.28.) önkormányzati rendelethez</t>
  </si>
  <si>
    <t xml:space="preserve">"7. melléklet a 4/2016.(II.29.) önkormányzati rendelethez" </t>
  </si>
  <si>
    <t>7. melléklet a 3/2017.(IV.28.)  önkormányzati rendelethez</t>
  </si>
  <si>
    <t xml:space="preserve">"8. melléklet a 4/2016.(II.29.) önkormányzati rendelethez" </t>
  </si>
  <si>
    <t>8. melléklet a 3/2017.(IV.28.) önkormányzati rendelethez</t>
  </si>
  <si>
    <t>9. melléklet a 3/2017.(IV.28.)  önkormányzati rendelethez</t>
  </si>
  <si>
    <t xml:space="preserve">"9. melléklet a 4/2016.(II.29.) önkormányzati rendelethez" </t>
  </si>
  <si>
    <t>11. melléklet a 3/2017.(IV.28.) önkormányzati rendelethez</t>
  </si>
  <si>
    <t xml:space="preserve">"11. melléklet a 4/2016.(II.29.) önkormányzati rendelethez" </t>
  </si>
  <si>
    <t>10. melléklet a 3/2017.(IV.28.) önkormányzati rendelethez</t>
  </si>
  <si>
    <t xml:space="preserve">"10. melléklet a 4/2016.(II.29.) önkormányzati rendelethez" </t>
  </si>
  <si>
    <t>12. mellklet a 3/2017.(IV.28.) önkormányzati rendelethez</t>
  </si>
  <si>
    <t xml:space="preserve">"12. melléklet a 4/2016.(II.29.) önkormányzati rendelethez" </t>
  </si>
  <si>
    <t>13. melléklet a 3/2017.(IV.28.) önkormányzati rendelethez</t>
  </si>
  <si>
    <t xml:space="preserve">"13. melléklet a 4/2016.(II.29.) önkormányzati rendelethez" </t>
  </si>
  <si>
    <t>14. melléklet a 3/2017.(IV.28.)  önkormányzati rendelethez</t>
  </si>
  <si>
    <t xml:space="preserve">"14. melléklet a 4/2016.(II.29.) önkormányzati rendelethez" </t>
  </si>
  <si>
    <t>16. melléklet a 3/2017.(IV.28.)  önkormányzati rendelethez</t>
  </si>
  <si>
    <t xml:space="preserve">"16. melléklet a 4/2016.(II.29.) önkormányzati rendelethez" </t>
  </si>
  <si>
    <t>15. melléklet a 3/2017.(IV.28.)  önkormányzati rendelethez</t>
  </si>
  <si>
    <t xml:space="preserve">"15. melléklet a 4/2016.(II.29.) önkormányzati rendelethez" </t>
  </si>
  <si>
    <t>17. melléklet 3/2017.(IV.28.)  önkormányzati rendelethez</t>
  </si>
  <si>
    <t xml:space="preserve">"17. melléklet a 4/2016.(II.29.) önkormányzati rendelethez" </t>
  </si>
  <si>
    <t>18. melléklet a 3/2017.(IV.28.)  önkormányzati rendelethez</t>
  </si>
  <si>
    <t xml:space="preserve">"18. melléklet a 4/2016.(II.29.) önkormányzati rendelethez" </t>
  </si>
  <si>
    <t>19. melléklet a 3/2017.(IV.28.)  önkormányzati rendelethez</t>
  </si>
  <si>
    <t xml:space="preserve">"19. melléklet a 4/2016.(II.29.) önkormányzati rendelethez" </t>
  </si>
  <si>
    <t>20. melléklet a 3/2017.(IV.28.) önkormányzati rendelethez</t>
  </si>
  <si>
    <t xml:space="preserve">"20. melléklet a 4/2016.(II.29.) önkormányzati rendelethez" </t>
  </si>
  <si>
    <t>21. melléklet a 3/2017.(IV.28.)  önkormányzati rendelethez</t>
  </si>
  <si>
    <t xml:space="preserve">"21. melléklet a 4/2016.(II.29.) önkormányzati rendelethez" </t>
  </si>
  <si>
    <t xml:space="preserve">" 4/2016.(II.29.) önkormányzati rendelethez"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</si>
</sst>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* #,##0.00&quot;     &quot;;\-* #,##0.00&quot;     &quot;;\ * \-#&quot;     &quot;;@\ "/>
    <numFmt numFmtId="165" formatCode="\ * #,##0&quot;     &quot;;\-* #,##0&quot;     &quot;;\ * \-#&quot;     &quot;;@\ "/>
    <numFmt numFmtId="166" formatCode="\ * #,##0.00&quot; Ft &quot;;\-* #,##0.00&quot; Ft &quot;;\ * \-#&quot; Ft &quot;;@\ "/>
    <numFmt numFmtId="167" formatCode="0.0"/>
    <numFmt numFmtId="168" formatCode="#,##0.0"/>
    <numFmt numFmtId="169" formatCode="\ * #,##0.0&quot;     &quot;;\-* #,##0.0&quot;     &quot;;\ * \-#&quot;     &quot;;@\ 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70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6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 style="thin"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8"/>
      </bottom>
    </border>
    <border>
      <left style="medium">
        <color indexed="8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medium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8"/>
      </top>
      <bottom style="thin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8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8" borderId="7" applyNumberFormat="0" applyFont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ill="0" applyBorder="0" applyAlignment="0" applyProtection="0"/>
  </cellStyleXfs>
  <cellXfs count="17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0" xfId="46" applyNumberFormat="1" applyFill="1" applyBorder="1" applyAlignment="1" applyProtection="1">
      <alignment/>
      <protection/>
    </xf>
    <xf numFmtId="9" fontId="0" fillId="0" borderId="0" xfId="60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165" fontId="2" fillId="33" borderId="19" xfId="46" applyNumberFormat="1" applyFont="1" applyFill="1" applyBorder="1" applyAlignment="1" applyProtection="1">
      <alignment horizontal="center" vertical="center" wrapText="1"/>
      <protection/>
    </xf>
    <xf numFmtId="165" fontId="2" fillId="33" borderId="20" xfId="46" applyNumberFormat="1" applyFont="1" applyFill="1" applyBorder="1" applyAlignment="1" applyProtection="1">
      <alignment horizontal="center" vertical="center" wrapText="1"/>
      <protection/>
    </xf>
    <xf numFmtId="9" fontId="2" fillId="33" borderId="21" xfId="60" applyFont="1" applyFill="1" applyBorder="1" applyAlignment="1" applyProtection="1">
      <alignment horizontal="center" vertical="center" wrapText="1"/>
      <protection/>
    </xf>
    <xf numFmtId="165" fontId="2" fillId="33" borderId="22" xfId="46" applyNumberFormat="1" applyFont="1" applyFill="1" applyBorder="1" applyAlignment="1" applyProtection="1">
      <alignment horizontal="center" vertical="center" wrapText="1"/>
      <protection/>
    </xf>
    <xf numFmtId="3" fontId="2" fillId="33" borderId="23" xfId="0" applyNumberFormat="1" applyFont="1" applyFill="1" applyBorder="1" applyAlignment="1">
      <alignment horizontal="center" vertical="center"/>
    </xf>
    <xf numFmtId="165" fontId="2" fillId="33" borderId="24" xfId="46" applyNumberFormat="1" applyFont="1" applyFill="1" applyBorder="1" applyAlignment="1" applyProtection="1">
      <alignment horizontal="center"/>
      <protection/>
    </xf>
    <xf numFmtId="165" fontId="2" fillId="33" borderId="25" xfId="46" applyNumberFormat="1" applyFont="1" applyFill="1" applyBorder="1" applyAlignment="1" applyProtection="1">
      <alignment horizontal="center"/>
      <protection/>
    </xf>
    <xf numFmtId="9" fontId="2" fillId="33" borderId="26" xfId="60" applyFont="1" applyFill="1" applyBorder="1" applyAlignment="1" applyProtection="1">
      <alignment horizontal="center"/>
      <protection/>
    </xf>
    <xf numFmtId="165" fontId="2" fillId="33" borderId="27" xfId="46" applyNumberFormat="1" applyFont="1" applyFill="1" applyBorder="1" applyAlignment="1" applyProtection="1">
      <alignment horizontal="center"/>
      <protection/>
    </xf>
    <xf numFmtId="3" fontId="2" fillId="0" borderId="28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left" vertical="center"/>
    </xf>
    <xf numFmtId="165" fontId="2" fillId="0" borderId="28" xfId="46" applyNumberFormat="1" applyFont="1" applyFill="1" applyBorder="1" applyAlignment="1" applyProtection="1">
      <alignment/>
      <protection/>
    </xf>
    <xf numFmtId="165" fontId="2" fillId="0" borderId="14" xfId="46" applyNumberFormat="1" applyFont="1" applyFill="1" applyBorder="1" applyAlignment="1" applyProtection="1">
      <alignment/>
      <protection/>
    </xf>
    <xf numFmtId="9" fontId="0" fillId="0" borderId="30" xfId="60" applyFill="1" applyBorder="1" applyAlignment="1" applyProtection="1">
      <alignment/>
      <protection/>
    </xf>
    <xf numFmtId="165" fontId="2" fillId="0" borderId="31" xfId="46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65" fontId="0" fillId="0" borderId="32" xfId="46" applyNumberFormat="1" applyFill="1" applyBorder="1" applyAlignment="1" applyProtection="1">
      <alignment/>
      <protection/>
    </xf>
    <xf numFmtId="165" fontId="0" fillId="36" borderId="12" xfId="46" applyNumberFormat="1" applyFill="1" applyBorder="1" applyAlignment="1" applyProtection="1">
      <alignment/>
      <protection/>
    </xf>
    <xf numFmtId="9" fontId="0" fillId="0" borderId="33" xfId="60" applyFill="1" applyBorder="1" applyAlignment="1" applyProtection="1">
      <alignment/>
      <protection/>
    </xf>
    <xf numFmtId="165" fontId="0" fillId="36" borderId="34" xfId="46" applyNumberFormat="1" applyFill="1" applyBorder="1" applyAlignment="1" applyProtection="1">
      <alignment/>
      <protection/>
    </xf>
    <xf numFmtId="3" fontId="2" fillId="0" borderId="3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165" fontId="2" fillId="0" borderId="32" xfId="46" applyNumberFormat="1" applyFont="1" applyFill="1" applyBorder="1" applyAlignment="1" applyProtection="1">
      <alignment/>
      <protection/>
    </xf>
    <xf numFmtId="165" fontId="2" fillId="36" borderId="12" xfId="46" applyNumberFormat="1" applyFont="1" applyFill="1" applyBorder="1" applyAlignment="1" applyProtection="1">
      <alignment/>
      <protection/>
    </xf>
    <xf numFmtId="165" fontId="2" fillId="36" borderId="34" xfId="46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/>
    </xf>
    <xf numFmtId="165" fontId="2" fillId="0" borderId="24" xfId="46" applyNumberFormat="1" applyFont="1" applyFill="1" applyBorder="1" applyAlignment="1" applyProtection="1">
      <alignment/>
      <protection/>
    </xf>
    <xf numFmtId="165" fontId="2" fillId="36" borderId="25" xfId="46" applyNumberFormat="1" applyFont="1" applyFill="1" applyBorder="1" applyAlignment="1" applyProtection="1">
      <alignment/>
      <protection/>
    </xf>
    <xf numFmtId="9" fontId="0" fillId="0" borderId="26" xfId="60" applyFill="1" applyBorder="1" applyAlignment="1" applyProtection="1">
      <alignment/>
      <protection/>
    </xf>
    <xf numFmtId="165" fontId="2" fillId="36" borderId="38" xfId="46" applyNumberFormat="1" applyFont="1" applyFill="1" applyBorder="1" applyAlignment="1" applyProtection="1">
      <alignment/>
      <protection/>
    </xf>
    <xf numFmtId="3" fontId="6" fillId="0" borderId="39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/>
    </xf>
    <xf numFmtId="165" fontId="6" fillId="0" borderId="39" xfId="46" applyNumberFormat="1" applyFont="1" applyFill="1" applyBorder="1" applyAlignment="1" applyProtection="1">
      <alignment/>
      <protection/>
    </xf>
    <xf numFmtId="165" fontId="6" fillId="36" borderId="40" xfId="46" applyNumberFormat="1" applyFont="1" applyFill="1" applyBorder="1" applyAlignment="1" applyProtection="1">
      <alignment/>
      <protection/>
    </xf>
    <xf numFmtId="9" fontId="6" fillId="0" borderId="42" xfId="46" applyNumberFormat="1" applyFont="1" applyFill="1" applyBorder="1" applyAlignment="1" applyProtection="1">
      <alignment/>
      <protection/>
    </xf>
    <xf numFmtId="165" fontId="6" fillId="36" borderId="42" xfId="46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>
      <alignment/>
    </xf>
    <xf numFmtId="3" fontId="2" fillId="0" borderId="43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/>
    </xf>
    <xf numFmtId="165" fontId="2" fillId="0" borderId="44" xfId="46" applyNumberFormat="1" applyFont="1" applyFill="1" applyBorder="1" applyAlignment="1" applyProtection="1">
      <alignment/>
      <protection/>
    </xf>
    <xf numFmtId="165" fontId="2" fillId="36" borderId="44" xfId="46" applyNumberFormat="1" applyFont="1" applyFill="1" applyBorder="1" applyAlignment="1" applyProtection="1">
      <alignment/>
      <protection/>
    </xf>
    <xf numFmtId="9" fontId="0" fillId="0" borderId="45" xfId="60" applyFill="1" applyBorder="1" applyAlignment="1" applyProtection="1">
      <alignment/>
      <protection/>
    </xf>
    <xf numFmtId="165" fontId="2" fillId="36" borderId="45" xfId="46" applyNumberFormat="1" applyFont="1" applyFill="1" applyBorder="1" applyAlignment="1" applyProtection="1">
      <alignment/>
      <protection/>
    </xf>
    <xf numFmtId="3" fontId="2" fillId="0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/>
    </xf>
    <xf numFmtId="165" fontId="2" fillId="0" borderId="39" xfId="46" applyNumberFormat="1" applyFont="1" applyFill="1" applyBorder="1" applyAlignment="1" applyProtection="1">
      <alignment/>
      <protection/>
    </xf>
    <xf numFmtId="165" fontId="2" fillId="36" borderId="40" xfId="46" applyNumberFormat="1" applyFont="1" applyFill="1" applyBorder="1" applyAlignment="1" applyProtection="1">
      <alignment/>
      <protection/>
    </xf>
    <xf numFmtId="9" fontId="0" fillId="0" borderId="42" xfId="60" applyFill="1" applyBorder="1" applyAlignment="1" applyProtection="1">
      <alignment/>
      <protection/>
    </xf>
    <xf numFmtId="165" fontId="2" fillId="36" borderId="46" xfId="46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165" fontId="0" fillId="0" borderId="28" xfId="46" applyNumberFormat="1" applyFill="1" applyBorder="1" applyAlignment="1" applyProtection="1">
      <alignment/>
      <protection/>
    </xf>
    <xf numFmtId="165" fontId="0" fillId="36" borderId="14" xfId="46" applyNumberFormat="1" applyFill="1" applyBorder="1" applyAlignment="1" applyProtection="1">
      <alignment/>
      <protection/>
    </xf>
    <xf numFmtId="165" fontId="0" fillId="36" borderId="47" xfId="46" applyNumberFormat="1" applyFill="1" applyBorder="1" applyAlignment="1" applyProtection="1">
      <alignment/>
      <protection/>
    </xf>
    <xf numFmtId="165" fontId="0" fillId="36" borderId="48" xfId="46" applyNumberFormat="1" applyFill="1" applyBorder="1" applyAlignment="1" applyProtection="1">
      <alignment/>
      <protection/>
    </xf>
    <xf numFmtId="3" fontId="0" fillId="0" borderId="35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/>
    </xf>
    <xf numFmtId="165" fontId="0" fillId="0" borderId="35" xfId="46" applyNumberFormat="1" applyFill="1" applyBorder="1" applyAlignment="1" applyProtection="1">
      <alignment/>
      <protection/>
    </xf>
    <xf numFmtId="165" fontId="0" fillId="36" borderId="36" xfId="46" applyNumberFormat="1" applyFill="1" applyBorder="1" applyAlignment="1" applyProtection="1">
      <alignment/>
      <protection/>
    </xf>
    <xf numFmtId="9" fontId="0" fillId="0" borderId="49" xfId="60" applyFill="1" applyBorder="1" applyAlignment="1" applyProtection="1">
      <alignment/>
      <protection/>
    </xf>
    <xf numFmtId="165" fontId="0" fillId="36" borderId="50" xfId="46" applyNumberFormat="1" applyFill="1" applyBorder="1" applyAlignment="1" applyProtection="1">
      <alignment/>
      <protection/>
    </xf>
    <xf numFmtId="165" fontId="2" fillId="36" borderId="39" xfId="46" applyNumberFormat="1" applyFont="1" applyFill="1" applyBorder="1" applyAlignment="1" applyProtection="1">
      <alignment/>
      <protection/>
    </xf>
    <xf numFmtId="3" fontId="9" fillId="0" borderId="14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/>
    </xf>
    <xf numFmtId="165" fontId="9" fillId="0" borderId="28" xfId="46" applyNumberFormat="1" applyFont="1" applyFill="1" applyBorder="1" applyAlignment="1" applyProtection="1">
      <alignment/>
      <protection/>
    </xf>
    <xf numFmtId="165" fontId="9" fillId="36" borderId="14" xfId="46" applyNumberFormat="1" applyFont="1" applyFill="1" applyBorder="1" applyAlignment="1" applyProtection="1">
      <alignment/>
      <protection/>
    </xf>
    <xf numFmtId="9" fontId="9" fillId="0" borderId="30" xfId="60" applyFont="1" applyFill="1" applyBorder="1" applyAlignment="1" applyProtection="1">
      <alignment/>
      <protection/>
    </xf>
    <xf numFmtId="165" fontId="9" fillId="36" borderId="47" xfId="46" applyNumberFormat="1" applyFont="1" applyFill="1" applyBorder="1" applyAlignment="1" applyProtection="1">
      <alignment/>
      <protection/>
    </xf>
    <xf numFmtId="3" fontId="9" fillId="0" borderId="0" xfId="0" applyNumberFormat="1" applyFont="1" applyFill="1" applyAlignment="1">
      <alignment/>
    </xf>
    <xf numFmtId="3" fontId="9" fillId="0" borderId="36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/>
    </xf>
    <xf numFmtId="165" fontId="9" fillId="0" borderId="35" xfId="46" applyNumberFormat="1" applyFont="1" applyFill="1" applyBorder="1" applyAlignment="1" applyProtection="1">
      <alignment/>
      <protection/>
    </xf>
    <xf numFmtId="165" fontId="9" fillId="0" borderId="36" xfId="46" applyNumberFormat="1" applyFont="1" applyFill="1" applyBorder="1" applyAlignment="1" applyProtection="1">
      <alignment/>
      <protection/>
    </xf>
    <xf numFmtId="9" fontId="9" fillId="0" borderId="49" xfId="60" applyFont="1" applyFill="1" applyBorder="1" applyAlignment="1" applyProtection="1">
      <alignment/>
      <protection/>
    </xf>
    <xf numFmtId="165" fontId="9" fillId="0" borderId="50" xfId="46" applyNumberFormat="1" applyFont="1" applyFill="1" applyBorder="1" applyAlignment="1" applyProtection="1">
      <alignment/>
      <protection/>
    </xf>
    <xf numFmtId="3" fontId="5" fillId="33" borderId="39" xfId="0" applyNumberFormat="1" applyFont="1" applyFill="1" applyBorder="1" applyAlignment="1">
      <alignment horizontal="center"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165" fontId="5" fillId="33" borderId="39" xfId="46" applyNumberFormat="1" applyFont="1" applyFill="1" applyBorder="1" applyAlignment="1" applyProtection="1">
      <alignment vertical="center"/>
      <protection/>
    </xf>
    <xf numFmtId="165" fontId="5" fillId="37" borderId="40" xfId="46" applyNumberFormat="1" applyFont="1" applyFill="1" applyBorder="1" applyAlignment="1" applyProtection="1">
      <alignment vertical="center"/>
      <protection/>
    </xf>
    <xf numFmtId="9" fontId="5" fillId="37" borderId="42" xfId="60" applyFont="1" applyFill="1" applyBorder="1" applyAlignment="1" applyProtection="1">
      <alignment vertical="center"/>
      <protection/>
    </xf>
    <xf numFmtId="165" fontId="5" fillId="37" borderId="46" xfId="46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 vertical="center"/>
    </xf>
    <xf numFmtId="165" fontId="2" fillId="33" borderId="32" xfId="46" applyNumberFormat="1" applyFont="1" applyFill="1" applyBorder="1" applyAlignment="1" applyProtection="1">
      <alignment horizontal="center"/>
      <protection/>
    </xf>
    <xf numFmtId="165" fontId="2" fillId="33" borderId="12" xfId="46" applyNumberFormat="1" applyFont="1" applyFill="1" applyBorder="1" applyAlignment="1" applyProtection="1">
      <alignment horizontal="center"/>
      <protection/>
    </xf>
    <xf numFmtId="9" fontId="2" fillId="33" borderId="33" xfId="60" applyFont="1" applyFill="1" applyBorder="1" applyAlignment="1" applyProtection="1">
      <alignment horizontal="center"/>
      <protection/>
    </xf>
    <xf numFmtId="165" fontId="2" fillId="33" borderId="34" xfId="46" applyNumberFormat="1" applyFont="1" applyFill="1" applyBorder="1" applyAlignment="1" applyProtection="1">
      <alignment horizontal="center"/>
      <protection/>
    </xf>
    <xf numFmtId="165" fontId="2" fillId="0" borderId="12" xfId="46" applyNumberFormat="1" applyFont="1" applyFill="1" applyBorder="1" applyAlignment="1" applyProtection="1">
      <alignment/>
      <protection/>
    </xf>
    <xf numFmtId="9" fontId="2" fillId="0" borderId="33" xfId="60" applyFont="1" applyFill="1" applyBorder="1" applyAlignment="1" applyProtection="1">
      <alignment/>
      <protection/>
    </xf>
    <xf numFmtId="165" fontId="2" fillId="0" borderId="34" xfId="46" applyNumberFormat="1" applyFont="1" applyFill="1" applyBorder="1" applyAlignment="1" applyProtection="1">
      <alignment/>
      <protection/>
    </xf>
    <xf numFmtId="165" fontId="0" fillId="0" borderId="12" xfId="46" applyNumberFormat="1" applyFill="1" applyBorder="1" applyAlignment="1" applyProtection="1">
      <alignment/>
      <protection/>
    </xf>
    <xf numFmtId="165" fontId="0" fillId="0" borderId="34" xfId="46" applyNumberFormat="1" applyFill="1" applyBorder="1" applyAlignment="1" applyProtection="1">
      <alignment/>
      <protection/>
    </xf>
    <xf numFmtId="165" fontId="0" fillId="36" borderId="32" xfId="46" applyNumberFormat="1" applyFill="1" applyBorder="1" applyAlignment="1" applyProtection="1">
      <alignment/>
      <protection/>
    </xf>
    <xf numFmtId="165" fontId="0" fillId="36" borderId="32" xfId="46" applyNumberFormat="1" applyFont="1" applyFill="1" applyBorder="1" applyAlignment="1" applyProtection="1">
      <alignment/>
      <protection/>
    </xf>
    <xf numFmtId="165" fontId="0" fillId="36" borderId="12" xfId="46" applyNumberFormat="1" applyFont="1" applyFill="1" applyBorder="1" applyAlignment="1" applyProtection="1">
      <alignment/>
      <protection/>
    </xf>
    <xf numFmtId="165" fontId="0" fillId="36" borderId="34" xfId="46" applyNumberFormat="1" applyFont="1" applyFill="1" applyBorder="1" applyAlignment="1" applyProtection="1">
      <alignment/>
      <protection/>
    </xf>
    <xf numFmtId="3" fontId="2" fillId="0" borderId="36" xfId="0" applyNumberFormat="1" applyFont="1" applyFill="1" applyBorder="1" applyAlignment="1">
      <alignment/>
    </xf>
    <xf numFmtId="165" fontId="2" fillId="0" borderId="35" xfId="46" applyNumberFormat="1" applyFont="1" applyFill="1" applyBorder="1" applyAlignment="1" applyProtection="1">
      <alignment/>
      <protection/>
    </xf>
    <xf numFmtId="165" fontId="2" fillId="0" borderId="36" xfId="46" applyNumberFormat="1" applyFont="1" applyFill="1" applyBorder="1" applyAlignment="1" applyProtection="1">
      <alignment/>
      <protection/>
    </xf>
    <xf numFmtId="165" fontId="2" fillId="0" borderId="38" xfId="46" applyNumberFormat="1" applyFont="1" applyFill="1" applyBorder="1" applyAlignment="1" applyProtection="1">
      <alignment/>
      <protection/>
    </xf>
    <xf numFmtId="3" fontId="2" fillId="0" borderId="3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165" fontId="2" fillId="36" borderId="32" xfId="46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5" fontId="0" fillId="0" borderId="35" xfId="46" applyNumberFormat="1" applyFont="1" applyFill="1" applyBorder="1" applyAlignment="1" applyProtection="1">
      <alignment/>
      <protection/>
    </xf>
    <xf numFmtId="165" fontId="0" fillId="0" borderId="36" xfId="46" applyNumberFormat="1" applyFont="1" applyFill="1" applyBorder="1" applyAlignment="1" applyProtection="1">
      <alignment/>
      <protection/>
    </xf>
    <xf numFmtId="165" fontId="0" fillId="0" borderId="38" xfId="46" applyNumberFormat="1" applyFont="1" applyFill="1" applyBorder="1" applyAlignment="1" applyProtection="1">
      <alignment/>
      <protection/>
    </xf>
    <xf numFmtId="3" fontId="6" fillId="36" borderId="41" xfId="0" applyNumberFormat="1" applyFont="1" applyFill="1" applyBorder="1" applyAlignment="1">
      <alignment horizontal="center" vertical="center" wrapText="1"/>
    </xf>
    <xf numFmtId="165" fontId="6" fillId="36" borderId="39" xfId="46" applyNumberFormat="1" applyFont="1" applyFill="1" applyBorder="1" applyAlignment="1" applyProtection="1">
      <alignment vertical="center"/>
      <protection/>
    </xf>
    <xf numFmtId="165" fontId="6" fillId="36" borderId="40" xfId="46" applyNumberFormat="1" applyFont="1" applyFill="1" applyBorder="1" applyAlignment="1" applyProtection="1">
      <alignment vertical="center"/>
      <protection/>
    </xf>
    <xf numFmtId="9" fontId="2" fillId="0" borderId="42" xfId="60" applyFont="1" applyFill="1" applyBorder="1" applyAlignment="1" applyProtection="1">
      <alignment vertical="center"/>
      <protection/>
    </xf>
    <xf numFmtId="165" fontId="6" fillId="36" borderId="51" xfId="46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>
      <alignment vertical="center"/>
    </xf>
    <xf numFmtId="3" fontId="2" fillId="0" borderId="14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/>
    </xf>
    <xf numFmtId="165" fontId="2" fillId="36" borderId="28" xfId="46" applyNumberFormat="1" applyFont="1" applyFill="1" applyBorder="1" applyAlignment="1" applyProtection="1">
      <alignment/>
      <protection/>
    </xf>
    <xf numFmtId="165" fontId="2" fillId="36" borderId="14" xfId="46" applyNumberFormat="1" applyFont="1" applyFill="1" applyBorder="1" applyAlignment="1" applyProtection="1">
      <alignment/>
      <protection/>
    </xf>
    <xf numFmtId="165" fontId="2" fillId="36" borderId="31" xfId="46" applyNumberFormat="1" applyFont="1" applyFill="1" applyBorder="1" applyAlignment="1" applyProtection="1">
      <alignment/>
      <protection/>
    </xf>
    <xf numFmtId="3" fontId="2" fillId="0" borderId="36" xfId="0" applyNumberFormat="1" applyFont="1" applyFill="1" applyBorder="1" applyAlignment="1">
      <alignment horizontal="center"/>
    </xf>
    <xf numFmtId="165" fontId="2" fillId="36" borderId="35" xfId="46" applyNumberFormat="1" applyFont="1" applyFill="1" applyBorder="1" applyAlignment="1" applyProtection="1">
      <alignment/>
      <protection/>
    </xf>
    <xf numFmtId="165" fontId="2" fillId="36" borderId="36" xfId="46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>
      <alignment/>
    </xf>
    <xf numFmtId="3" fontId="2" fillId="0" borderId="29" xfId="0" applyNumberFormat="1" applyFont="1" applyFill="1" applyBorder="1" applyAlignment="1">
      <alignment wrapText="1"/>
    </xf>
    <xf numFmtId="3" fontId="6" fillId="0" borderId="52" xfId="0" applyNumberFormat="1" applyFont="1" applyFill="1" applyBorder="1" applyAlignment="1">
      <alignment horizontal="center" vertical="center"/>
    </xf>
    <xf numFmtId="165" fontId="6" fillId="0" borderId="53" xfId="46" applyNumberFormat="1" applyFont="1" applyFill="1" applyBorder="1" applyAlignment="1" applyProtection="1">
      <alignment vertical="center"/>
      <protection/>
    </xf>
    <xf numFmtId="165" fontId="6" fillId="0" borderId="54" xfId="46" applyNumberFormat="1" applyFont="1" applyFill="1" applyBorder="1" applyAlignment="1" applyProtection="1">
      <alignment vertical="center"/>
      <protection/>
    </xf>
    <xf numFmtId="9" fontId="2" fillId="0" borderId="55" xfId="60" applyFont="1" applyFill="1" applyBorder="1" applyAlignment="1" applyProtection="1">
      <alignment vertical="center"/>
      <protection/>
    </xf>
    <xf numFmtId="165" fontId="6" fillId="0" borderId="56" xfId="46" applyNumberFormat="1" applyFont="1" applyFill="1" applyBorder="1" applyAlignment="1" applyProtection="1">
      <alignment vertical="center"/>
      <protection/>
    </xf>
    <xf numFmtId="3" fontId="5" fillId="37" borderId="41" xfId="0" applyNumberFormat="1" applyFont="1" applyFill="1" applyBorder="1" applyAlignment="1">
      <alignment horizontal="center" vertical="center"/>
    </xf>
    <xf numFmtId="165" fontId="5" fillId="37" borderId="39" xfId="46" applyNumberFormat="1" applyFont="1" applyFill="1" applyBorder="1" applyAlignment="1" applyProtection="1">
      <alignment horizontal="center" vertical="center"/>
      <protection/>
    </xf>
    <xf numFmtId="165" fontId="5" fillId="37" borderId="40" xfId="46" applyNumberFormat="1" applyFont="1" applyFill="1" applyBorder="1" applyAlignment="1" applyProtection="1">
      <alignment horizontal="center" vertical="center"/>
      <protection/>
    </xf>
    <xf numFmtId="9" fontId="5" fillId="37" borderId="42" xfId="60" applyFont="1" applyFill="1" applyBorder="1" applyAlignment="1" applyProtection="1">
      <alignment horizontal="center" vertical="center"/>
      <protection/>
    </xf>
    <xf numFmtId="165" fontId="5" fillId="37" borderId="51" xfId="46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2" fillId="37" borderId="57" xfId="0" applyNumberFormat="1" applyFont="1" applyFill="1" applyBorder="1" applyAlignment="1">
      <alignment horizontal="center" vertical="center"/>
    </xf>
    <xf numFmtId="3" fontId="2" fillId="37" borderId="58" xfId="0" applyNumberFormat="1" applyFont="1" applyFill="1" applyBorder="1" applyAlignment="1">
      <alignment horizontal="center" vertical="center" wrapText="1"/>
    </xf>
    <xf numFmtId="3" fontId="2" fillId="37" borderId="59" xfId="0" applyNumberFormat="1" applyFont="1" applyFill="1" applyBorder="1" applyAlignment="1">
      <alignment horizontal="center" vertical="center" wrapText="1"/>
    </xf>
    <xf numFmtId="3" fontId="2" fillId="37" borderId="60" xfId="0" applyNumberFormat="1" applyFont="1" applyFill="1" applyBorder="1" applyAlignment="1">
      <alignment horizontal="center" vertical="center" wrapText="1"/>
    </xf>
    <xf numFmtId="3" fontId="2" fillId="37" borderId="56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165" fontId="9" fillId="36" borderId="28" xfId="46" applyNumberFormat="1" applyFont="1" applyFill="1" applyBorder="1" applyAlignment="1" applyProtection="1">
      <alignment/>
      <protection/>
    </xf>
    <xf numFmtId="9" fontId="3" fillId="0" borderId="31" xfId="0" applyNumberFormat="1" applyFont="1" applyBorder="1" applyAlignment="1">
      <alignment/>
    </xf>
    <xf numFmtId="165" fontId="9" fillId="36" borderId="31" xfId="46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5" fontId="9" fillId="36" borderId="32" xfId="46" applyNumberFormat="1" applyFont="1" applyFill="1" applyBorder="1" applyAlignment="1" applyProtection="1">
      <alignment/>
      <protection/>
    </xf>
    <xf numFmtId="165" fontId="9" fillId="36" borderId="12" xfId="46" applyNumberFormat="1" applyFont="1" applyFill="1" applyBorder="1" applyAlignment="1" applyProtection="1">
      <alignment/>
      <protection/>
    </xf>
    <xf numFmtId="9" fontId="3" fillId="0" borderId="34" xfId="0" applyNumberFormat="1" applyFont="1" applyBorder="1" applyAlignment="1">
      <alignment/>
    </xf>
    <xf numFmtId="165" fontId="9" fillId="36" borderId="34" xfId="46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9" fontId="13" fillId="0" borderId="34" xfId="0" applyNumberFormat="1" applyFont="1" applyBorder="1" applyAlignment="1">
      <alignment/>
    </xf>
    <xf numFmtId="0" fontId="3" fillId="0" borderId="37" xfId="0" applyFont="1" applyFill="1" applyBorder="1" applyAlignment="1">
      <alignment wrapText="1"/>
    </xf>
    <xf numFmtId="165" fontId="9" fillId="36" borderId="35" xfId="46" applyNumberFormat="1" applyFont="1" applyFill="1" applyBorder="1" applyAlignment="1" applyProtection="1">
      <alignment/>
      <protection/>
    </xf>
    <xf numFmtId="165" fontId="9" fillId="36" borderId="36" xfId="46" applyNumberFormat="1" applyFont="1" applyFill="1" applyBorder="1" applyAlignment="1" applyProtection="1">
      <alignment/>
      <protection/>
    </xf>
    <xf numFmtId="165" fontId="9" fillId="36" borderId="38" xfId="46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165" fontId="0" fillId="36" borderId="28" xfId="46" applyNumberFormat="1" applyFont="1" applyFill="1" applyBorder="1" applyAlignment="1" applyProtection="1">
      <alignment/>
      <protection/>
    </xf>
    <xf numFmtId="165" fontId="0" fillId="36" borderId="14" xfId="46" applyNumberFormat="1" applyFont="1" applyFill="1" applyBorder="1" applyAlignment="1" applyProtection="1">
      <alignment/>
      <protection/>
    </xf>
    <xf numFmtId="165" fontId="0" fillId="36" borderId="31" xfId="46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3" fontId="2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165" fontId="0" fillId="36" borderId="35" xfId="46" applyNumberFormat="1" applyFont="1" applyFill="1" applyBorder="1" applyAlignment="1" applyProtection="1">
      <alignment/>
      <protection/>
    </xf>
    <xf numFmtId="165" fontId="0" fillId="36" borderId="36" xfId="46" applyNumberFormat="1" applyFont="1" applyFill="1" applyBorder="1" applyAlignment="1" applyProtection="1">
      <alignment/>
      <protection/>
    </xf>
    <xf numFmtId="165" fontId="0" fillId="36" borderId="38" xfId="46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 wrapText="1"/>
    </xf>
    <xf numFmtId="0" fontId="0" fillId="0" borderId="37" xfId="0" applyFont="1" applyBorder="1" applyAlignment="1">
      <alignment/>
    </xf>
    <xf numFmtId="9" fontId="13" fillId="0" borderId="38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165" fontId="1" fillId="33" borderId="0" xfId="46" applyNumberFormat="1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2" fillId="33" borderId="61" xfId="0" applyNumberFormat="1" applyFont="1" applyFill="1" applyBorder="1" applyAlignment="1">
      <alignment horizontal="center" vertical="center"/>
    </xf>
    <xf numFmtId="3" fontId="2" fillId="33" borderId="62" xfId="0" applyNumberFormat="1" applyFont="1" applyFill="1" applyBorder="1" applyAlignment="1">
      <alignment horizontal="center" vertical="center" wrapText="1"/>
    </xf>
    <xf numFmtId="3" fontId="2" fillId="33" borderId="63" xfId="0" applyNumberFormat="1" applyFont="1" applyFill="1" applyBorder="1" applyAlignment="1">
      <alignment horizontal="center" vertical="center" wrapText="1"/>
    </xf>
    <xf numFmtId="3" fontId="2" fillId="33" borderId="64" xfId="0" applyNumberFormat="1" applyFont="1" applyFill="1" applyBorder="1" applyAlignment="1">
      <alignment horizontal="center" vertical="center" wrapText="1"/>
    </xf>
    <xf numFmtId="3" fontId="2" fillId="33" borderId="65" xfId="0" applyNumberFormat="1" applyFont="1" applyFill="1" applyBorder="1" applyAlignment="1">
      <alignment horizontal="center" vertical="center" wrapText="1"/>
    </xf>
    <xf numFmtId="3" fontId="2" fillId="33" borderId="66" xfId="0" applyNumberFormat="1" applyFont="1" applyFill="1" applyBorder="1" applyAlignment="1">
      <alignment horizontal="center" vertical="center"/>
    </xf>
    <xf numFmtId="3" fontId="2" fillId="33" borderId="67" xfId="0" applyNumberFormat="1" applyFont="1" applyFill="1" applyBorder="1" applyAlignment="1">
      <alignment horizontal="center" vertical="center"/>
    </xf>
    <xf numFmtId="3" fontId="2" fillId="33" borderId="68" xfId="0" applyNumberFormat="1" applyFont="1" applyFill="1" applyBorder="1" applyAlignment="1">
      <alignment horizontal="center" vertical="center"/>
    </xf>
    <xf numFmtId="3" fontId="2" fillId="33" borderId="60" xfId="0" applyNumberFormat="1" applyFont="1" applyFill="1" applyBorder="1" applyAlignment="1">
      <alignment horizontal="center" vertical="center"/>
    </xf>
    <xf numFmtId="3" fontId="2" fillId="33" borderId="69" xfId="0" applyNumberFormat="1" applyFont="1" applyFill="1" applyBorder="1" applyAlignment="1">
      <alignment horizontal="center" vertical="center"/>
    </xf>
    <xf numFmtId="3" fontId="0" fillId="0" borderId="7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7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7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73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9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2" fillId="37" borderId="74" xfId="0" applyNumberFormat="1" applyFont="1" applyFill="1" applyBorder="1" applyAlignment="1">
      <alignment horizontal="center"/>
    </xf>
    <xf numFmtId="3" fontId="0" fillId="37" borderId="13" xfId="0" applyNumberFormat="1" applyFont="1" applyFill="1" applyBorder="1" applyAlignment="1">
      <alignment horizontal="center"/>
    </xf>
    <xf numFmtId="3" fontId="2" fillId="37" borderId="73" xfId="0" applyNumberFormat="1" applyFont="1" applyFill="1" applyBorder="1" applyAlignment="1">
      <alignment/>
    </xf>
    <xf numFmtId="3" fontId="2" fillId="37" borderId="3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9" fontId="0" fillId="37" borderId="33" xfId="0" applyNumberFormat="1" applyFill="1" applyBorder="1" applyAlignment="1">
      <alignment/>
    </xf>
    <xf numFmtId="3" fontId="2" fillId="37" borderId="34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74" xfId="0" applyNumberFormat="1" applyFont="1" applyBorder="1" applyAlignment="1">
      <alignment horizontal="center"/>
    </xf>
    <xf numFmtId="3" fontId="2" fillId="37" borderId="73" xfId="0" applyNumberFormat="1" applyFont="1" applyFill="1" applyBorder="1" applyAlignment="1">
      <alignment wrapText="1"/>
    </xf>
    <xf numFmtId="3" fontId="2" fillId="33" borderId="74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3" fontId="2" fillId="33" borderId="73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0" borderId="7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73" xfId="0" applyNumberFormat="1" applyFont="1" applyBorder="1" applyAlignment="1">
      <alignment/>
    </xf>
    <xf numFmtId="3" fontId="2" fillId="33" borderId="75" xfId="0" applyNumberFormat="1" applyFont="1" applyFill="1" applyBorder="1" applyAlignment="1">
      <alignment horizontal="center"/>
    </xf>
    <xf numFmtId="3" fontId="2" fillId="33" borderId="76" xfId="0" applyNumberFormat="1" applyFont="1" applyFill="1" applyBorder="1" applyAlignment="1">
      <alignment/>
    </xf>
    <xf numFmtId="3" fontId="2" fillId="0" borderId="76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9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33" borderId="77" xfId="0" applyNumberFormat="1" applyFont="1" applyFill="1" applyBorder="1" applyAlignment="1">
      <alignment horizontal="center"/>
    </xf>
    <xf numFmtId="3" fontId="0" fillId="33" borderId="68" xfId="0" applyNumberFormat="1" applyFont="1" applyFill="1" applyBorder="1" applyAlignment="1">
      <alignment horizontal="center"/>
    </xf>
    <xf numFmtId="3" fontId="2" fillId="33" borderId="66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9" fontId="0" fillId="37" borderId="26" xfId="0" applyNumberForma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78" xfId="0" applyNumberFormat="1" applyFont="1" applyFill="1" applyBorder="1" applyAlignment="1">
      <alignment horizontal="center" vertical="center"/>
    </xf>
    <xf numFmtId="165" fontId="2" fillId="33" borderId="79" xfId="46" applyNumberFormat="1" applyFont="1" applyFill="1" applyBorder="1" applyAlignment="1" applyProtection="1">
      <alignment horizontal="center" vertical="center" wrapText="1"/>
      <protection/>
    </xf>
    <xf numFmtId="165" fontId="2" fillId="33" borderId="21" xfId="46" applyNumberFormat="1" applyFont="1" applyFill="1" applyBorder="1" applyAlignment="1" applyProtection="1">
      <alignment horizontal="center" vertical="center" wrapText="1"/>
      <protection/>
    </xf>
    <xf numFmtId="165" fontId="2" fillId="33" borderId="80" xfId="46" applyNumberFormat="1" applyFont="1" applyFill="1" applyBorder="1" applyAlignment="1" applyProtection="1">
      <alignment horizontal="center" vertical="center" wrapText="1"/>
      <protection/>
    </xf>
    <xf numFmtId="165" fontId="2" fillId="33" borderId="26" xfId="46" applyNumberFormat="1" applyFont="1" applyFill="1" applyBorder="1" applyAlignment="1" applyProtection="1">
      <alignment horizontal="center"/>
      <protection/>
    </xf>
    <xf numFmtId="165" fontId="2" fillId="33" borderId="81" xfId="46" applyNumberFormat="1" applyFont="1" applyFill="1" applyBorder="1" applyAlignment="1" applyProtection="1">
      <alignment horizontal="center"/>
      <protection/>
    </xf>
    <xf numFmtId="3" fontId="3" fillId="0" borderId="28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165" fontId="0" fillId="0" borderId="30" xfId="46" applyNumberFormat="1" applyFill="1" applyBorder="1" applyAlignment="1" applyProtection="1">
      <alignment/>
      <protection/>
    </xf>
    <xf numFmtId="165" fontId="0" fillId="0" borderId="47" xfId="46" applyNumberFormat="1" applyFill="1" applyBorder="1" applyAlignment="1" applyProtection="1">
      <alignment/>
      <protection/>
    </xf>
    <xf numFmtId="3" fontId="3" fillId="0" borderId="3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65" fontId="0" fillId="0" borderId="33" xfId="46" applyNumberFormat="1" applyFill="1" applyBorder="1" applyAlignment="1" applyProtection="1">
      <alignment/>
      <protection/>
    </xf>
    <xf numFmtId="165" fontId="0" fillId="0" borderId="48" xfId="46" applyNumberFormat="1" applyFill="1" applyBorder="1" applyAlignment="1" applyProtection="1">
      <alignment/>
      <protection/>
    </xf>
    <xf numFmtId="3" fontId="9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13" fillId="0" borderId="11" xfId="0" applyNumberFormat="1" applyFont="1" applyFill="1" applyBorder="1" applyAlignment="1">
      <alignment wrapText="1"/>
    </xf>
    <xf numFmtId="3" fontId="0" fillId="0" borderId="3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wrapText="1"/>
    </xf>
    <xf numFmtId="165" fontId="0" fillId="0" borderId="32" xfId="46" applyNumberFormat="1" applyFont="1" applyFill="1" applyBorder="1" applyAlignment="1" applyProtection="1">
      <alignment/>
      <protection/>
    </xf>
    <xf numFmtId="165" fontId="0" fillId="0" borderId="33" xfId="46" applyNumberFormat="1" applyFont="1" applyFill="1" applyBorder="1" applyAlignment="1" applyProtection="1">
      <alignment/>
      <protection/>
    </xf>
    <xf numFmtId="165" fontId="0" fillId="0" borderId="48" xfId="46" applyNumberFormat="1" applyFont="1" applyFill="1" applyBorder="1" applyAlignment="1" applyProtection="1">
      <alignment/>
      <protection/>
    </xf>
    <xf numFmtId="3" fontId="2" fillId="33" borderId="24" xfId="0" applyNumberFormat="1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/>
    </xf>
    <xf numFmtId="165" fontId="2" fillId="33" borderId="24" xfId="46" applyNumberFormat="1" applyFont="1" applyFill="1" applyBorder="1" applyAlignment="1" applyProtection="1">
      <alignment/>
      <protection/>
    </xf>
    <xf numFmtId="165" fontId="2" fillId="33" borderId="26" xfId="46" applyNumberFormat="1" applyFont="1" applyFill="1" applyBorder="1" applyAlignment="1" applyProtection="1">
      <alignment/>
      <protection/>
    </xf>
    <xf numFmtId="165" fontId="2" fillId="33" borderId="81" xfId="46" applyNumberFormat="1" applyFont="1" applyFill="1" applyBorder="1" applyAlignment="1" applyProtection="1">
      <alignment/>
      <protection/>
    </xf>
    <xf numFmtId="165" fontId="0" fillId="0" borderId="0" xfId="46" applyNumberFormat="1" applyFill="1" applyBorder="1" applyAlignment="1" applyProtection="1">
      <alignment horizontal="center"/>
      <protection/>
    </xf>
    <xf numFmtId="3" fontId="2" fillId="33" borderId="82" xfId="0" applyNumberFormat="1" applyFont="1" applyFill="1" applyBorder="1" applyAlignment="1">
      <alignment horizontal="center" vertical="center"/>
    </xf>
    <xf numFmtId="165" fontId="2" fillId="33" borderId="83" xfId="46" applyNumberFormat="1" applyFont="1" applyFill="1" applyBorder="1" applyAlignment="1" applyProtection="1">
      <alignment horizontal="center"/>
      <protection/>
    </xf>
    <xf numFmtId="165" fontId="2" fillId="33" borderId="33" xfId="46" applyNumberFormat="1" applyFont="1" applyFill="1" applyBorder="1" applyAlignment="1" applyProtection="1">
      <alignment horizontal="center" vertical="center" wrapText="1"/>
      <protection/>
    </xf>
    <xf numFmtId="165" fontId="2" fillId="33" borderId="48" xfId="46" applyNumberFormat="1" applyFont="1" applyFill="1" applyBorder="1" applyAlignment="1" applyProtection="1">
      <alignment horizontal="center" vertical="center" wrapText="1"/>
      <protection/>
    </xf>
    <xf numFmtId="3" fontId="3" fillId="0" borderId="72" xfId="0" applyNumberFormat="1" applyFont="1" applyBorder="1" applyAlignment="1">
      <alignment horizontal="center"/>
    </xf>
    <xf numFmtId="165" fontId="2" fillId="33" borderId="34" xfId="46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0" borderId="72" xfId="0" applyNumberFormat="1" applyFont="1" applyBorder="1" applyAlignment="1">
      <alignment horizontal="center"/>
    </xf>
    <xf numFmtId="165" fontId="2" fillId="0" borderId="33" xfId="4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165" fontId="2" fillId="33" borderId="27" xfId="46" applyNumberFormat="1" applyFont="1" applyFill="1" applyBorder="1" applyAlignment="1" applyProtection="1">
      <alignment/>
      <protection/>
    </xf>
    <xf numFmtId="165" fontId="2" fillId="33" borderId="64" xfId="46" applyNumberFormat="1" applyFont="1" applyFill="1" applyBorder="1" applyAlignment="1" applyProtection="1">
      <alignment horizontal="center" vertical="center" wrapText="1"/>
      <protection/>
    </xf>
    <xf numFmtId="165" fontId="2" fillId="33" borderId="84" xfId="46" applyNumberFormat="1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2" fillId="33" borderId="85" xfId="46" applyNumberFormat="1" applyFont="1" applyFill="1" applyBorder="1" applyAlignment="1" applyProtection="1">
      <alignment horizontal="center" vertical="center" wrapText="1"/>
      <protection/>
    </xf>
    <xf numFmtId="165" fontId="0" fillId="0" borderId="30" xfId="46" applyNumberFormat="1" applyFill="1" applyBorder="1" applyAlignment="1" applyProtection="1">
      <alignment horizontal="center"/>
      <protection/>
    </xf>
    <xf numFmtId="165" fontId="0" fillId="0" borderId="31" xfId="46" applyNumberFormat="1" applyFill="1" applyBorder="1" applyAlignment="1" applyProtection="1">
      <alignment horizontal="center"/>
      <protection/>
    </xf>
    <xf numFmtId="165" fontId="0" fillId="0" borderId="33" xfId="46" applyNumberFormat="1" applyFill="1" applyBorder="1" applyAlignment="1" applyProtection="1">
      <alignment horizontal="center"/>
      <protection/>
    </xf>
    <xf numFmtId="165" fontId="0" fillId="0" borderId="34" xfId="46" applyNumberFormat="1" applyFill="1" applyBorder="1" applyAlignment="1" applyProtection="1">
      <alignment horizontal="center"/>
      <protection/>
    </xf>
    <xf numFmtId="3" fontId="3" fillId="0" borderId="86" xfId="0" applyNumberFormat="1" applyFont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5" fontId="0" fillId="33" borderId="0" xfId="46" applyNumberForma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33" borderId="20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165" fontId="2" fillId="33" borderId="18" xfId="46" applyNumberFormat="1" applyFont="1" applyFill="1" applyBorder="1" applyAlignment="1" applyProtection="1">
      <alignment horizontal="center" vertical="center" wrapText="1"/>
      <protection/>
    </xf>
    <xf numFmtId="3" fontId="2" fillId="33" borderId="25" xfId="0" applyNumberFormat="1" applyFont="1" applyFill="1" applyBorder="1" applyAlignment="1">
      <alignment horizontal="center" vertical="center" wrapText="1"/>
    </xf>
    <xf numFmtId="3" fontId="2" fillId="0" borderId="70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3" fontId="2" fillId="0" borderId="76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165" fontId="2" fillId="0" borderId="11" xfId="46" applyNumberFormat="1" applyFont="1" applyFill="1" applyBorder="1" applyAlignment="1" applyProtection="1">
      <alignment/>
      <protection/>
    </xf>
    <xf numFmtId="165" fontId="2" fillId="0" borderId="48" xfId="46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>
      <alignment horizontal="center"/>
    </xf>
    <xf numFmtId="3" fontId="0" fillId="0" borderId="76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3" fontId="0" fillId="0" borderId="87" xfId="0" applyNumberFormat="1" applyFont="1" applyBorder="1" applyAlignment="1">
      <alignment horizontal="center"/>
    </xf>
    <xf numFmtId="167" fontId="0" fillId="0" borderId="11" xfId="0" applyNumberFormat="1" applyFont="1" applyBorder="1" applyAlignment="1">
      <alignment/>
    </xf>
    <xf numFmtId="3" fontId="0" fillId="0" borderId="88" xfId="0" applyNumberFormat="1" applyFont="1" applyBorder="1" applyAlignment="1">
      <alignment horizontal="center"/>
    </xf>
    <xf numFmtId="3" fontId="2" fillId="0" borderId="88" xfId="0" applyNumberFormat="1" applyFont="1" applyBorder="1" applyAlignment="1">
      <alignment horizontal="center"/>
    </xf>
    <xf numFmtId="167" fontId="0" fillId="0" borderId="11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167" fontId="2" fillId="0" borderId="12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0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/>
    </xf>
    <xf numFmtId="165" fontId="2" fillId="33" borderId="11" xfId="46" applyNumberFormat="1" applyFont="1" applyFill="1" applyBorder="1" applyAlignment="1" applyProtection="1">
      <alignment/>
      <protection/>
    </xf>
    <xf numFmtId="165" fontId="2" fillId="33" borderId="48" xfId="46" applyNumberFormat="1" applyFont="1" applyFill="1" applyBorder="1" applyAlignment="1" applyProtection="1">
      <alignment/>
      <protection/>
    </xf>
    <xf numFmtId="3" fontId="0" fillId="33" borderId="12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 horizontal="center"/>
    </xf>
    <xf numFmtId="165" fontId="2" fillId="0" borderId="29" xfId="46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167" fontId="2" fillId="0" borderId="12" xfId="0" applyNumberFormat="1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9" fillId="33" borderId="14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/>
    </xf>
    <xf numFmtId="165" fontId="2" fillId="33" borderId="29" xfId="46" applyNumberFormat="1" applyFont="1" applyFill="1" applyBorder="1" applyAlignment="1" applyProtection="1">
      <alignment/>
      <protection/>
    </xf>
    <xf numFmtId="165" fontId="2" fillId="33" borderId="47" xfId="46" applyNumberFormat="1" applyFont="1" applyFill="1" applyBorder="1" applyAlignment="1" applyProtection="1">
      <alignment/>
      <protection/>
    </xf>
    <xf numFmtId="3" fontId="9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wrapText="1"/>
    </xf>
    <xf numFmtId="3" fontId="1" fillId="33" borderId="36" xfId="0" applyNumberFormat="1" applyFont="1" applyFill="1" applyBorder="1" applyAlignment="1">
      <alignment wrapText="1"/>
    </xf>
    <xf numFmtId="3" fontId="1" fillId="33" borderId="36" xfId="0" applyNumberFormat="1" applyFont="1" applyFill="1" applyBorder="1" applyAlignment="1">
      <alignment/>
    </xf>
    <xf numFmtId="165" fontId="2" fillId="33" borderId="37" xfId="46" applyNumberFormat="1" applyFont="1" applyFill="1" applyBorder="1" applyAlignment="1" applyProtection="1">
      <alignment/>
      <protection/>
    </xf>
    <xf numFmtId="165" fontId="2" fillId="33" borderId="50" xfId="46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>
      <alignment horizontal="center"/>
    </xf>
    <xf numFmtId="3" fontId="0" fillId="33" borderId="25" xfId="0" applyNumberFormat="1" applyFill="1" applyBorder="1" applyAlignment="1">
      <alignment horizontal="center"/>
    </xf>
    <xf numFmtId="165" fontId="2" fillId="33" borderId="23" xfId="46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36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/>
    </xf>
    <xf numFmtId="3" fontId="0" fillId="36" borderId="12" xfId="0" applyNumberFormat="1" applyFont="1" applyFill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0" fillId="36" borderId="12" xfId="0" applyNumberFormat="1" applyFont="1" applyFill="1" applyBorder="1" applyAlignment="1">
      <alignment/>
    </xf>
    <xf numFmtId="3" fontId="0" fillId="0" borderId="43" xfId="0" applyNumberFormat="1" applyFont="1" applyBorder="1" applyAlignment="1">
      <alignment horizontal="center"/>
    </xf>
    <xf numFmtId="3" fontId="2" fillId="33" borderId="4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2" fillId="37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36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2" fillId="33" borderId="25" xfId="0" applyFont="1" applyFill="1" applyBorder="1" applyAlignment="1">
      <alignment/>
    </xf>
    <xf numFmtId="165" fontId="2" fillId="33" borderId="25" xfId="46" applyNumberFormat="1" applyFont="1" applyFill="1" applyBorder="1" applyAlignment="1" applyProtection="1">
      <alignment/>
      <protection/>
    </xf>
    <xf numFmtId="0" fontId="2" fillId="38" borderId="12" xfId="0" applyFont="1" applyFill="1" applyBorder="1" applyAlignment="1">
      <alignment/>
    </xf>
    <xf numFmtId="0" fontId="2" fillId="38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8" borderId="13" xfId="0" applyFont="1" applyFill="1" applyBorder="1" applyAlignment="1">
      <alignment horizontal="left" vertical="center" wrapText="1"/>
    </xf>
    <xf numFmtId="165" fontId="0" fillId="0" borderId="13" xfId="46" applyNumberForma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165" fontId="0" fillId="0" borderId="10" xfId="46" applyNumberFormat="1" applyFill="1" applyBorder="1" applyAlignment="1" applyProtection="1">
      <alignment/>
      <protection/>
    </xf>
    <xf numFmtId="0" fontId="3" fillId="38" borderId="73" xfId="0" applyFont="1" applyFill="1" applyBorder="1" applyAlignment="1">
      <alignment horizontal="left" vertical="center" wrapText="1"/>
    </xf>
    <xf numFmtId="3" fontId="0" fillId="0" borderId="16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0" fontId="4" fillId="38" borderId="13" xfId="0" applyFont="1" applyFill="1" applyBorder="1" applyAlignment="1">
      <alignment horizontal="left" vertical="center" wrapText="1"/>
    </xf>
    <xf numFmtId="3" fontId="2" fillId="38" borderId="13" xfId="0" applyNumberFormat="1" applyFont="1" applyFill="1" applyBorder="1" applyAlignment="1">
      <alignment/>
    </xf>
    <xf numFmtId="3" fontId="2" fillId="38" borderId="16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8" borderId="17" xfId="0" applyFont="1" applyFill="1" applyBorder="1" applyAlignment="1">
      <alignment horizontal="left" vertical="center" wrapText="1"/>
    </xf>
    <xf numFmtId="3" fontId="2" fillId="33" borderId="13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21" fillId="33" borderId="19" xfId="0" applyFont="1" applyFill="1" applyBorder="1" applyAlignment="1">
      <alignment horizontal="left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left" vertical="center" wrapText="1"/>
    </xf>
    <xf numFmtId="165" fontId="3" fillId="0" borderId="12" xfId="46" applyNumberFormat="1" applyFont="1" applyFill="1" applyBorder="1" applyAlignment="1" applyProtection="1">
      <alignment/>
      <protection/>
    </xf>
    <xf numFmtId="165" fontId="3" fillId="0" borderId="33" xfId="46" applyNumberFormat="1" applyFont="1" applyFill="1" applyBorder="1" applyAlignment="1" applyProtection="1">
      <alignment/>
      <protection/>
    </xf>
    <xf numFmtId="0" fontId="0" fillId="38" borderId="32" xfId="0" applyFont="1" applyFill="1" applyBorder="1" applyAlignment="1">
      <alignment horizontal="left" vertical="center" wrapText="1"/>
    </xf>
    <xf numFmtId="165" fontId="3" fillId="0" borderId="0" xfId="46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2" fillId="33" borderId="32" xfId="0" applyFont="1" applyFill="1" applyBorder="1" applyAlignment="1">
      <alignment horizontal="left" vertical="center" wrapText="1"/>
    </xf>
    <xf numFmtId="3" fontId="2" fillId="33" borderId="3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3" fillId="36" borderId="12" xfId="46" applyNumberFormat="1" applyFont="1" applyFill="1" applyBorder="1" applyAlignment="1" applyProtection="1">
      <alignment/>
      <protection/>
    </xf>
    <xf numFmtId="0" fontId="2" fillId="38" borderId="24" xfId="0" applyFont="1" applyFill="1" applyBorder="1" applyAlignment="1">
      <alignment horizontal="left" vertical="center" wrapText="1"/>
    </xf>
    <xf numFmtId="3" fontId="2" fillId="38" borderId="25" xfId="0" applyNumberFormat="1" applyFont="1" applyFill="1" applyBorder="1" applyAlignment="1">
      <alignment/>
    </xf>
    <xf numFmtId="3" fontId="2" fillId="38" borderId="26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165" fontId="2" fillId="0" borderId="13" xfId="46" applyNumberFormat="1" applyFont="1" applyFill="1" applyBorder="1" applyAlignment="1" applyProtection="1">
      <alignment/>
      <protection/>
    </xf>
    <xf numFmtId="0" fontId="0" fillId="0" borderId="0" xfId="0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13" xfId="0" applyFont="1" applyFill="1" applyBorder="1" applyAlignment="1">
      <alignment/>
    </xf>
    <xf numFmtId="165" fontId="2" fillId="39" borderId="13" xfId="46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 wrapText="1"/>
    </xf>
    <xf numFmtId="165" fontId="2" fillId="36" borderId="13" xfId="46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165" fontId="0" fillId="0" borderId="0" xfId="46" applyNumberFormat="1" applyFont="1" applyFill="1" applyBorder="1" applyAlignment="1" applyProtection="1">
      <alignment horizontal="right" vertical="center"/>
      <protection/>
    </xf>
    <xf numFmtId="3" fontId="2" fillId="37" borderId="91" xfId="0" applyNumberFormat="1" applyFont="1" applyFill="1" applyBorder="1" applyAlignment="1">
      <alignment horizontal="center" vertical="center"/>
    </xf>
    <xf numFmtId="3" fontId="4" fillId="37" borderId="92" xfId="0" applyNumberFormat="1" applyFont="1" applyFill="1" applyBorder="1" applyAlignment="1">
      <alignment horizontal="center" vertical="center" wrapText="1"/>
    </xf>
    <xf numFmtId="165" fontId="2" fillId="37" borderId="63" xfId="46" applyNumberFormat="1" applyFont="1" applyFill="1" applyBorder="1" applyAlignment="1" applyProtection="1">
      <alignment horizontal="center" vertical="center" wrapText="1"/>
      <protection/>
    </xf>
    <xf numFmtId="165" fontId="2" fillId="37" borderId="93" xfId="46" applyNumberFormat="1" applyFont="1" applyFill="1" applyBorder="1" applyAlignment="1" applyProtection="1">
      <alignment horizontal="center" vertical="center" wrapText="1"/>
      <protection/>
    </xf>
    <xf numFmtId="3" fontId="2" fillId="37" borderId="11" xfId="0" applyNumberFormat="1" applyFont="1" applyFill="1" applyBorder="1" applyAlignment="1">
      <alignment horizontal="center" vertical="center"/>
    </xf>
    <xf numFmtId="3" fontId="2" fillId="37" borderId="88" xfId="0" applyNumberFormat="1" applyFont="1" applyFill="1" applyBorder="1" applyAlignment="1">
      <alignment horizontal="center" vertical="center"/>
    </xf>
    <xf numFmtId="165" fontId="2" fillId="37" borderId="88" xfId="46" applyNumberFormat="1" applyFont="1" applyFill="1" applyBorder="1" applyAlignment="1" applyProtection="1">
      <alignment horizontal="center"/>
      <protection/>
    </xf>
    <xf numFmtId="165" fontId="2" fillId="37" borderId="34" xfId="46" applyNumberFormat="1" applyFont="1" applyFill="1" applyBorder="1" applyAlignment="1" applyProtection="1">
      <alignment horizontal="center"/>
      <protection/>
    </xf>
    <xf numFmtId="3" fontId="0" fillId="0" borderId="88" xfId="0" applyNumberFormat="1" applyFont="1" applyFill="1" applyBorder="1" applyAlignment="1">
      <alignment/>
    </xf>
    <xf numFmtId="3" fontId="0" fillId="0" borderId="88" xfId="0" applyNumberForma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0" fontId="0" fillId="0" borderId="76" xfId="0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2" fillId="0" borderId="94" xfId="0" applyNumberFormat="1" applyFont="1" applyFill="1" applyBorder="1" applyAlignment="1">
      <alignment/>
    </xf>
    <xf numFmtId="3" fontId="2" fillId="0" borderId="95" xfId="0" applyNumberFormat="1" applyFont="1" applyFill="1" applyBorder="1" applyAlignment="1">
      <alignment/>
    </xf>
    <xf numFmtId="165" fontId="2" fillId="0" borderId="96" xfId="46" applyNumberFormat="1" applyFont="1" applyFill="1" applyBorder="1" applyAlignment="1" applyProtection="1">
      <alignment/>
      <protection/>
    </xf>
    <xf numFmtId="165" fontId="2" fillId="0" borderId="97" xfId="46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165" fontId="0" fillId="0" borderId="36" xfId="46" applyNumberFormat="1" applyFill="1" applyBorder="1" applyAlignment="1" applyProtection="1">
      <alignment/>
      <protection/>
    </xf>
    <xf numFmtId="165" fontId="0" fillId="0" borderId="49" xfId="46" applyNumberFormat="1" applyFill="1" applyBorder="1" applyAlignment="1" applyProtection="1">
      <alignment/>
      <protection/>
    </xf>
    <xf numFmtId="3" fontId="2" fillId="0" borderId="41" xfId="0" applyNumberFormat="1" applyFont="1" applyFill="1" applyBorder="1" applyAlignment="1">
      <alignment/>
    </xf>
    <xf numFmtId="3" fontId="2" fillId="0" borderId="98" xfId="0" applyNumberFormat="1" applyFont="1" applyFill="1" applyBorder="1" applyAlignment="1">
      <alignment/>
    </xf>
    <xf numFmtId="165" fontId="2" fillId="0" borderId="51" xfId="46" applyNumberFormat="1" applyFont="1" applyFill="1" applyBorder="1" applyAlignment="1" applyProtection="1">
      <alignment/>
      <protection/>
    </xf>
    <xf numFmtId="3" fontId="3" fillId="0" borderId="99" xfId="0" applyNumberFormat="1" applyFont="1" applyFill="1" applyBorder="1" applyAlignment="1">
      <alignment/>
    </xf>
    <xf numFmtId="165" fontId="0" fillId="0" borderId="14" xfId="46" applyNumberFormat="1" applyFill="1" applyBorder="1" applyAlignment="1" applyProtection="1">
      <alignment/>
      <protection/>
    </xf>
    <xf numFmtId="3" fontId="13" fillId="0" borderId="11" xfId="0" applyNumberFormat="1" applyFont="1" applyFill="1" applyBorder="1" applyAlignment="1">
      <alignment/>
    </xf>
    <xf numFmtId="3" fontId="9" fillId="0" borderId="88" xfId="0" applyNumberFormat="1" applyFont="1" applyFill="1" applyBorder="1" applyAlignment="1">
      <alignment/>
    </xf>
    <xf numFmtId="165" fontId="9" fillId="0" borderId="12" xfId="46" applyNumberFormat="1" applyFont="1" applyFill="1" applyBorder="1" applyAlignment="1" applyProtection="1">
      <alignment/>
      <protection/>
    </xf>
    <xf numFmtId="165" fontId="9" fillId="0" borderId="33" xfId="46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3" fontId="13" fillId="0" borderId="37" xfId="0" applyNumberFormat="1" applyFont="1" applyFill="1" applyBorder="1" applyAlignment="1">
      <alignment/>
    </xf>
    <xf numFmtId="3" fontId="13" fillId="0" borderId="89" xfId="0" applyNumberFormat="1" applyFont="1" applyFill="1" applyBorder="1" applyAlignment="1">
      <alignment/>
    </xf>
    <xf numFmtId="165" fontId="9" fillId="0" borderId="49" xfId="46" applyNumberFormat="1" applyFont="1" applyFill="1" applyBorder="1" applyAlignment="1" applyProtection="1">
      <alignment/>
      <protection/>
    </xf>
    <xf numFmtId="165" fontId="2" fillId="36" borderId="42" xfId="46" applyNumberFormat="1" applyFont="1" applyFill="1" applyBorder="1" applyAlignment="1" applyProtection="1">
      <alignment/>
      <protection/>
    </xf>
    <xf numFmtId="165" fontId="2" fillId="40" borderId="42" xfId="46" applyNumberFormat="1" applyFont="1" applyFill="1" applyBorder="1" applyAlignment="1" applyProtection="1">
      <alignment/>
      <protection/>
    </xf>
    <xf numFmtId="3" fontId="2" fillId="37" borderId="100" xfId="0" applyNumberFormat="1" applyFont="1" applyFill="1" applyBorder="1" applyAlignment="1">
      <alignment horizontal="center" vertical="center"/>
    </xf>
    <xf numFmtId="3" fontId="4" fillId="37" borderId="101" xfId="0" applyNumberFormat="1" applyFont="1" applyFill="1" applyBorder="1" applyAlignment="1">
      <alignment horizontal="center" vertical="center" wrapText="1"/>
    </xf>
    <xf numFmtId="3" fontId="2" fillId="37" borderId="76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165" fontId="2" fillId="37" borderId="12" xfId="46" applyNumberFormat="1" applyFont="1" applyFill="1" applyBorder="1" applyAlignment="1" applyProtection="1">
      <alignment horizontal="center"/>
      <protection/>
    </xf>
    <xf numFmtId="165" fontId="2" fillId="37" borderId="33" xfId="46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>
      <alignment horizontal="center"/>
    </xf>
    <xf numFmtId="3" fontId="2" fillId="0" borderId="10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" fontId="0" fillId="0" borderId="76" xfId="0" applyNumberFormat="1" applyFont="1" applyFill="1" applyBorder="1" applyAlignment="1">
      <alignment horizontal="center"/>
    </xf>
    <xf numFmtId="165" fontId="0" fillId="36" borderId="33" xfId="46" applyNumberFormat="1" applyFill="1" applyBorder="1" applyAlignment="1" applyProtection="1">
      <alignment/>
      <protection/>
    </xf>
    <xf numFmtId="3" fontId="2" fillId="0" borderId="76" xfId="0" applyNumberFormat="1" applyFont="1" applyFill="1" applyBorder="1" applyAlignment="1">
      <alignment horizontal="center"/>
    </xf>
    <xf numFmtId="165" fontId="2" fillId="36" borderId="33" xfId="46" applyNumberFormat="1" applyFont="1" applyFill="1" applyBorder="1" applyAlignment="1" applyProtection="1">
      <alignment/>
      <protection/>
    </xf>
    <xf numFmtId="3" fontId="0" fillId="0" borderId="87" xfId="0" applyNumberFormat="1" applyFont="1" applyFill="1" applyBorder="1" applyAlignment="1">
      <alignment horizontal="center"/>
    </xf>
    <xf numFmtId="167" fontId="0" fillId="0" borderId="36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 horizontal="center"/>
    </xf>
    <xf numFmtId="167" fontId="2" fillId="33" borderId="40" xfId="0" applyNumberFormat="1" applyFont="1" applyFill="1" applyBorder="1" applyAlignment="1">
      <alignment/>
    </xf>
    <xf numFmtId="165" fontId="2" fillId="33" borderId="42" xfId="46" applyNumberFormat="1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3" fontId="0" fillId="36" borderId="14" xfId="0" applyNumberFormat="1" applyFont="1" applyFill="1" applyBorder="1" applyAlignment="1">
      <alignment horizontal="center"/>
    </xf>
    <xf numFmtId="3" fontId="0" fillId="36" borderId="14" xfId="0" applyNumberFormat="1" applyFont="1" applyFill="1" applyBorder="1" applyAlignment="1">
      <alignment/>
    </xf>
    <xf numFmtId="167" fontId="0" fillId="36" borderId="14" xfId="0" applyNumberFormat="1" applyFont="1" applyFill="1" applyBorder="1" applyAlignment="1">
      <alignment/>
    </xf>
    <xf numFmtId="165" fontId="0" fillId="36" borderId="30" xfId="46" applyNumberFormat="1" applyFill="1" applyBorder="1" applyAlignment="1" applyProtection="1">
      <alignment/>
      <protection/>
    </xf>
    <xf numFmtId="167" fontId="0" fillId="36" borderId="12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3" fontId="0" fillId="36" borderId="25" xfId="0" applyNumberFormat="1" applyFont="1" applyFill="1" applyBorder="1" applyAlignment="1">
      <alignment horizontal="center"/>
    </xf>
    <xf numFmtId="3" fontId="0" fillId="36" borderId="25" xfId="0" applyNumberFormat="1" applyFont="1" applyFill="1" applyBorder="1" applyAlignment="1">
      <alignment/>
    </xf>
    <xf numFmtId="167" fontId="0" fillId="36" borderId="25" xfId="0" applyNumberFormat="1" applyFont="1" applyFill="1" applyBorder="1" applyAlignment="1">
      <alignment/>
    </xf>
    <xf numFmtId="165" fontId="0" fillId="36" borderId="25" xfId="46" applyNumberFormat="1" applyFill="1" applyBorder="1" applyAlignment="1" applyProtection="1">
      <alignment/>
      <protection/>
    </xf>
    <xf numFmtId="165" fontId="0" fillId="36" borderId="26" xfId="46" applyNumberFormat="1" applyFill="1" applyBorder="1" applyAlignment="1" applyProtection="1">
      <alignment/>
      <protection/>
    </xf>
    <xf numFmtId="3" fontId="9" fillId="36" borderId="0" xfId="0" applyNumberFormat="1" applyFont="1" applyFill="1" applyBorder="1" applyAlignment="1">
      <alignment horizontal="center"/>
    </xf>
    <xf numFmtId="0" fontId="9" fillId="36" borderId="0" xfId="0" applyFont="1" applyFill="1" applyAlignment="1">
      <alignment/>
    </xf>
    <xf numFmtId="167" fontId="9" fillId="36" borderId="0" xfId="0" applyNumberFormat="1" applyFont="1" applyFill="1" applyBorder="1" applyAlignment="1">
      <alignment/>
    </xf>
    <xf numFmtId="165" fontId="0" fillId="36" borderId="0" xfId="46" applyNumberFormat="1" applyFill="1" applyBorder="1" applyAlignment="1" applyProtection="1">
      <alignment/>
      <protection/>
    </xf>
    <xf numFmtId="0" fontId="11" fillId="0" borderId="0" xfId="0" applyFont="1" applyAlignment="1">
      <alignment/>
    </xf>
    <xf numFmtId="165" fontId="0" fillId="0" borderId="0" xfId="46" applyNumberFormat="1" applyFill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80" xfId="0" applyNumberFormat="1" applyFont="1" applyFill="1" applyBorder="1" applyAlignment="1">
      <alignment horizontal="center" vertical="center" wrapText="1"/>
    </xf>
    <xf numFmtId="3" fontId="0" fillId="33" borderId="29" xfId="0" applyNumberFormat="1" applyFont="1" applyFill="1" applyBorder="1" applyAlignment="1">
      <alignment horizontal="center" vertical="center"/>
    </xf>
    <xf numFmtId="3" fontId="0" fillId="33" borderId="99" xfId="0" applyNumberFormat="1" applyFont="1" applyFill="1" applyBorder="1" applyAlignment="1">
      <alignment horizontal="center" vertical="center"/>
    </xf>
    <xf numFmtId="165" fontId="2" fillId="33" borderId="29" xfId="46" applyNumberFormat="1" applyFont="1" applyFill="1" applyBorder="1" applyAlignment="1" applyProtection="1">
      <alignment horizontal="center"/>
      <protection/>
    </xf>
    <xf numFmtId="165" fontId="2" fillId="33" borderId="47" xfId="46" applyNumberFormat="1" applyFont="1" applyFill="1" applyBorder="1" applyAlignment="1" applyProtection="1">
      <alignment horizontal="center"/>
      <protection/>
    </xf>
    <xf numFmtId="3" fontId="0" fillId="0" borderId="88" xfId="0" applyNumberFormat="1" applyFont="1" applyBorder="1" applyAlignment="1">
      <alignment/>
    </xf>
    <xf numFmtId="165" fontId="0" fillId="0" borderId="11" xfId="46" applyNumberFormat="1" applyFont="1" applyFill="1" applyBorder="1" applyAlignment="1" applyProtection="1">
      <alignment/>
      <protection/>
    </xf>
    <xf numFmtId="3" fontId="2" fillId="0" borderId="11" xfId="0" applyNumberFormat="1" applyFont="1" applyBorder="1" applyAlignment="1">
      <alignment/>
    </xf>
    <xf numFmtId="3" fontId="2" fillId="0" borderId="88" xfId="0" applyNumberFormat="1" applyFont="1" applyBorder="1" applyAlignment="1">
      <alignment/>
    </xf>
    <xf numFmtId="3" fontId="13" fillId="0" borderId="11" xfId="0" applyNumberFormat="1" applyFont="1" applyFill="1" applyBorder="1" applyAlignment="1">
      <alignment horizontal="right"/>
    </xf>
    <xf numFmtId="3" fontId="13" fillId="0" borderId="88" xfId="0" applyNumberFormat="1" applyFont="1" applyFill="1" applyBorder="1" applyAlignment="1">
      <alignment/>
    </xf>
    <xf numFmtId="165" fontId="13" fillId="0" borderId="11" xfId="46" applyNumberFormat="1" applyFont="1" applyFill="1" applyBorder="1" applyAlignment="1" applyProtection="1">
      <alignment/>
      <protection/>
    </xf>
    <xf numFmtId="165" fontId="13" fillId="0" borderId="48" xfId="46" applyNumberFormat="1" applyFont="1" applyFill="1" applyBorder="1" applyAlignment="1" applyProtection="1">
      <alignment/>
      <protection/>
    </xf>
    <xf numFmtId="3" fontId="13" fillId="0" borderId="37" xfId="0" applyNumberFormat="1" applyFont="1" applyFill="1" applyBorder="1" applyAlignment="1">
      <alignment horizontal="right"/>
    </xf>
    <xf numFmtId="165" fontId="13" fillId="0" borderId="37" xfId="46" applyNumberFormat="1" applyFont="1" applyFill="1" applyBorder="1" applyAlignment="1" applyProtection="1">
      <alignment/>
      <protection/>
    </xf>
    <xf numFmtId="165" fontId="13" fillId="0" borderId="50" xfId="46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left"/>
    </xf>
    <xf numFmtId="165" fontId="2" fillId="0" borderId="37" xfId="46" applyNumberFormat="1" applyFont="1" applyFill="1" applyBorder="1" applyAlignment="1" applyProtection="1">
      <alignment/>
      <protection/>
    </xf>
    <xf numFmtId="165" fontId="2" fillId="0" borderId="50" xfId="46" applyNumberFormat="1" applyFont="1" applyFill="1" applyBorder="1" applyAlignment="1" applyProtection="1">
      <alignment/>
      <protection/>
    </xf>
    <xf numFmtId="0" fontId="2" fillId="37" borderId="41" xfId="0" applyFont="1" applyFill="1" applyBorder="1" applyAlignment="1">
      <alignment/>
    </xf>
    <xf numFmtId="0" fontId="2" fillId="37" borderId="98" xfId="0" applyFont="1" applyFill="1" applyBorder="1" applyAlignment="1">
      <alignment/>
    </xf>
    <xf numFmtId="165" fontId="2" fillId="37" borderId="41" xfId="46" applyNumberFormat="1" applyFont="1" applyFill="1" applyBorder="1" applyAlignment="1" applyProtection="1">
      <alignment/>
      <protection/>
    </xf>
    <xf numFmtId="165" fontId="2" fillId="37" borderId="46" xfId="46" applyNumberFormat="1" applyFont="1" applyFill="1" applyBorder="1" applyAlignment="1" applyProtection="1">
      <alignment/>
      <protection/>
    </xf>
    <xf numFmtId="165" fontId="0" fillId="0" borderId="0" xfId="46" applyNumberFormat="1" applyFont="1" applyFill="1" applyBorder="1" applyAlignment="1" applyProtection="1">
      <alignment/>
      <protection/>
    </xf>
    <xf numFmtId="3" fontId="2" fillId="33" borderId="103" xfId="0" applyNumberFormat="1" applyFont="1" applyFill="1" applyBorder="1" applyAlignment="1">
      <alignment horizontal="center" vertical="center"/>
    </xf>
    <xf numFmtId="3" fontId="2" fillId="33" borderId="101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/>
    </xf>
    <xf numFmtId="165" fontId="2" fillId="33" borderId="33" xfId="46" applyNumberFormat="1" applyFont="1" applyFill="1" applyBorder="1" applyAlignment="1" applyProtection="1">
      <alignment horizontal="center"/>
      <protection/>
    </xf>
    <xf numFmtId="3" fontId="2" fillId="0" borderId="72" xfId="0" applyNumberFormat="1" applyFont="1" applyFill="1" applyBorder="1" applyAlignment="1">
      <alignment horizontal="center"/>
    </xf>
    <xf numFmtId="165" fontId="2" fillId="0" borderId="30" xfId="46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>
      <alignment horizontal="center"/>
    </xf>
    <xf numFmtId="165" fontId="0" fillId="0" borderId="34" xfId="46" applyNumberFormat="1" applyFont="1" applyFill="1" applyBorder="1" applyAlignment="1" applyProtection="1">
      <alignment/>
      <protection/>
    </xf>
    <xf numFmtId="3" fontId="0" fillId="0" borderId="104" xfId="0" applyNumberFormat="1" applyFont="1" applyFill="1" applyBorder="1" applyAlignment="1">
      <alignment horizontal="center"/>
    </xf>
    <xf numFmtId="165" fontId="0" fillId="0" borderId="49" xfId="46" applyNumberFormat="1" applyFont="1" applyFill="1" applyBorder="1" applyAlignment="1" applyProtection="1">
      <alignment/>
      <protection/>
    </xf>
    <xf numFmtId="165" fontId="0" fillId="0" borderId="12" xfId="46" applyNumberFormat="1" applyFont="1" applyFill="1" applyBorder="1" applyAlignment="1" applyProtection="1">
      <alignment/>
      <protection/>
    </xf>
    <xf numFmtId="3" fontId="2" fillId="37" borderId="53" xfId="0" applyNumberFormat="1" applyFont="1" applyFill="1" applyBorder="1" applyAlignment="1">
      <alignment horizontal="center" wrapText="1"/>
    </xf>
    <xf numFmtId="3" fontId="2" fillId="37" borderId="54" xfId="0" applyNumberFormat="1" applyFont="1" applyFill="1" applyBorder="1" applyAlignment="1">
      <alignment horizontal="center"/>
    </xf>
    <xf numFmtId="3" fontId="2" fillId="37" borderId="54" xfId="0" applyNumberFormat="1" applyFont="1" applyFill="1" applyBorder="1" applyAlignment="1">
      <alignment wrapText="1"/>
    </xf>
    <xf numFmtId="167" fontId="2" fillId="37" borderId="54" xfId="0" applyNumberFormat="1" applyFont="1" applyFill="1" applyBorder="1" applyAlignment="1">
      <alignment/>
    </xf>
    <xf numFmtId="165" fontId="2" fillId="37" borderId="55" xfId="46" applyNumberFormat="1" applyFont="1" applyFill="1" applyBorder="1" applyAlignment="1" applyProtection="1">
      <alignment/>
      <protection/>
    </xf>
    <xf numFmtId="165" fontId="2" fillId="37" borderId="56" xfId="46" applyNumberFormat="1" applyFont="1" applyFill="1" applyBorder="1" applyAlignment="1" applyProtection="1">
      <alignment/>
      <protection/>
    </xf>
    <xf numFmtId="165" fontId="0" fillId="36" borderId="31" xfId="46" applyNumberFormat="1" applyFill="1" applyBorder="1" applyAlignment="1" applyProtection="1">
      <alignment/>
      <protection/>
    </xf>
    <xf numFmtId="165" fontId="0" fillId="36" borderId="26" xfId="46" applyNumberFormat="1" applyFont="1" applyFill="1" applyBorder="1" applyAlignment="1" applyProtection="1">
      <alignment horizontal="right"/>
      <protection/>
    </xf>
    <xf numFmtId="165" fontId="0" fillId="36" borderId="26" xfId="46" applyNumberFormat="1" applyFill="1" applyBorder="1" applyAlignment="1" applyProtection="1">
      <alignment horizontal="right"/>
      <protection/>
    </xf>
    <xf numFmtId="165" fontId="0" fillId="36" borderId="27" xfId="46" applyNumberFormat="1" applyFill="1" applyBorder="1" applyAlignment="1" applyProtection="1">
      <alignment horizontal="right"/>
      <protection/>
    </xf>
    <xf numFmtId="165" fontId="0" fillId="0" borderId="0" xfId="46" applyNumberForma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>
      <alignment vertical="center"/>
    </xf>
    <xf numFmtId="165" fontId="2" fillId="33" borderId="40" xfId="46" applyNumberFormat="1" applyFont="1" applyFill="1" applyBorder="1" applyAlignment="1" applyProtection="1">
      <alignment horizontal="center" vertical="center" wrapText="1"/>
      <protection/>
    </xf>
    <xf numFmtId="165" fontId="2" fillId="33" borderId="42" xfId="46" applyNumberFormat="1" applyFont="1" applyFill="1" applyBorder="1" applyAlignment="1" applyProtection="1">
      <alignment horizontal="center" vertical="center" wrapText="1"/>
      <protection/>
    </xf>
    <xf numFmtId="165" fontId="2" fillId="33" borderId="30" xfId="46" applyNumberFormat="1" applyFont="1" applyFill="1" applyBorder="1" applyAlignment="1" applyProtection="1">
      <alignment horizontal="center" vertical="center"/>
      <protection/>
    </xf>
    <xf numFmtId="3" fontId="2" fillId="0" borderId="29" xfId="0" applyNumberFormat="1" applyFont="1" applyFill="1" applyBorder="1" applyAlignment="1">
      <alignment/>
    </xf>
    <xf numFmtId="3" fontId="2" fillId="0" borderId="99" xfId="0" applyNumberFormat="1" applyFont="1" applyFill="1" applyBorder="1" applyAlignment="1">
      <alignment/>
    </xf>
    <xf numFmtId="165" fontId="2" fillId="0" borderId="30" xfId="46" applyNumberFormat="1" applyFont="1" applyFill="1" applyBorder="1" applyAlignment="1" applyProtection="1">
      <alignment horizontal="center" vertical="center"/>
      <protection/>
    </xf>
    <xf numFmtId="165" fontId="0" fillId="0" borderId="33" xfId="46" applyNumberFormat="1" applyFill="1" applyBorder="1" applyAlignment="1" applyProtection="1">
      <alignment horizontal="center" vertical="center"/>
      <protection/>
    </xf>
    <xf numFmtId="165" fontId="2" fillId="0" borderId="33" xfId="46" applyNumberFormat="1" applyFont="1" applyFill="1" applyBorder="1" applyAlignment="1" applyProtection="1">
      <alignment horizontal="center" vertical="center"/>
      <protection/>
    </xf>
    <xf numFmtId="165" fontId="6" fillId="0" borderId="34" xfId="46" applyNumberFormat="1" applyFont="1" applyFill="1" applyBorder="1" applyAlignment="1" applyProtection="1">
      <alignment/>
      <protection/>
    </xf>
    <xf numFmtId="165" fontId="0" fillId="0" borderId="33" xfId="46" applyNumberFormat="1" applyFont="1" applyFill="1" applyBorder="1" applyAlignment="1" applyProtection="1">
      <alignment horizontal="center" vertical="center"/>
      <protection/>
    </xf>
    <xf numFmtId="165" fontId="6" fillId="0" borderId="38" xfId="46" applyNumberFormat="1" applyFont="1" applyFill="1" applyBorder="1" applyAlignment="1" applyProtection="1">
      <alignment/>
      <protection/>
    </xf>
    <xf numFmtId="3" fontId="5" fillId="37" borderId="41" xfId="0" applyNumberFormat="1" applyFont="1" applyFill="1" applyBorder="1" applyAlignment="1">
      <alignment horizontal="left"/>
    </xf>
    <xf numFmtId="3" fontId="5" fillId="37" borderId="98" xfId="0" applyNumberFormat="1" applyFont="1" applyFill="1" applyBorder="1" applyAlignment="1">
      <alignment horizontal="left"/>
    </xf>
    <xf numFmtId="165" fontId="5" fillId="37" borderId="51" xfId="46" applyNumberFormat="1" applyFont="1" applyFill="1" applyBorder="1" applyAlignment="1" applyProtection="1">
      <alignment/>
      <protection/>
    </xf>
    <xf numFmtId="3" fontId="5" fillId="36" borderId="0" xfId="0" applyNumberFormat="1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left"/>
    </xf>
    <xf numFmtId="165" fontId="5" fillId="36" borderId="0" xfId="46" applyNumberFormat="1" applyFont="1" applyFill="1" applyBorder="1" applyAlignment="1" applyProtection="1">
      <alignment/>
      <protection/>
    </xf>
    <xf numFmtId="167" fontId="2" fillId="0" borderId="36" xfId="0" applyNumberFormat="1" applyFont="1" applyBorder="1" applyAlignment="1">
      <alignment/>
    </xf>
    <xf numFmtId="165" fontId="0" fillId="36" borderId="29" xfId="46" applyNumberFormat="1" applyFill="1" applyBorder="1" applyAlignment="1" applyProtection="1">
      <alignment horizontal="center" vertical="center"/>
      <protection/>
    </xf>
    <xf numFmtId="165" fontId="0" fillId="36" borderId="47" xfId="46" applyNumberFormat="1" applyFill="1" applyBorder="1" applyAlignment="1" applyProtection="1">
      <alignment horizontal="center" vertical="center"/>
      <protection/>
    </xf>
    <xf numFmtId="165" fontId="0" fillId="36" borderId="31" xfId="46" applyNumberFormat="1" applyFill="1" applyBorder="1" applyAlignment="1" applyProtection="1">
      <alignment horizontal="center" vertical="center"/>
      <protection/>
    </xf>
    <xf numFmtId="165" fontId="0" fillId="36" borderId="11" xfId="46" applyNumberFormat="1" applyFill="1" applyBorder="1" applyAlignment="1" applyProtection="1">
      <alignment horizontal="center" vertical="center"/>
      <protection/>
    </xf>
    <xf numFmtId="165" fontId="0" fillId="36" borderId="48" xfId="46" applyNumberFormat="1" applyFill="1" applyBorder="1" applyAlignment="1" applyProtection="1">
      <alignment horizontal="center" vertical="center"/>
      <protection/>
    </xf>
    <xf numFmtId="165" fontId="0" fillId="36" borderId="34" xfId="46" applyNumberFormat="1" applyFill="1" applyBorder="1" applyAlignment="1" applyProtection="1">
      <alignment horizontal="center" vertical="center"/>
      <protection/>
    </xf>
    <xf numFmtId="165" fontId="0" fillId="36" borderId="23" xfId="46" applyNumberFormat="1" applyFill="1" applyBorder="1" applyAlignment="1" applyProtection="1">
      <alignment horizontal="center" vertical="center"/>
      <protection/>
    </xf>
    <xf numFmtId="165" fontId="0" fillId="36" borderId="81" xfId="46" applyNumberFormat="1" applyFill="1" applyBorder="1" applyAlignment="1" applyProtection="1">
      <alignment horizontal="center" vertical="center"/>
      <protection/>
    </xf>
    <xf numFmtId="165" fontId="0" fillId="36" borderId="27" xfId="46" applyNumberFormat="1" applyFill="1" applyBorder="1" applyAlignment="1" applyProtection="1">
      <alignment horizontal="center" vertical="center"/>
      <protection/>
    </xf>
    <xf numFmtId="165" fontId="0" fillId="36" borderId="0" xfId="46" applyNumberFormat="1" applyFill="1" applyBorder="1" applyAlignment="1" applyProtection="1">
      <alignment horizontal="center" vertical="center"/>
      <protection/>
    </xf>
    <xf numFmtId="165" fontId="2" fillId="33" borderId="26" xfId="46" applyNumberFormat="1" applyFont="1" applyFill="1" applyBorder="1" applyAlignment="1" applyProtection="1">
      <alignment horizontal="center" vertical="center"/>
      <protection/>
    </xf>
    <xf numFmtId="3" fontId="0" fillId="0" borderId="105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3" fontId="2" fillId="0" borderId="106" xfId="0" applyNumberFormat="1" applyFont="1" applyFill="1" applyBorder="1" applyAlignment="1">
      <alignment/>
    </xf>
    <xf numFmtId="165" fontId="2" fillId="0" borderId="21" xfId="46" applyNumberFormat="1" applyFont="1" applyFill="1" applyBorder="1" applyAlignment="1" applyProtection="1">
      <alignment horizontal="right" vertical="center"/>
      <protection/>
    </xf>
    <xf numFmtId="3" fontId="0" fillId="0" borderId="73" xfId="0" applyNumberFormat="1" applyFont="1" applyBorder="1" applyAlignment="1">
      <alignment horizontal="center"/>
    </xf>
    <xf numFmtId="165" fontId="0" fillId="0" borderId="33" xfId="46" applyNumberFormat="1" applyFill="1" applyBorder="1" applyAlignment="1" applyProtection="1">
      <alignment horizontal="right" vertical="center"/>
      <protection/>
    </xf>
    <xf numFmtId="3" fontId="2" fillId="0" borderId="73" xfId="0" applyNumberFormat="1" applyFont="1" applyBorder="1" applyAlignment="1">
      <alignment horizontal="center"/>
    </xf>
    <xf numFmtId="165" fontId="2" fillId="0" borderId="33" xfId="46" applyNumberFormat="1" applyFont="1" applyFill="1" applyBorder="1" applyAlignment="1" applyProtection="1">
      <alignment horizontal="right" vertical="center"/>
      <protection/>
    </xf>
    <xf numFmtId="3" fontId="13" fillId="0" borderId="72" xfId="0" applyNumberFormat="1" applyFont="1" applyBorder="1" applyAlignment="1">
      <alignment horizontal="center"/>
    </xf>
    <xf numFmtId="3" fontId="13" fillId="0" borderId="73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/>
    </xf>
    <xf numFmtId="3" fontId="13" fillId="0" borderId="88" xfId="0" applyNumberFormat="1" applyFont="1" applyBorder="1" applyAlignment="1">
      <alignment/>
    </xf>
    <xf numFmtId="165" fontId="13" fillId="0" borderId="33" xfId="46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3" fontId="3" fillId="0" borderId="11" xfId="0" applyNumberFormat="1" applyFont="1" applyFill="1" applyBorder="1" applyAlignment="1">
      <alignment/>
    </xf>
    <xf numFmtId="3" fontId="9" fillId="0" borderId="72" xfId="0" applyNumberFormat="1" applyFont="1" applyBorder="1" applyAlignment="1">
      <alignment horizontal="center"/>
    </xf>
    <xf numFmtId="3" fontId="9" fillId="0" borderId="73" xfId="0" applyNumberFormat="1" applyFont="1" applyBorder="1" applyAlignment="1">
      <alignment horizontal="center"/>
    </xf>
    <xf numFmtId="3" fontId="9" fillId="0" borderId="104" xfId="0" applyNumberFormat="1" applyFont="1" applyBorder="1" applyAlignment="1">
      <alignment horizontal="center"/>
    </xf>
    <xf numFmtId="3" fontId="9" fillId="0" borderId="82" xfId="0" applyNumberFormat="1" applyFont="1" applyBorder="1" applyAlignment="1">
      <alignment horizontal="center"/>
    </xf>
    <xf numFmtId="3" fontId="9" fillId="0" borderId="89" xfId="0" applyNumberFormat="1" applyFont="1" applyFill="1" applyBorder="1" applyAlignment="1">
      <alignment/>
    </xf>
    <xf numFmtId="165" fontId="0" fillId="36" borderId="49" xfId="46" applyNumberFormat="1" applyFill="1" applyBorder="1" applyAlignment="1" applyProtection="1">
      <alignment horizontal="right" vertical="center"/>
      <protection/>
    </xf>
    <xf numFmtId="3" fontId="2" fillId="37" borderId="107" xfId="0" applyNumberFormat="1" applyFont="1" applyFill="1" applyBorder="1" applyAlignment="1">
      <alignment horizontal="center"/>
    </xf>
    <xf numFmtId="3" fontId="2" fillId="37" borderId="108" xfId="0" applyNumberFormat="1" applyFont="1" applyFill="1" applyBorder="1" applyAlignment="1">
      <alignment horizontal="center"/>
    </xf>
    <xf numFmtId="3" fontId="2" fillId="37" borderId="41" xfId="0" applyNumberFormat="1" applyFont="1" applyFill="1" applyBorder="1" applyAlignment="1">
      <alignment horizontal="left"/>
    </xf>
    <xf numFmtId="3" fontId="2" fillId="37" borderId="98" xfId="0" applyNumberFormat="1" applyFont="1" applyFill="1" applyBorder="1" applyAlignment="1">
      <alignment horizontal="left"/>
    </xf>
    <xf numFmtId="165" fontId="2" fillId="37" borderId="42" xfId="46" applyNumberFormat="1" applyFont="1" applyFill="1" applyBorder="1" applyAlignment="1" applyProtection="1">
      <alignment horizontal="center" vertical="center"/>
      <protection/>
    </xf>
    <xf numFmtId="165" fontId="2" fillId="33" borderId="25" xfId="46" applyNumberFormat="1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left" wrapText="1"/>
    </xf>
    <xf numFmtId="167" fontId="2" fillId="0" borderId="14" xfId="0" applyNumberFormat="1" applyFont="1" applyFill="1" applyBorder="1" applyAlignment="1">
      <alignment horizontal="center"/>
    </xf>
    <xf numFmtId="165" fontId="2" fillId="0" borderId="30" xfId="46" applyNumberFormat="1" applyFont="1" applyFill="1" applyBorder="1" applyAlignment="1" applyProtection="1">
      <alignment horizontal="right" vertical="center"/>
      <protection/>
    </xf>
    <xf numFmtId="3" fontId="0" fillId="0" borderId="28" xfId="0" applyNumberFormat="1" applyFont="1" applyBorder="1" applyAlignment="1">
      <alignment horizontal="center"/>
    </xf>
    <xf numFmtId="165" fontId="0" fillId="36" borderId="33" xfId="46" applyNumberFormat="1" applyFill="1" applyBorder="1" applyAlignment="1" applyProtection="1">
      <alignment horizontal="right" vertical="center"/>
      <protection/>
    </xf>
    <xf numFmtId="0" fontId="23" fillId="0" borderId="0" xfId="0" applyFont="1" applyAlignment="1">
      <alignment horizontal="justify" vertical="center"/>
    </xf>
    <xf numFmtId="165" fontId="2" fillId="36" borderId="33" xfId="46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67" fontId="2" fillId="36" borderId="12" xfId="0" applyNumberFormat="1" applyFont="1" applyFill="1" applyBorder="1" applyAlignment="1">
      <alignment horizontal="center"/>
    </xf>
    <xf numFmtId="167" fontId="0" fillId="36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wrapText="1"/>
    </xf>
    <xf numFmtId="3" fontId="0" fillId="0" borderId="109" xfId="0" applyNumberFormat="1" applyFont="1" applyFill="1" applyBorder="1" applyAlignment="1">
      <alignment horizontal="center"/>
    </xf>
    <xf numFmtId="167" fontId="0" fillId="0" borderId="109" xfId="0" applyNumberFormat="1" applyFont="1" applyBorder="1" applyAlignment="1">
      <alignment horizontal="center"/>
    </xf>
    <xf numFmtId="165" fontId="0" fillId="0" borderId="45" xfId="46" applyNumberFormat="1" applyFill="1" applyBorder="1" applyAlignment="1" applyProtection="1">
      <alignment horizontal="right" vertical="center"/>
      <protection/>
    </xf>
    <xf numFmtId="3" fontId="0" fillId="0" borderId="39" xfId="0" applyNumberFormat="1" applyFont="1" applyBorder="1" applyAlignment="1">
      <alignment horizontal="center"/>
    </xf>
    <xf numFmtId="3" fontId="2" fillId="37" borderId="40" xfId="0" applyNumberFormat="1" applyFont="1" applyFill="1" applyBorder="1" applyAlignment="1">
      <alignment/>
    </xf>
    <xf numFmtId="165" fontId="2" fillId="37" borderId="40" xfId="46" applyNumberFormat="1" applyFont="1" applyFill="1" applyBorder="1" applyAlignment="1" applyProtection="1">
      <alignment horizontal="center" vertical="center"/>
      <protection/>
    </xf>
    <xf numFmtId="1" fontId="0" fillId="36" borderId="14" xfId="0" applyNumberFormat="1" applyFont="1" applyFill="1" applyBorder="1" applyAlignment="1">
      <alignment horizontal="center"/>
    </xf>
    <xf numFmtId="167" fontId="2" fillId="36" borderId="14" xfId="0" applyNumberFormat="1" applyFont="1" applyFill="1" applyBorder="1" applyAlignment="1">
      <alignment/>
    </xf>
    <xf numFmtId="165" fontId="0" fillId="36" borderId="30" xfId="46" applyNumberFormat="1" applyFill="1" applyBorder="1" applyAlignment="1" applyProtection="1">
      <alignment horizontal="right" vertical="center"/>
      <protection/>
    </xf>
    <xf numFmtId="3" fontId="0" fillId="36" borderId="12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8" fillId="33" borderId="12" xfId="0" applyNumberFormat="1" applyFont="1" applyFill="1" applyBorder="1" applyAlignment="1">
      <alignment horizontal="center" vertical="center" wrapText="1"/>
    </xf>
    <xf numFmtId="3" fontId="29" fillId="33" borderId="12" xfId="0" applyNumberFormat="1" applyFont="1" applyFill="1" applyBorder="1" applyAlignment="1">
      <alignment horizontal="center" vertical="center" wrapText="1"/>
    </xf>
    <xf numFmtId="3" fontId="28" fillId="33" borderId="12" xfId="0" applyNumberFormat="1" applyFont="1" applyFill="1" applyBorder="1" applyAlignment="1">
      <alignment horizontal="center"/>
    </xf>
    <xf numFmtId="3" fontId="21" fillId="0" borderId="70" xfId="0" applyNumberFormat="1" applyFont="1" applyFill="1" applyBorder="1" applyAlignment="1">
      <alignment horizontal="center"/>
    </xf>
    <xf numFmtId="165" fontId="21" fillId="0" borderId="110" xfId="46" applyNumberFormat="1" applyFont="1" applyFill="1" applyBorder="1" applyAlignment="1" applyProtection="1">
      <alignment/>
      <protection/>
    </xf>
    <xf numFmtId="165" fontId="21" fillId="0" borderId="109" xfId="46" applyNumberFormat="1" applyFont="1" applyFill="1" applyBorder="1" applyAlignment="1" applyProtection="1">
      <alignment/>
      <protection/>
    </xf>
    <xf numFmtId="165" fontId="21" fillId="0" borderId="109" xfId="46" applyNumberFormat="1" applyFont="1" applyFill="1" applyBorder="1" applyAlignment="1" applyProtection="1">
      <alignment horizontal="right"/>
      <protection/>
    </xf>
    <xf numFmtId="165" fontId="21" fillId="36" borderId="109" xfId="46" applyNumberFormat="1" applyFont="1" applyFill="1" applyBorder="1" applyAlignment="1" applyProtection="1">
      <alignment/>
      <protection/>
    </xf>
    <xf numFmtId="3" fontId="21" fillId="0" borderId="74" xfId="0" applyNumberFormat="1" applyFont="1" applyFill="1" applyBorder="1" applyAlignment="1">
      <alignment horizontal="center"/>
    </xf>
    <xf numFmtId="165" fontId="21" fillId="0" borderId="12" xfId="46" applyNumberFormat="1" applyFont="1" applyFill="1" applyBorder="1" applyAlignment="1" applyProtection="1">
      <alignment horizontal="right"/>
      <protection/>
    </xf>
    <xf numFmtId="165" fontId="21" fillId="0" borderId="12" xfId="46" applyNumberFormat="1" applyFont="1" applyFill="1" applyBorder="1" applyAlignment="1" applyProtection="1">
      <alignment/>
      <protection/>
    </xf>
    <xf numFmtId="165" fontId="21" fillId="36" borderId="12" xfId="46" applyNumberFormat="1" applyFont="1" applyFill="1" applyBorder="1" applyAlignment="1" applyProtection="1">
      <alignment/>
      <protection/>
    </xf>
    <xf numFmtId="3" fontId="30" fillId="0" borderId="74" xfId="0" applyNumberFormat="1" applyFont="1" applyFill="1" applyBorder="1" applyAlignment="1">
      <alignment horizontal="center"/>
    </xf>
    <xf numFmtId="165" fontId="30" fillId="0" borderId="12" xfId="46" applyNumberFormat="1" applyFont="1" applyFill="1" applyBorder="1" applyAlignment="1" applyProtection="1">
      <alignment/>
      <protection/>
    </xf>
    <xf numFmtId="165" fontId="30" fillId="36" borderId="12" xfId="46" applyNumberFormat="1" applyFont="1" applyFill="1" applyBorder="1" applyAlignment="1" applyProtection="1">
      <alignment/>
      <protection/>
    </xf>
    <xf numFmtId="0" fontId="30" fillId="0" borderId="0" xfId="0" applyFont="1" applyFill="1" applyAlignment="1">
      <alignment/>
    </xf>
    <xf numFmtId="3" fontId="21" fillId="0" borderId="72" xfId="0" applyNumberFormat="1" applyFont="1" applyFill="1" applyBorder="1" applyAlignment="1">
      <alignment horizontal="center"/>
    </xf>
    <xf numFmtId="165" fontId="21" fillId="0" borderId="14" xfId="46" applyNumberFormat="1" applyFont="1" applyFill="1" applyBorder="1" applyAlignment="1" applyProtection="1">
      <alignment/>
      <protection/>
    </xf>
    <xf numFmtId="165" fontId="21" fillId="0" borderId="14" xfId="46" applyNumberFormat="1" applyFont="1" applyFill="1" applyBorder="1" applyAlignment="1" applyProtection="1">
      <alignment horizontal="right"/>
      <protection/>
    </xf>
    <xf numFmtId="165" fontId="21" fillId="36" borderId="14" xfId="46" applyNumberFormat="1" applyFont="1" applyFill="1" applyBorder="1" applyAlignment="1" applyProtection="1">
      <alignment/>
      <protection/>
    </xf>
    <xf numFmtId="3" fontId="30" fillId="0" borderId="72" xfId="0" applyNumberFormat="1" applyFont="1" applyFill="1" applyBorder="1" applyAlignment="1">
      <alignment horizontal="center"/>
    </xf>
    <xf numFmtId="3" fontId="21" fillId="0" borderId="104" xfId="0" applyNumberFormat="1" applyFont="1" applyFill="1" applyBorder="1" applyAlignment="1">
      <alignment horizontal="center"/>
    </xf>
    <xf numFmtId="3" fontId="21" fillId="37" borderId="107" xfId="0" applyNumberFormat="1" applyFont="1" applyFill="1" applyBorder="1" applyAlignment="1">
      <alignment horizontal="center"/>
    </xf>
    <xf numFmtId="3" fontId="28" fillId="37" borderId="41" xfId="0" applyNumberFormat="1" applyFont="1" applyFill="1" applyBorder="1" applyAlignment="1">
      <alignment/>
    </xf>
    <xf numFmtId="3" fontId="28" fillId="37" borderId="98" xfId="0" applyNumberFormat="1" applyFont="1" applyFill="1" applyBorder="1" applyAlignment="1">
      <alignment/>
    </xf>
    <xf numFmtId="3" fontId="28" fillId="37" borderId="98" xfId="0" applyNumberFormat="1" applyFont="1" applyFill="1" applyBorder="1" applyAlignment="1">
      <alignment/>
    </xf>
    <xf numFmtId="3" fontId="28" fillId="33" borderId="89" xfId="0" applyNumberFormat="1" applyFont="1" applyFill="1" applyBorder="1" applyAlignment="1">
      <alignment vertical="center" wrapText="1"/>
    </xf>
    <xf numFmtId="3" fontId="29" fillId="33" borderId="36" xfId="0" applyNumberFormat="1" applyFont="1" applyFill="1" applyBorder="1" applyAlignment="1">
      <alignment horizontal="center" vertical="center" wrapText="1"/>
    </xf>
    <xf numFmtId="3" fontId="29" fillId="33" borderId="103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/>
    </xf>
    <xf numFmtId="3" fontId="28" fillId="36" borderId="12" xfId="0" applyNumberFormat="1" applyFont="1" applyFill="1" applyBorder="1" applyAlignment="1">
      <alignment/>
    </xf>
    <xf numFmtId="3" fontId="21" fillId="36" borderId="12" xfId="0" applyNumberFormat="1" applyFont="1" applyFill="1" applyBorder="1" applyAlignment="1">
      <alignment/>
    </xf>
    <xf numFmtId="3" fontId="28" fillId="0" borderId="12" xfId="0" applyNumberFormat="1" applyFont="1" applyFill="1" applyBorder="1" applyAlignment="1">
      <alignment horizontal="left" vertical="top" wrapText="1"/>
    </xf>
    <xf numFmtId="3" fontId="21" fillId="0" borderId="14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 wrapText="1"/>
    </xf>
    <xf numFmtId="3" fontId="21" fillId="0" borderId="36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 horizontal="center"/>
    </xf>
    <xf numFmtId="3" fontId="21" fillId="0" borderId="44" xfId="0" applyNumberFormat="1" applyFont="1" applyFill="1" applyBorder="1" applyAlignment="1">
      <alignment/>
    </xf>
    <xf numFmtId="3" fontId="28" fillId="0" borderId="36" xfId="0" applyNumberFormat="1" applyFont="1" applyFill="1" applyBorder="1" applyAlignment="1">
      <alignment/>
    </xf>
    <xf numFmtId="3" fontId="30" fillId="33" borderId="40" xfId="0" applyNumberFormat="1" applyFont="1" applyFill="1" applyBorder="1" applyAlignment="1">
      <alignment/>
    </xf>
    <xf numFmtId="3" fontId="28" fillId="33" borderId="42" xfId="0" applyNumberFormat="1" applyFont="1" applyFill="1" applyBorder="1" applyAlignment="1">
      <alignment/>
    </xf>
    <xf numFmtId="3" fontId="28" fillId="33" borderId="40" xfId="0" applyNumberFormat="1" applyFont="1" applyFill="1" applyBorder="1" applyAlignment="1">
      <alignment/>
    </xf>
    <xf numFmtId="3" fontId="21" fillId="33" borderId="14" xfId="0" applyNumberFormat="1" applyFont="1" applyFill="1" applyBorder="1" applyAlignment="1">
      <alignment/>
    </xf>
    <xf numFmtId="3" fontId="21" fillId="33" borderId="12" xfId="0" applyNumberFormat="1" applyFont="1" applyFill="1" applyBorder="1" applyAlignment="1">
      <alignment/>
    </xf>
    <xf numFmtId="3" fontId="21" fillId="33" borderId="12" xfId="0" applyNumberFormat="1" applyFont="1" applyFill="1" applyBorder="1" applyAlignment="1">
      <alignment horizontal="left"/>
    </xf>
    <xf numFmtId="3" fontId="21" fillId="33" borderId="36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11" xfId="0" applyFont="1" applyBorder="1" applyAlignment="1">
      <alignment/>
    </xf>
    <xf numFmtId="165" fontId="0" fillId="0" borderId="14" xfId="46" applyNumberFormat="1" applyFont="1" applyFill="1" applyBorder="1" applyAlignment="1" applyProtection="1">
      <alignment/>
      <protection/>
    </xf>
    <xf numFmtId="165" fontId="0" fillId="0" borderId="29" xfId="46" applyNumberFormat="1" applyFont="1" applyFill="1" applyBorder="1" applyAlignment="1" applyProtection="1">
      <alignment/>
      <protection/>
    </xf>
    <xf numFmtId="165" fontId="0" fillId="0" borderId="30" xfId="46" applyNumberFormat="1" applyFont="1" applyFill="1" applyBorder="1" applyAlignment="1" applyProtection="1">
      <alignment/>
      <protection/>
    </xf>
    <xf numFmtId="165" fontId="0" fillId="0" borderId="12" xfId="46" applyNumberFormat="1" applyFont="1" applyFill="1" applyBorder="1" applyAlignment="1" applyProtection="1">
      <alignment horizontal="center"/>
      <protection/>
    </xf>
    <xf numFmtId="165" fontId="0" fillId="0" borderId="37" xfId="46" applyNumberFormat="1" applyFont="1" applyFill="1" applyBorder="1" applyAlignment="1" applyProtection="1">
      <alignment/>
      <protection/>
    </xf>
    <xf numFmtId="165" fontId="2" fillId="0" borderId="54" xfId="46" applyNumberFormat="1" applyFont="1" applyFill="1" applyBorder="1" applyAlignment="1" applyProtection="1">
      <alignment/>
      <protection/>
    </xf>
    <xf numFmtId="165" fontId="2" fillId="0" borderId="52" xfId="46" applyNumberFormat="1" applyFont="1" applyFill="1" applyBorder="1" applyAlignment="1" applyProtection="1">
      <alignment/>
      <protection/>
    </xf>
    <xf numFmtId="165" fontId="2" fillId="0" borderId="55" xfId="46" applyNumberFormat="1" applyFont="1" applyFill="1" applyBorder="1" applyAlignment="1" applyProtection="1">
      <alignment/>
      <protection/>
    </xf>
    <xf numFmtId="165" fontId="2" fillId="0" borderId="40" xfId="46" applyNumberFormat="1" applyFont="1" applyFill="1" applyBorder="1" applyAlignment="1" applyProtection="1">
      <alignment/>
      <protection/>
    </xf>
    <xf numFmtId="165" fontId="2" fillId="0" borderId="42" xfId="46" applyNumberFormat="1" applyFont="1" applyFill="1" applyBorder="1" applyAlignment="1" applyProtection="1">
      <alignment/>
      <protection/>
    </xf>
    <xf numFmtId="165" fontId="9" fillId="0" borderId="14" xfId="46" applyNumberFormat="1" applyFont="1" applyFill="1" applyBorder="1" applyAlignment="1" applyProtection="1">
      <alignment/>
      <protection/>
    </xf>
    <xf numFmtId="165" fontId="9" fillId="0" borderId="30" xfId="46" applyNumberFormat="1" applyFont="1" applyFill="1" applyBorder="1" applyAlignment="1" applyProtection="1">
      <alignment/>
      <protection/>
    </xf>
    <xf numFmtId="165" fontId="9" fillId="0" borderId="32" xfId="46" applyNumberFormat="1" applyFont="1" applyFill="1" applyBorder="1" applyAlignment="1" applyProtection="1">
      <alignment/>
      <protection/>
    </xf>
    <xf numFmtId="0" fontId="0" fillId="0" borderId="37" xfId="0" applyFont="1" applyBorder="1" applyAlignment="1">
      <alignment horizontal="left"/>
    </xf>
    <xf numFmtId="0" fontId="17" fillId="0" borderId="0" xfId="0" applyFont="1" applyBorder="1" applyAlignment="1">
      <alignment horizontal="center" wrapText="1"/>
    </xf>
    <xf numFmtId="3" fontId="2" fillId="33" borderId="37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165" fontId="2" fillId="0" borderId="10" xfId="46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165" fontId="0" fillId="0" borderId="12" xfId="46" applyNumberFormat="1" applyFill="1" applyBorder="1" applyAlignment="1" applyProtection="1">
      <alignment vertical="center" wrapText="1"/>
      <protection/>
    </xf>
    <xf numFmtId="0" fontId="0" fillId="36" borderId="29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165" fontId="0" fillId="0" borderId="89" xfId="46" applyNumberFormat="1" applyFill="1" applyBorder="1" applyAlignment="1" applyProtection="1">
      <alignment/>
      <protection/>
    </xf>
    <xf numFmtId="165" fontId="0" fillId="36" borderId="36" xfId="46" applyNumberFormat="1" applyFill="1" applyBorder="1" applyAlignment="1" applyProtection="1">
      <alignment vertical="center"/>
      <protection/>
    </xf>
    <xf numFmtId="3" fontId="0" fillId="0" borderId="37" xfId="0" applyNumberFormat="1" applyFont="1" applyFill="1" applyBorder="1" applyAlignment="1">
      <alignment wrapText="1"/>
    </xf>
    <xf numFmtId="3" fontId="0" fillId="36" borderId="12" xfId="0" applyNumberFormat="1" applyFont="1" applyFill="1" applyBorder="1" applyAlignment="1">
      <alignment/>
    </xf>
    <xf numFmtId="165" fontId="0" fillId="36" borderId="88" xfId="46" applyNumberFormat="1" applyFill="1" applyBorder="1" applyAlignment="1" applyProtection="1">
      <alignment/>
      <protection/>
    </xf>
    <xf numFmtId="0" fontId="0" fillId="36" borderId="0" xfId="0" applyFill="1" applyAlignment="1">
      <alignment/>
    </xf>
    <xf numFmtId="3" fontId="2" fillId="36" borderId="12" xfId="0" applyNumberFormat="1" applyFont="1" applyFill="1" applyBorder="1" applyAlignment="1">
      <alignment horizontal="right"/>
    </xf>
    <xf numFmtId="165" fontId="2" fillId="36" borderId="88" xfId="46" applyNumberFormat="1" applyFont="1" applyFill="1" applyBorder="1" applyAlignment="1" applyProtection="1">
      <alignment/>
      <protection/>
    </xf>
    <xf numFmtId="0" fontId="2" fillId="36" borderId="29" xfId="0" applyFont="1" applyFill="1" applyBorder="1" applyAlignment="1">
      <alignment horizontal="center"/>
    </xf>
    <xf numFmtId="165" fontId="0" fillId="0" borderId="88" xfId="46" applyNumberForma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3" fontId="0" fillId="0" borderId="14" xfId="0" applyNumberFormat="1" applyFont="1" applyFill="1" applyBorder="1" applyAlignment="1">
      <alignment wrapText="1"/>
    </xf>
    <xf numFmtId="165" fontId="0" fillId="0" borderId="99" xfId="46" applyNumberFormat="1" applyFill="1" applyBorder="1" applyAlignment="1" applyProtection="1">
      <alignment/>
      <protection/>
    </xf>
    <xf numFmtId="0" fontId="0" fillId="36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 wrapText="1"/>
    </xf>
    <xf numFmtId="0" fontId="2" fillId="35" borderId="19" xfId="0" applyFont="1" applyFill="1" applyBorder="1" applyAlignment="1">
      <alignment/>
    </xf>
    <xf numFmtId="165" fontId="2" fillId="35" borderId="12" xfId="46" applyNumberFormat="1" applyFont="1" applyFill="1" applyBorder="1" applyAlignment="1" applyProtection="1">
      <alignment/>
      <protection/>
    </xf>
    <xf numFmtId="165" fontId="2" fillId="35" borderId="20" xfId="46" applyNumberFormat="1" applyFont="1" applyFill="1" applyBorder="1" applyAlignment="1" applyProtection="1">
      <alignment/>
      <protection/>
    </xf>
    <xf numFmtId="165" fontId="2" fillId="35" borderId="21" xfId="46" applyNumberFormat="1" applyFont="1" applyFill="1" applyBorder="1" applyAlignment="1" applyProtection="1">
      <alignment/>
      <protection/>
    </xf>
    <xf numFmtId="0" fontId="9" fillId="35" borderId="28" xfId="0" applyFont="1" applyFill="1" applyBorder="1" applyAlignment="1">
      <alignment/>
    </xf>
    <xf numFmtId="165" fontId="9" fillId="35" borderId="14" xfId="46" applyNumberFormat="1" applyFont="1" applyFill="1" applyBorder="1" applyAlignment="1" applyProtection="1">
      <alignment/>
      <protection/>
    </xf>
    <xf numFmtId="165" fontId="9" fillId="35" borderId="30" xfId="46" applyNumberFormat="1" applyFont="1" applyFill="1" applyBorder="1" applyAlignment="1" applyProtection="1">
      <alignment/>
      <protection/>
    </xf>
    <xf numFmtId="0" fontId="9" fillId="35" borderId="0" xfId="0" applyFont="1" applyFill="1" applyAlignment="1">
      <alignment/>
    </xf>
    <xf numFmtId="0" fontId="9" fillId="35" borderId="32" xfId="0" applyFont="1" applyFill="1" applyBorder="1" applyAlignment="1">
      <alignment/>
    </xf>
    <xf numFmtId="165" fontId="9" fillId="35" borderId="12" xfId="46" applyNumberFormat="1" applyFont="1" applyFill="1" applyBorder="1" applyAlignment="1" applyProtection="1">
      <alignment/>
      <protection/>
    </xf>
    <xf numFmtId="0" fontId="2" fillId="35" borderId="32" xfId="0" applyFont="1" applyFill="1" applyBorder="1" applyAlignment="1">
      <alignment/>
    </xf>
    <xf numFmtId="165" fontId="2" fillId="35" borderId="33" xfId="46" applyNumberFormat="1" applyFont="1" applyFill="1" applyBorder="1" applyAlignment="1" applyProtection="1">
      <alignment/>
      <protection/>
    </xf>
    <xf numFmtId="165" fontId="9" fillId="35" borderId="33" xfId="46" applyNumberFormat="1" applyFont="1" applyFill="1" applyBorder="1" applyAlignment="1" applyProtection="1">
      <alignment/>
      <protection/>
    </xf>
    <xf numFmtId="165" fontId="2" fillId="35" borderId="14" xfId="46" applyNumberFormat="1" applyFont="1" applyFill="1" applyBorder="1" applyAlignment="1" applyProtection="1">
      <alignment/>
      <protection/>
    </xf>
    <xf numFmtId="165" fontId="2" fillId="35" borderId="30" xfId="46" applyNumberFormat="1" applyFont="1" applyFill="1" applyBorder="1" applyAlignment="1" applyProtection="1">
      <alignment/>
      <protection/>
    </xf>
    <xf numFmtId="0" fontId="2" fillId="35" borderId="24" xfId="0" applyFont="1" applyFill="1" applyBorder="1" applyAlignment="1">
      <alignment/>
    </xf>
    <xf numFmtId="165" fontId="2" fillId="35" borderId="25" xfId="46" applyNumberFormat="1" applyFont="1" applyFill="1" applyBorder="1" applyAlignment="1" applyProtection="1">
      <alignment/>
      <protection/>
    </xf>
    <xf numFmtId="0" fontId="2" fillId="0" borderId="29" xfId="0" applyFont="1" applyFill="1" applyBorder="1" applyAlignment="1">
      <alignment/>
    </xf>
    <xf numFmtId="3" fontId="0" fillId="0" borderId="73" xfId="0" applyNumberFormat="1" applyFont="1" applyFill="1" applyBorder="1" applyAlignment="1">
      <alignment horizontal="center"/>
    </xf>
    <xf numFmtId="3" fontId="28" fillId="0" borderId="73" xfId="0" applyNumberFormat="1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/>
    </xf>
    <xf numFmtId="165" fontId="28" fillId="0" borderId="38" xfId="46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>
      <alignment horizontal="center"/>
    </xf>
    <xf numFmtId="165" fontId="28" fillId="0" borderId="34" xfId="46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wrapText="1"/>
    </xf>
    <xf numFmtId="3" fontId="2" fillId="37" borderId="52" xfId="0" applyNumberFormat="1" applyFont="1" applyFill="1" applyBorder="1" applyAlignment="1">
      <alignment horizontal="center"/>
    </xf>
    <xf numFmtId="3" fontId="2" fillId="37" borderId="23" xfId="0" applyNumberFormat="1" applyFont="1" applyFill="1" applyBorder="1" applyAlignment="1">
      <alignment horizontal="center"/>
    </xf>
    <xf numFmtId="3" fontId="2" fillId="37" borderId="52" xfId="0" applyNumberFormat="1" applyFont="1" applyFill="1" applyBorder="1" applyAlignment="1">
      <alignment/>
    </xf>
    <xf numFmtId="165" fontId="2" fillId="37" borderId="112" xfId="46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3" fontId="2" fillId="33" borderId="113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 wrapText="1"/>
    </xf>
    <xf numFmtId="165" fontId="2" fillId="33" borderId="113" xfId="46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88" xfId="0" applyNumberFormat="1" applyFont="1" applyFill="1" applyBorder="1" applyAlignment="1">
      <alignment horizontal="center"/>
    </xf>
    <xf numFmtId="3" fontId="2" fillId="40" borderId="16" xfId="0" applyNumberFormat="1" applyFont="1" applyFill="1" applyBorder="1" applyAlignment="1">
      <alignment horizontal="center"/>
    </xf>
    <xf numFmtId="3" fontId="2" fillId="40" borderId="89" xfId="0" applyNumberFormat="1" applyFont="1" applyFill="1" applyBorder="1" applyAlignment="1">
      <alignment horizontal="center"/>
    </xf>
    <xf numFmtId="3" fontId="2" fillId="40" borderId="36" xfId="0" applyNumberFormat="1" applyFont="1" applyFill="1" applyBorder="1" applyAlignment="1">
      <alignment/>
    </xf>
    <xf numFmtId="165" fontId="2" fillId="40" borderId="36" xfId="46" applyNumberFormat="1" applyFont="1" applyFill="1" applyBorder="1" applyAlignment="1" applyProtection="1">
      <alignment/>
      <protection/>
    </xf>
    <xf numFmtId="0" fontId="0" fillId="40" borderId="12" xfId="0" applyFill="1" applyBorder="1" applyAlignment="1">
      <alignment/>
    </xf>
    <xf numFmtId="3" fontId="4" fillId="40" borderId="12" xfId="0" applyNumberFormat="1" applyFont="1" applyFill="1" applyBorder="1" applyAlignment="1">
      <alignment/>
    </xf>
    <xf numFmtId="0" fontId="2" fillId="40" borderId="12" xfId="0" applyFont="1" applyFill="1" applyBorder="1" applyAlignment="1">
      <alignment/>
    </xf>
    <xf numFmtId="165" fontId="2" fillId="40" borderId="12" xfId="46" applyNumberFormat="1" applyFont="1" applyFill="1" applyBorder="1" applyAlignment="1" applyProtection="1">
      <alignment/>
      <protection/>
    </xf>
    <xf numFmtId="0" fontId="2" fillId="0" borderId="8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89" xfId="0" applyNumberFormat="1" applyFont="1" applyFill="1" applyBorder="1" applyAlignment="1">
      <alignment/>
    </xf>
    <xf numFmtId="3" fontId="2" fillId="40" borderId="88" xfId="0" applyNumberFormat="1" applyFont="1" applyFill="1" applyBorder="1" applyAlignment="1">
      <alignment/>
    </xf>
    <xf numFmtId="3" fontId="2" fillId="0" borderId="114" xfId="0" applyNumberFormat="1" applyFont="1" applyFill="1" applyBorder="1" applyAlignment="1">
      <alignment/>
    </xf>
    <xf numFmtId="167" fontId="0" fillId="0" borderId="114" xfId="0" applyNumberFormat="1" applyFont="1" applyBorder="1" applyAlignment="1">
      <alignment/>
    </xf>
    <xf numFmtId="3" fontId="0" fillId="0" borderId="114" xfId="0" applyNumberFormat="1" applyFont="1" applyFill="1" applyBorder="1" applyAlignment="1">
      <alignment/>
    </xf>
    <xf numFmtId="3" fontId="15" fillId="37" borderId="115" xfId="0" applyNumberFormat="1" applyFont="1" applyFill="1" applyBorder="1" applyAlignment="1">
      <alignment wrapText="1"/>
    </xf>
    <xf numFmtId="167" fontId="5" fillId="37" borderId="115" xfId="0" applyNumberFormat="1" applyFont="1" applyFill="1" applyBorder="1" applyAlignment="1">
      <alignment/>
    </xf>
    <xf numFmtId="165" fontId="5" fillId="37" borderId="116" xfId="46" applyNumberFormat="1" applyFont="1" applyFill="1" applyBorder="1" applyAlignment="1" applyProtection="1">
      <alignment/>
      <protection/>
    </xf>
    <xf numFmtId="165" fontId="5" fillId="37" borderId="117" xfId="46" applyNumberFormat="1" applyFont="1" applyFill="1" applyBorder="1" applyAlignment="1" applyProtection="1">
      <alignment/>
      <protection/>
    </xf>
    <xf numFmtId="165" fontId="5" fillId="37" borderId="118" xfId="46" applyNumberFormat="1" applyFont="1" applyFill="1" applyBorder="1" applyAlignment="1" applyProtection="1">
      <alignment/>
      <protection/>
    </xf>
    <xf numFmtId="165" fontId="5" fillId="37" borderId="119" xfId="46" applyNumberFormat="1" applyFont="1" applyFill="1" applyBorder="1" applyAlignment="1" applyProtection="1">
      <alignment/>
      <protection/>
    </xf>
    <xf numFmtId="3" fontId="2" fillId="33" borderId="115" xfId="0" applyNumberFormat="1" applyFont="1" applyFill="1" applyBorder="1" applyAlignment="1">
      <alignment horizontal="center" vertical="center" wrapText="1"/>
    </xf>
    <xf numFmtId="165" fontId="2" fillId="33" borderId="116" xfId="46" applyNumberFormat="1" applyFont="1" applyFill="1" applyBorder="1" applyAlignment="1" applyProtection="1">
      <alignment horizontal="center" vertical="center" wrapText="1"/>
      <protection/>
    </xf>
    <xf numFmtId="165" fontId="2" fillId="33" borderId="117" xfId="46" applyNumberFormat="1" applyFont="1" applyFill="1" applyBorder="1" applyAlignment="1" applyProtection="1">
      <alignment horizontal="center" vertical="center" wrapText="1"/>
      <protection/>
    </xf>
    <xf numFmtId="165" fontId="2" fillId="33" borderId="118" xfId="46" applyNumberFormat="1" applyFont="1" applyFill="1" applyBorder="1" applyAlignment="1" applyProtection="1">
      <alignment horizontal="center" vertical="center" wrapText="1"/>
      <protection/>
    </xf>
    <xf numFmtId="165" fontId="2" fillId="33" borderId="119" xfId="46" applyNumberFormat="1" applyFont="1" applyFill="1" applyBorder="1" applyAlignment="1" applyProtection="1">
      <alignment horizontal="center" vertical="center" wrapText="1"/>
      <protection/>
    </xf>
    <xf numFmtId="165" fontId="2" fillId="33" borderId="116" xfId="46" applyNumberFormat="1" applyFont="1" applyFill="1" applyBorder="1" applyAlignment="1" applyProtection="1">
      <alignment horizontal="center" vertical="center"/>
      <protection/>
    </xf>
    <xf numFmtId="165" fontId="2" fillId="33" borderId="117" xfId="46" applyNumberFormat="1" applyFont="1" applyFill="1" applyBorder="1" applyAlignment="1" applyProtection="1">
      <alignment horizontal="center" vertical="center"/>
      <protection/>
    </xf>
    <xf numFmtId="165" fontId="2" fillId="33" borderId="118" xfId="46" applyNumberFormat="1" applyFont="1" applyFill="1" applyBorder="1" applyAlignment="1" applyProtection="1">
      <alignment horizontal="center" vertical="center"/>
      <protection/>
    </xf>
    <xf numFmtId="165" fontId="2" fillId="33" borderId="119" xfId="46" applyNumberFormat="1" applyFont="1" applyFill="1" applyBorder="1" applyAlignment="1" applyProtection="1">
      <alignment horizontal="center" vertical="center"/>
      <protection/>
    </xf>
    <xf numFmtId="3" fontId="2" fillId="0" borderId="120" xfId="0" applyNumberFormat="1" applyFont="1" applyFill="1" applyBorder="1" applyAlignment="1">
      <alignment/>
    </xf>
    <xf numFmtId="167" fontId="2" fillId="0" borderId="120" xfId="0" applyNumberFormat="1" applyFont="1" applyFill="1" applyBorder="1" applyAlignment="1">
      <alignment/>
    </xf>
    <xf numFmtId="165" fontId="2" fillId="0" borderId="121" xfId="46" applyNumberFormat="1" applyFont="1" applyFill="1" applyBorder="1" applyAlignment="1" applyProtection="1">
      <alignment horizontal="center" vertical="center"/>
      <protection/>
    </xf>
    <xf numFmtId="165" fontId="0" fillId="0" borderId="122" xfId="46" applyNumberFormat="1" applyFill="1" applyBorder="1" applyAlignment="1" applyProtection="1">
      <alignment horizontal="center" vertical="center"/>
      <protection/>
    </xf>
    <xf numFmtId="165" fontId="2" fillId="0" borderId="122" xfId="46" applyNumberFormat="1" applyFont="1" applyFill="1" applyBorder="1" applyAlignment="1" applyProtection="1">
      <alignment horizontal="center" vertical="center"/>
      <protection/>
    </xf>
    <xf numFmtId="165" fontId="2" fillId="0" borderId="123" xfId="46" applyNumberFormat="1" applyFont="1" applyFill="1" applyBorder="1" applyAlignment="1" applyProtection="1">
      <alignment horizontal="center" vertical="center"/>
      <protection/>
    </xf>
    <xf numFmtId="165" fontId="0" fillId="0" borderId="123" xfId="46" applyNumberFormat="1" applyFill="1" applyBorder="1" applyAlignment="1" applyProtection="1">
      <alignment horizontal="center" vertical="center"/>
      <protection/>
    </xf>
    <xf numFmtId="165" fontId="0" fillId="0" borderId="124" xfId="46" applyNumberFormat="1" applyFill="1" applyBorder="1" applyAlignment="1" applyProtection="1">
      <alignment horizontal="center" vertical="center"/>
      <protection/>
    </xf>
    <xf numFmtId="3" fontId="0" fillId="0" borderId="125" xfId="0" applyNumberFormat="1" applyFont="1" applyFill="1" applyBorder="1" applyAlignment="1">
      <alignment/>
    </xf>
    <xf numFmtId="167" fontId="0" fillId="0" borderId="125" xfId="0" applyNumberFormat="1" applyFont="1" applyBorder="1" applyAlignment="1">
      <alignment/>
    </xf>
    <xf numFmtId="165" fontId="0" fillId="0" borderId="126" xfId="46" applyNumberFormat="1" applyFill="1" applyBorder="1" applyAlignment="1" applyProtection="1">
      <alignment horizontal="center" vertical="center"/>
      <protection/>
    </xf>
    <xf numFmtId="165" fontId="2" fillId="0" borderId="127" xfId="46" applyNumberFormat="1" applyFont="1" applyFill="1" applyBorder="1" applyAlignment="1" applyProtection="1">
      <alignment horizontal="center" vertical="center"/>
      <protection/>
    </xf>
    <xf numFmtId="165" fontId="0" fillId="0" borderId="128" xfId="46" applyNumberFormat="1" applyFill="1" applyBorder="1" applyAlignment="1" applyProtection="1">
      <alignment horizontal="center" vertical="center"/>
      <protection/>
    </xf>
    <xf numFmtId="165" fontId="2" fillId="0" borderId="128" xfId="46" applyNumberFormat="1" applyFont="1" applyFill="1" applyBorder="1" applyAlignment="1" applyProtection="1">
      <alignment horizontal="center" vertical="center"/>
      <protection/>
    </xf>
    <xf numFmtId="165" fontId="2" fillId="0" borderId="129" xfId="46" applyNumberFormat="1" applyFont="1" applyFill="1" applyBorder="1" applyAlignment="1" applyProtection="1">
      <alignment horizontal="center" vertical="center"/>
      <protection/>
    </xf>
    <xf numFmtId="165" fontId="0" fillId="0" borderId="129" xfId="46" applyNumberFormat="1" applyFill="1" applyBorder="1" applyAlignment="1" applyProtection="1">
      <alignment horizontal="center" vertical="center"/>
      <protection/>
    </xf>
    <xf numFmtId="165" fontId="0" fillId="0" borderId="130" xfId="46" applyNumberFormat="1" applyFill="1" applyBorder="1" applyAlignment="1" applyProtection="1">
      <alignment horizontal="center" vertical="center"/>
      <protection/>
    </xf>
    <xf numFmtId="165" fontId="0" fillId="0" borderId="131" xfId="46" applyNumberFormat="1" applyFill="1" applyBorder="1" applyAlignment="1" applyProtection="1">
      <alignment horizontal="center" vertical="center"/>
      <protection/>
    </xf>
    <xf numFmtId="167" fontId="2" fillId="0" borderId="114" xfId="0" applyNumberFormat="1" applyFont="1" applyBorder="1" applyAlignment="1">
      <alignment/>
    </xf>
    <xf numFmtId="165" fontId="2" fillId="0" borderId="124" xfId="46" applyNumberFormat="1" applyFont="1" applyFill="1" applyBorder="1" applyAlignment="1" applyProtection="1">
      <alignment horizontal="center" vertical="center"/>
      <protection/>
    </xf>
    <xf numFmtId="165" fontId="2" fillId="0" borderId="130" xfId="46" applyNumberFormat="1" applyFont="1" applyFill="1" applyBorder="1" applyAlignment="1" applyProtection="1">
      <alignment horizontal="center" vertical="center"/>
      <protection/>
    </xf>
    <xf numFmtId="3" fontId="0" fillId="0" borderId="114" xfId="0" applyNumberFormat="1" applyFill="1" applyBorder="1" applyAlignment="1">
      <alignment horizontal="center"/>
    </xf>
    <xf numFmtId="3" fontId="0" fillId="0" borderId="72" xfId="0" applyNumberFormat="1" applyFill="1" applyBorder="1" applyAlignment="1">
      <alignment horizontal="center"/>
    </xf>
    <xf numFmtId="3" fontId="0" fillId="0" borderId="67" xfId="0" applyNumberFormat="1" applyFill="1" applyBorder="1" applyAlignment="1">
      <alignment horizontal="center"/>
    </xf>
    <xf numFmtId="3" fontId="2" fillId="0" borderId="114" xfId="0" applyNumberFormat="1" applyFont="1" applyBorder="1" applyAlignment="1">
      <alignment horizontal="center"/>
    </xf>
    <xf numFmtId="3" fontId="2" fillId="37" borderId="14" xfId="0" applyNumberFormat="1" applyFont="1" applyFill="1" applyBorder="1" applyAlignment="1">
      <alignment vertical="center" wrapText="1"/>
    </xf>
    <xf numFmtId="3" fontId="2" fillId="37" borderId="101" xfId="0" applyNumberFormat="1" applyFont="1" applyFill="1" applyBorder="1" applyAlignment="1">
      <alignment horizontal="center" vertical="center" wrapText="1"/>
    </xf>
    <xf numFmtId="165" fontId="21" fillId="0" borderId="12" xfId="46" applyNumberFormat="1" applyFont="1" applyFill="1" applyBorder="1" applyAlignment="1" applyProtection="1">
      <alignment horizontal="left"/>
      <protection/>
    </xf>
    <xf numFmtId="3" fontId="0" fillId="0" borderId="114" xfId="0" applyNumberFormat="1" applyFont="1" applyBorder="1" applyAlignment="1">
      <alignment horizontal="center"/>
    </xf>
    <xf numFmtId="3" fontId="0" fillId="0" borderId="114" xfId="0" applyNumberFormat="1" applyFont="1" applyBorder="1" applyAlignment="1">
      <alignment/>
    </xf>
    <xf numFmtId="3" fontId="0" fillId="36" borderId="114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38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38" borderId="13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3" fontId="2" fillId="37" borderId="40" xfId="0" applyNumberFormat="1" applyFont="1" applyFill="1" applyBorder="1" applyAlignment="1">
      <alignment wrapText="1"/>
    </xf>
    <xf numFmtId="168" fontId="2" fillId="37" borderId="40" xfId="0" applyNumberFormat="1" applyFont="1" applyFill="1" applyBorder="1" applyAlignment="1">
      <alignment wrapText="1"/>
    </xf>
    <xf numFmtId="167" fontId="2" fillId="0" borderId="12" xfId="0" applyNumberFormat="1" applyFont="1" applyBorder="1" applyAlignment="1">
      <alignment horizontal="center"/>
    </xf>
    <xf numFmtId="165" fontId="21" fillId="41" borderId="12" xfId="46" applyNumberFormat="1" applyFont="1" applyFill="1" applyBorder="1" applyAlignment="1" applyProtection="1">
      <alignment/>
      <protection/>
    </xf>
    <xf numFmtId="165" fontId="30" fillId="41" borderId="12" xfId="46" applyNumberFormat="1" applyFont="1" applyFill="1" applyBorder="1" applyAlignment="1" applyProtection="1">
      <alignment/>
      <protection/>
    </xf>
    <xf numFmtId="165" fontId="21" fillId="41" borderId="14" xfId="46" applyNumberFormat="1" applyFont="1" applyFill="1" applyBorder="1" applyAlignment="1" applyProtection="1">
      <alignment/>
      <protection/>
    </xf>
    <xf numFmtId="165" fontId="30" fillId="42" borderId="12" xfId="46" applyNumberFormat="1" applyFont="1" applyFill="1" applyBorder="1" applyAlignment="1" applyProtection="1">
      <alignment/>
      <protection/>
    </xf>
    <xf numFmtId="3" fontId="66" fillId="33" borderId="14" xfId="0" applyNumberFormat="1" applyFont="1" applyFill="1" applyBorder="1" applyAlignment="1">
      <alignment/>
    </xf>
    <xf numFmtId="3" fontId="66" fillId="33" borderId="12" xfId="0" applyNumberFormat="1" applyFont="1" applyFill="1" applyBorder="1" applyAlignment="1">
      <alignment/>
    </xf>
    <xf numFmtId="3" fontId="66" fillId="33" borderId="36" xfId="0" applyNumberFormat="1" applyFont="1" applyFill="1" applyBorder="1" applyAlignment="1">
      <alignment/>
    </xf>
    <xf numFmtId="165" fontId="0" fillId="42" borderId="33" xfId="46" applyNumberFormat="1" applyFill="1" applyBorder="1" applyAlignment="1" applyProtection="1">
      <alignment/>
      <protection/>
    </xf>
    <xf numFmtId="165" fontId="0" fillId="42" borderId="12" xfId="46" applyNumberFormat="1" applyFill="1" applyBorder="1" applyAlignment="1" applyProtection="1">
      <alignment/>
      <protection/>
    </xf>
    <xf numFmtId="165" fontId="0" fillId="42" borderId="36" xfId="46" applyNumberFormat="1" applyFill="1" applyBorder="1" applyAlignment="1" applyProtection="1">
      <alignment/>
      <protection/>
    </xf>
    <xf numFmtId="168" fontId="2" fillId="0" borderId="99" xfId="0" applyNumberFormat="1" applyFont="1" applyFill="1" applyBorder="1" applyAlignment="1">
      <alignment/>
    </xf>
    <xf numFmtId="168" fontId="0" fillId="0" borderId="88" xfId="0" applyNumberFormat="1" applyFont="1" applyFill="1" applyBorder="1" applyAlignment="1">
      <alignment/>
    </xf>
    <xf numFmtId="168" fontId="28" fillId="0" borderId="88" xfId="0" applyNumberFormat="1" applyFont="1" applyFill="1" applyBorder="1" applyAlignment="1">
      <alignment/>
    </xf>
    <xf numFmtId="168" fontId="2" fillId="0" borderId="88" xfId="0" applyNumberFormat="1" applyFont="1" applyFill="1" applyBorder="1" applyAlignment="1">
      <alignment/>
    </xf>
    <xf numFmtId="168" fontId="2" fillId="37" borderId="132" xfId="0" applyNumberFormat="1" applyFont="1" applyFill="1" applyBorder="1" applyAlignment="1">
      <alignment/>
    </xf>
    <xf numFmtId="168" fontId="2" fillId="0" borderId="0" xfId="0" applyNumberFormat="1" applyFont="1" applyFill="1" applyAlignment="1">
      <alignment horizontal="center"/>
    </xf>
    <xf numFmtId="168" fontId="2" fillId="33" borderId="12" xfId="0" applyNumberFormat="1" applyFont="1" applyFill="1" applyBorder="1" applyAlignment="1">
      <alignment horizontal="center" vertical="center" wrapText="1"/>
    </xf>
    <xf numFmtId="168" fontId="2" fillId="33" borderId="113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36" xfId="0" applyNumberFormat="1" applyFont="1" applyFill="1" applyBorder="1" applyAlignment="1">
      <alignment/>
    </xf>
    <xf numFmtId="168" fontId="2" fillId="40" borderId="36" xfId="0" applyNumberFormat="1" applyFont="1" applyFill="1" applyBorder="1" applyAlignment="1">
      <alignment/>
    </xf>
    <xf numFmtId="168" fontId="2" fillId="40" borderId="12" xfId="0" applyNumberFormat="1" applyFont="1" applyFill="1" applyBorder="1" applyAlignment="1">
      <alignment/>
    </xf>
    <xf numFmtId="168" fontId="2" fillId="0" borderId="36" xfId="46" applyNumberFormat="1" applyFont="1" applyFill="1" applyBorder="1" applyAlignment="1" applyProtection="1">
      <alignment/>
      <protection/>
    </xf>
    <xf numFmtId="168" fontId="0" fillId="0" borderId="0" xfId="0" applyNumberFormat="1" applyFont="1" applyFill="1" applyAlignment="1">
      <alignment/>
    </xf>
    <xf numFmtId="165" fontId="9" fillId="0" borderId="109" xfId="46" applyNumberFormat="1" applyFont="1" applyFill="1" applyBorder="1" applyAlignment="1" applyProtection="1">
      <alignment/>
      <protection/>
    </xf>
    <xf numFmtId="165" fontId="9" fillId="0" borderId="44" xfId="46" applyNumberFormat="1" applyFont="1" applyFill="1" applyBorder="1" applyAlignment="1" applyProtection="1">
      <alignment/>
      <protection/>
    </xf>
    <xf numFmtId="0" fontId="2" fillId="0" borderId="53" xfId="0" applyFont="1" applyBorder="1" applyAlignment="1">
      <alignment/>
    </xf>
    <xf numFmtId="165" fontId="9" fillId="0" borderId="114" xfId="46" applyNumberFormat="1" applyFont="1" applyFill="1" applyBorder="1" applyAlignment="1" applyProtection="1">
      <alignment/>
      <protection/>
    </xf>
    <xf numFmtId="165" fontId="9" fillId="0" borderId="133" xfId="46" applyNumberFormat="1" applyFont="1" applyFill="1" applyBorder="1" applyAlignment="1" applyProtection="1">
      <alignment/>
      <protection/>
    </xf>
    <xf numFmtId="165" fontId="2" fillId="0" borderId="132" xfId="46" applyNumberFormat="1" applyFont="1" applyFill="1" applyBorder="1" applyAlignment="1" applyProtection="1">
      <alignment/>
      <protection/>
    </xf>
    <xf numFmtId="165" fontId="9" fillId="0" borderId="134" xfId="46" applyNumberFormat="1" applyFont="1" applyFill="1" applyBorder="1" applyAlignment="1" applyProtection="1">
      <alignment/>
      <protection/>
    </xf>
    <xf numFmtId="165" fontId="9" fillId="0" borderId="135" xfId="46" applyNumberFormat="1" applyFont="1" applyFill="1" applyBorder="1" applyAlignment="1" applyProtection="1">
      <alignment/>
      <protection/>
    </xf>
    <xf numFmtId="165" fontId="2" fillId="0" borderId="136" xfId="46" applyNumberFormat="1" applyFont="1" applyFill="1" applyBorder="1" applyAlignment="1" applyProtection="1">
      <alignment/>
      <protection/>
    </xf>
    <xf numFmtId="165" fontId="2" fillId="0" borderId="115" xfId="46" applyNumberFormat="1" applyFont="1" applyFill="1" applyBorder="1" applyAlignment="1" applyProtection="1">
      <alignment/>
      <protection/>
    </xf>
    <xf numFmtId="165" fontId="2" fillId="0" borderId="137" xfId="46" applyNumberFormat="1" applyFont="1" applyFill="1" applyBorder="1" applyAlignment="1" applyProtection="1">
      <alignment/>
      <protection/>
    </xf>
    <xf numFmtId="165" fontId="2" fillId="0" borderId="138" xfId="46" applyNumberFormat="1" applyFont="1" applyFill="1" applyBorder="1" applyAlignment="1" applyProtection="1">
      <alignment/>
      <protection/>
    </xf>
    <xf numFmtId="165" fontId="9" fillId="0" borderId="44" xfId="46" applyNumberFormat="1" applyFont="1" applyFill="1" applyBorder="1" applyAlignment="1" applyProtection="1">
      <alignment horizontal="center"/>
      <protection/>
    </xf>
    <xf numFmtId="165" fontId="9" fillId="0" borderId="114" xfId="46" applyNumberFormat="1" applyFont="1" applyFill="1" applyBorder="1" applyAlignment="1" applyProtection="1">
      <alignment horizontal="center"/>
      <protection/>
    </xf>
    <xf numFmtId="165" fontId="0" fillId="0" borderId="11" xfId="46" applyNumberFormat="1" applyFont="1" applyFill="1" applyBorder="1" applyAlignment="1" applyProtection="1">
      <alignment horizontal="center"/>
      <protection/>
    </xf>
    <xf numFmtId="165" fontId="2" fillId="0" borderId="41" xfId="46" applyNumberFormat="1" applyFont="1" applyFill="1" applyBorder="1" applyAlignment="1" applyProtection="1">
      <alignment/>
      <protection/>
    </xf>
    <xf numFmtId="165" fontId="9" fillId="0" borderId="110" xfId="46" applyNumberFormat="1" applyFont="1" applyFill="1" applyBorder="1" applyAlignment="1" applyProtection="1">
      <alignment/>
      <protection/>
    </xf>
    <xf numFmtId="165" fontId="9" fillId="0" borderId="139" xfId="46" applyNumberFormat="1" applyFont="1" applyFill="1" applyBorder="1" applyAlignment="1" applyProtection="1">
      <alignment/>
      <protection/>
    </xf>
    <xf numFmtId="165" fontId="9" fillId="0" borderId="140" xfId="46" applyNumberFormat="1" applyFont="1" applyFill="1" applyBorder="1" applyAlignment="1" applyProtection="1">
      <alignment/>
      <protection/>
    </xf>
    <xf numFmtId="165" fontId="2" fillId="0" borderId="116" xfId="46" applyNumberFormat="1" applyFont="1" applyFill="1" applyBorder="1" applyAlignment="1" applyProtection="1">
      <alignment/>
      <protection/>
    </xf>
    <xf numFmtId="165" fontId="9" fillId="0" borderId="29" xfId="46" applyNumberFormat="1" applyFont="1" applyFill="1" applyBorder="1" applyAlignment="1" applyProtection="1">
      <alignment/>
      <protection/>
    </xf>
    <xf numFmtId="165" fontId="9" fillId="0" borderId="11" xfId="46" applyNumberFormat="1" applyFont="1" applyFill="1" applyBorder="1" applyAlignment="1" applyProtection="1">
      <alignment/>
      <protection/>
    </xf>
    <xf numFmtId="165" fontId="9" fillId="0" borderId="37" xfId="46" applyNumberFormat="1" applyFont="1" applyFill="1" applyBorder="1" applyAlignment="1" applyProtection="1">
      <alignment/>
      <protection/>
    </xf>
    <xf numFmtId="165" fontId="9" fillId="0" borderId="139" xfId="46" applyNumberFormat="1" applyFont="1" applyFill="1" applyBorder="1" applyAlignment="1" applyProtection="1">
      <alignment horizontal="center"/>
      <protection/>
    </xf>
    <xf numFmtId="165" fontId="9" fillId="0" borderId="110" xfId="46" applyNumberFormat="1" applyFont="1" applyFill="1" applyBorder="1" applyAlignment="1" applyProtection="1">
      <alignment horizontal="center"/>
      <protection/>
    </xf>
    <xf numFmtId="165" fontId="0" fillId="36" borderId="99" xfId="46" applyNumberFormat="1" applyFont="1" applyFill="1" applyBorder="1" applyAlignment="1" applyProtection="1">
      <alignment/>
      <protection/>
    </xf>
    <xf numFmtId="165" fontId="0" fillId="36" borderId="88" xfId="46" applyNumberFormat="1" applyFont="1" applyFill="1" applyBorder="1" applyAlignment="1" applyProtection="1">
      <alignment/>
      <protection/>
    </xf>
    <xf numFmtId="165" fontId="0" fillId="0" borderId="89" xfId="46" applyNumberFormat="1" applyFont="1" applyFill="1" applyBorder="1" applyAlignment="1" applyProtection="1">
      <alignment/>
      <protection/>
    </xf>
    <xf numFmtId="165" fontId="2" fillId="0" borderId="98" xfId="46" applyNumberFormat="1" applyFont="1" applyFill="1" applyBorder="1" applyAlignment="1" applyProtection="1">
      <alignment/>
      <protection/>
    </xf>
    <xf numFmtId="165" fontId="9" fillId="0" borderId="99" xfId="46" applyNumberFormat="1" applyFont="1" applyFill="1" applyBorder="1" applyAlignment="1" applyProtection="1">
      <alignment/>
      <protection/>
    </xf>
    <xf numFmtId="165" fontId="9" fillId="0" borderId="88" xfId="46" applyNumberFormat="1" applyFont="1" applyFill="1" applyBorder="1" applyAlignment="1" applyProtection="1">
      <alignment/>
      <protection/>
    </xf>
    <xf numFmtId="165" fontId="9" fillId="0" borderId="89" xfId="46" applyNumberFormat="1" applyFont="1" applyFill="1" applyBorder="1" applyAlignment="1" applyProtection="1">
      <alignment/>
      <protection/>
    </xf>
    <xf numFmtId="165" fontId="0" fillId="0" borderId="99" xfId="46" applyNumberFormat="1" applyFont="1" applyFill="1" applyBorder="1" applyAlignment="1" applyProtection="1">
      <alignment/>
      <protection/>
    </xf>
    <xf numFmtId="165" fontId="2" fillId="0" borderId="89" xfId="46" applyNumberFormat="1" applyFont="1" applyFill="1" applyBorder="1" applyAlignment="1" applyProtection="1">
      <alignment/>
      <protection/>
    </xf>
    <xf numFmtId="165" fontId="2" fillId="0" borderId="79" xfId="46" applyNumberFormat="1" applyFont="1" applyFill="1" applyBorder="1" applyAlignment="1" applyProtection="1">
      <alignment/>
      <protection/>
    </xf>
    <xf numFmtId="165" fontId="0" fillId="0" borderId="141" xfId="46" applyNumberFormat="1" applyFont="1" applyFill="1" applyBorder="1" applyAlignment="1" applyProtection="1">
      <alignment/>
      <protection/>
    </xf>
    <xf numFmtId="165" fontId="0" fillId="0" borderId="121" xfId="46" applyNumberFormat="1" applyFont="1" applyFill="1" applyBorder="1" applyAlignment="1" applyProtection="1">
      <alignment/>
      <protection/>
    </xf>
    <xf numFmtId="165" fontId="0" fillId="0" borderId="142" xfId="46" applyNumberFormat="1" applyFont="1" applyFill="1" applyBorder="1" applyAlignment="1" applyProtection="1">
      <alignment/>
      <protection/>
    </xf>
    <xf numFmtId="165" fontId="0" fillId="0" borderId="122" xfId="46" applyNumberFormat="1" applyFont="1" applyFill="1" applyBorder="1" applyAlignment="1" applyProtection="1">
      <alignment/>
      <protection/>
    </xf>
    <xf numFmtId="165" fontId="0" fillId="0" borderId="143" xfId="46" applyNumberFormat="1" applyFont="1" applyFill="1" applyBorder="1" applyAlignment="1" applyProtection="1">
      <alignment/>
      <protection/>
    </xf>
    <xf numFmtId="165" fontId="0" fillId="0" borderId="123" xfId="46" applyNumberFormat="1" applyFont="1" applyFill="1" applyBorder="1" applyAlignment="1" applyProtection="1">
      <alignment/>
      <protection/>
    </xf>
    <xf numFmtId="165" fontId="0" fillId="0" borderId="144" xfId="46" applyNumberFormat="1" applyFont="1" applyFill="1" applyBorder="1" applyAlignment="1" applyProtection="1">
      <alignment/>
      <protection/>
    </xf>
    <xf numFmtId="165" fontId="0" fillId="0" borderId="145" xfId="46" applyNumberFormat="1" applyFont="1" applyFill="1" applyBorder="1" applyAlignment="1" applyProtection="1">
      <alignment/>
      <protection/>
    </xf>
    <xf numFmtId="165" fontId="2" fillId="0" borderId="146" xfId="46" applyNumberFormat="1" applyFont="1" applyFill="1" applyBorder="1" applyAlignment="1" applyProtection="1">
      <alignment/>
      <protection/>
    </xf>
    <xf numFmtId="165" fontId="2" fillId="0" borderId="147" xfId="46" applyNumberFormat="1" applyFont="1" applyFill="1" applyBorder="1" applyAlignment="1" applyProtection="1">
      <alignment/>
      <protection/>
    </xf>
    <xf numFmtId="165" fontId="9" fillId="0" borderId="148" xfId="46" applyNumberFormat="1" applyFont="1" applyFill="1" applyBorder="1" applyAlignment="1" applyProtection="1">
      <alignment/>
      <protection/>
    </xf>
    <xf numFmtId="165" fontId="9" fillId="0" borderId="149" xfId="46" applyNumberFormat="1" applyFont="1" applyFill="1" applyBorder="1" applyAlignment="1" applyProtection="1">
      <alignment/>
      <protection/>
    </xf>
    <xf numFmtId="165" fontId="9" fillId="0" borderId="150" xfId="46" applyNumberFormat="1" applyFont="1" applyFill="1" applyBorder="1" applyAlignment="1" applyProtection="1">
      <alignment/>
      <protection/>
    </xf>
    <xf numFmtId="165" fontId="9" fillId="0" borderId="124" xfId="46" applyNumberFormat="1" applyFont="1" applyFill="1" applyBorder="1" applyAlignment="1" applyProtection="1">
      <alignment/>
      <protection/>
    </xf>
    <xf numFmtId="165" fontId="9" fillId="0" borderId="151" xfId="46" applyNumberFormat="1" applyFont="1" applyFill="1" applyBorder="1" applyAlignment="1" applyProtection="1">
      <alignment/>
      <protection/>
    </xf>
    <xf numFmtId="165" fontId="9" fillId="0" borderId="152" xfId="46" applyNumberFormat="1" applyFont="1" applyFill="1" applyBorder="1" applyAlignment="1" applyProtection="1">
      <alignment/>
      <protection/>
    </xf>
    <xf numFmtId="165" fontId="2" fillId="0" borderId="153" xfId="46" applyNumberFormat="1" applyFont="1" applyFill="1" applyBorder="1" applyAlignment="1" applyProtection="1">
      <alignment/>
      <protection/>
    </xf>
    <xf numFmtId="165" fontId="9" fillId="0" borderId="144" xfId="46" applyNumberFormat="1" applyFont="1" applyFill="1" applyBorder="1" applyAlignment="1" applyProtection="1">
      <alignment/>
      <protection/>
    </xf>
    <xf numFmtId="165" fontId="9" fillId="0" borderId="145" xfId="46" applyNumberFormat="1" applyFont="1" applyFill="1" applyBorder="1" applyAlignment="1" applyProtection="1">
      <alignment/>
      <protection/>
    </xf>
    <xf numFmtId="165" fontId="9" fillId="0" borderId="142" xfId="46" applyNumberFormat="1" applyFont="1" applyFill="1" applyBorder="1" applyAlignment="1" applyProtection="1">
      <alignment/>
      <protection/>
    </xf>
    <xf numFmtId="165" fontId="9" fillId="0" borderId="122" xfId="46" applyNumberFormat="1" applyFont="1" applyFill="1" applyBorder="1" applyAlignment="1" applyProtection="1">
      <alignment/>
      <protection/>
    </xf>
    <xf numFmtId="165" fontId="9" fillId="0" borderId="143" xfId="46" applyNumberFormat="1" applyFont="1" applyFill="1" applyBorder="1" applyAlignment="1" applyProtection="1">
      <alignment/>
      <protection/>
    </xf>
    <xf numFmtId="165" fontId="9" fillId="0" borderId="123" xfId="46" applyNumberFormat="1" applyFont="1" applyFill="1" applyBorder="1" applyAlignment="1" applyProtection="1">
      <alignment/>
      <protection/>
    </xf>
    <xf numFmtId="165" fontId="2" fillId="0" borderId="145" xfId="46" applyNumberFormat="1" applyFont="1" applyFill="1" applyBorder="1" applyAlignment="1" applyProtection="1">
      <alignment/>
      <protection/>
    </xf>
    <xf numFmtId="165" fontId="2" fillId="0" borderId="123" xfId="46" applyNumberFormat="1" applyFont="1" applyFill="1" applyBorder="1" applyAlignment="1" applyProtection="1">
      <alignment/>
      <protection/>
    </xf>
    <xf numFmtId="165" fontId="9" fillId="0" borderId="154" xfId="46" applyNumberFormat="1" applyFont="1" applyFill="1" applyBorder="1" applyAlignment="1" applyProtection="1">
      <alignment/>
      <protection/>
    </xf>
    <xf numFmtId="165" fontId="9" fillId="0" borderId="155" xfId="46" applyNumberFormat="1" applyFont="1" applyFill="1" applyBorder="1" applyAlignment="1" applyProtection="1">
      <alignment/>
      <protection/>
    </xf>
    <xf numFmtId="0" fontId="2" fillId="0" borderId="156" xfId="0" applyFont="1" applyBorder="1" applyAlignment="1">
      <alignment/>
    </xf>
    <xf numFmtId="0" fontId="0" fillId="0" borderId="127" xfId="0" applyFont="1" applyBorder="1" applyAlignment="1">
      <alignment/>
    </xf>
    <xf numFmtId="0" fontId="0" fillId="0" borderId="129" xfId="0" applyFont="1" applyBorder="1" applyAlignment="1">
      <alignment/>
    </xf>
    <xf numFmtId="0" fontId="0" fillId="0" borderId="130" xfId="0" applyFont="1" applyBorder="1" applyAlignment="1">
      <alignment/>
    </xf>
    <xf numFmtId="0" fontId="0" fillId="0" borderId="157" xfId="0" applyFont="1" applyFill="1" applyBorder="1" applyAlignment="1">
      <alignment horizontal="left"/>
    </xf>
    <xf numFmtId="165" fontId="2" fillId="0" borderId="101" xfId="46" applyNumberFormat="1" applyFont="1" applyFill="1" applyBorder="1" applyAlignment="1" applyProtection="1">
      <alignment/>
      <protection/>
    </xf>
    <xf numFmtId="165" fontId="2" fillId="0" borderId="64" xfId="46" applyNumberFormat="1" applyFont="1" applyFill="1" applyBorder="1" applyAlignment="1" applyProtection="1">
      <alignment/>
      <protection/>
    </xf>
    <xf numFmtId="165" fontId="0" fillId="0" borderId="120" xfId="46" applyNumberFormat="1" applyFont="1" applyFill="1" applyBorder="1" applyAlignment="1" applyProtection="1">
      <alignment/>
      <protection/>
    </xf>
    <xf numFmtId="165" fontId="9" fillId="0" borderId="120" xfId="46" applyNumberFormat="1" applyFont="1" applyFill="1" applyBorder="1" applyAlignment="1" applyProtection="1">
      <alignment/>
      <protection/>
    </xf>
    <xf numFmtId="165" fontId="2" fillId="0" borderId="121" xfId="46" applyNumberFormat="1" applyFont="1" applyFill="1" applyBorder="1" applyAlignment="1" applyProtection="1">
      <alignment/>
      <protection/>
    </xf>
    <xf numFmtId="165" fontId="2" fillId="0" borderId="143" xfId="46" applyNumberFormat="1" applyFont="1" applyFill="1" applyBorder="1" applyAlignment="1" applyProtection="1">
      <alignment/>
      <protection/>
    </xf>
    <xf numFmtId="165" fontId="9" fillId="0" borderId="158" xfId="46" applyNumberFormat="1" applyFont="1" applyFill="1" applyBorder="1" applyAlignment="1" applyProtection="1">
      <alignment horizontal="center"/>
      <protection/>
    </xf>
    <xf numFmtId="165" fontId="9" fillId="0" borderId="158" xfId="46" applyNumberFormat="1" applyFont="1" applyFill="1" applyBorder="1" applyAlignment="1" applyProtection="1">
      <alignment/>
      <protection/>
    </xf>
    <xf numFmtId="165" fontId="2" fillId="41" borderId="34" xfId="46" applyNumberFormat="1" applyFont="1" applyFill="1" applyBorder="1" applyAlignment="1" applyProtection="1">
      <alignment/>
      <protection/>
    </xf>
    <xf numFmtId="165" fontId="0" fillId="41" borderId="34" xfId="46" applyNumberFormat="1" applyFill="1" applyBorder="1" applyAlignment="1" applyProtection="1">
      <alignment/>
      <protection/>
    </xf>
    <xf numFmtId="165" fontId="2" fillId="41" borderId="38" xfId="46" applyNumberFormat="1" applyFont="1" applyFill="1" applyBorder="1" applyAlignment="1" applyProtection="1">
      <alignment/>
      <protection/>
    </xf>
    <xf numFmtId="165" fontId="6" fillId="41" borderId="42" xfId="46" applyNumberFormat="1" applyFont="1" applyFill="1" applyBorder="1" applyAlignment="1" applyProtection="1">
      <alignment/>
      <protection/>
    </xf>
    <xf numFmtId="165" fontId="2" fillId="41" borderId="45" xfId="46" applyNumberFormat="1" applyFont="1" applyFill="1" applyBorder="1" applyAlignment="1" applyProtection="1">
      <alignment/>
      <protection/>
    </xf>
    <xf numFmtId="165" fontId="2" fillId="41" borderId="46" xfId="46" applyNumberFormat="1" applyFont="1" applyFill="1" applyBorder="1" applyAlignment="1" applyProtection="1">
      <alignment/>
      <protection/>
    </xf>
    <xf numFmtId="165" fontId="0" fillId="41" borderId="47" xfId="46" applyNumberFormat="1" applyFill="1" applyBorder="1" applyAlignment="1" applyProtection="1">
      <alignment/>
      <protection/>
    </xf>
    <xf numFmtId="165" fontId="0" fillId="41" borderId="48" xfId="46" applyNumberFormat="1" applyFill="1" applyBorder="1" applyAlignment="1" applyProtection="1">
      <alignment/>
      <protection/>
    </xf>
    <xf numFmtId="165" fontId="0" fillId="41" borderId="50" xfId="46" applyNumberFormat="1" applyFill="1" applyBorder="1" applyAlignment="1" applyProtection="1">
      <alignment/>
      <protection/>
    </xf>
    <xf numFmtId="165" fontId="9" fillId="41" borderId="47" xfId="46" applyNumberFormat="1" applyFont="1" applyFill="1" applyBorder="1" applyAlignment="1" applyProtection="1">
      <alignment/>
      <protection/>
    </xf>
    <xf numFmtId="165" fontId="9" fillId="42" borderId="50" xfId="46" applyNumberFormat="1" applyFont="1" applyFill="1" applyBorder="1" applyAlignment="1" applyProtection="1">
      <alignment/>
      <protection/>
    </xf>
    <xf numFmtId="165" fontId="0" fillId="0" borderId="34" xfId="46" applyNumberFormat="1" applyFont="1" applyFill="1" applyBorder="1" applyAlignment="1" applyProtection="1">
      <alignment/>
      <protection/>
    </xf>
    <xf numFmtId="165" fontId="0" fillId="36" borderId="34" xfId="46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5" fontId="0" fillId="36" borderId="31" xfId="46" applyNumberFormat="1" applyFont="1" applyFill="1" applyBorder="1" applyAlignment="1" applyProtection="1">
      <alignment/>
      <protection/>
    </xf>
    <xf numFmtId="165" fontId="0" fillId="36" borderId="38" xfId="46" applyNumberFormat="1" applyFont="1" applyFill="1" applyBorder="1" applyAlignment="1" applyProtection="1">
      <alignment/>
      <protection/>
    </xf>
    <xf numFmtId="3" fontId="66" fillId="0" borderId="0" xfId="0" applyNumberFormat="1" applyFont="1" applyFill="1" applyAlignment="1">
      <alignment/>
    </xf>
    <xf numFmtId="3" fontId="66" fillId="0" borderId="0" xfId="0" applyNumberFormat="1" applyFont="1" applyAlignment="1">
      <alignment horizontal="right"/>
    </xf>
    <xf numFmtId="3" fontId="67" fillId="33" borderId="65" xfId="0" applyNumberFormat="1" applyFont="1" applyFill="1" applyBorder="1" applyAlignment="1">
      <alignment horizontal="center" vertical="center" wrapText="1"/>
    </xf>
    <xf numFmtId="3" fontId="67" fillId="33" borderId="69" xfId="0" applyNumberFormat="1" applyFont="1" applyFill="1" applyBorder="1" applyAlignment="1">
      <alignment horizontal="center" vertical="center"/>
    </xf>
    <xf numFmtId="3" fontId="66" fillId="0" borderId="31" xfId="0" applyNumberFormat="1" applyFont="1" applyBorder="1" applyAlignment="1">
      <alignment/>
    </xf>
    <xf numFmtId="3" fontId="66" fillId="0" borderId="34" xfId="0" applyNumberFormat="1" applyFont="1" applyBorder="1" applyAlignment="1">
      <alignment/>
    </xf>
    <xf numFmtId="3" fontId="67" fillId="37" borderId="34" xfId="0" applyNumberFormat="1" applyFont="1" applyFill="1" applyBorder="1" applyAlignment="1">
      <alignment/>
    </xf>
    <xf numFmtId="3" fontId="67" fillId="33" borderId="34" xfId="0" applyNumberFormat="1" applyFont="1" applyFill="1" applyBorder="1" applyAlignment="1">
      <alignment/>
    </xf>
    <xf numFmtId="3" fontId="67" fillId="0" borderId="34" xfId="0" applyNumberFormat="1" applyFont="1" applyBorder="1" applyAlignment="1">
      <alignment/>
    </xf>
    <xf numFmtId="3" fontId="67" fillId="33" borderId="27" xfId="0" applyNumberFormat="1" applyFont="1" applyFill="1" applyBorder="1" applyAlignment="1">
      <alignment/>
    </xf>
    <xf numFmtId="3" fontId="0" fillId="33" borderId="114" xfId="0" applyNumberFormat="1" applyFont="1" applyFill="1" applyBorder="1" applyAlignment="1">
      <alignment horizontal="center"/>
    </xf>
    <xf numFmtId="3" fontId="0" fillId="33" borderId="114" xfId="0" applyNumberFormat="1" applyFont="1" applyFill="1" applyBorder="1" applyAlignment="1">
      <alignment/>
    </xf>
    <xf numFmtId="165" fontId="0" fillId="33" borderId="114" xfId="46" applyNumberFormat="1" applyFill="1" applyBorder="1" applyAlignment="1" applyProtection="1">
      <alignment/>
      <protection/>
    </xf>
    <xf numFmtId="3" fontId="0" fillId="0" borderId="114" xfId="0" applyNumberFormat="1" applyFont="1" applyFill="1" applyBorder="1" applyAlignment="1">
      <alignment horizontal="center"/>
    </xf>
    <xf numFmtId="167" fontId="0" fillId="0" borderId="114" xfId="0" applyNumberFormat="1" applyFont="1" applyFill="1" applyBorder="1" applyAlignment="1">
      <alignment/>
    </xf>
    <xf numFmtId="3" fontId="2" fillId="0" borderId="114" xfId="0" applyNumberFormat="1" applyFont="1" applyFill="1" applyBorder="1" applyAlignment="1">
      <alignment horizontal="center"/>
    </xf>
    <xf numFmtId="167" fontId="2" fillId="0" borderId="114" xfId="0" applyNumberFormat="1" applyFont="1" applyFill="1" applyBorder="1" applyAlignment="1">
      <alignment/>
    </xf>
    <xf numFmtId="3" fontId="66" fillId="0" borderId="0" xfId="0" applyNumberFormat="1" applyFont="1" applyFill="1" applyBorder="1" applyAlignment="1">
      <alignment horizontal="right"/>
    </xf>
    <xf numFmtId="3" fontId="66" fillId="0" borderId="0" xfId="0" applyNumberFormat="1" applyFont="1" applyAlignment="1">
      <alignment/>
    </xf>
    <xf numFmtId="3" fontId="66" fillId="0" borderId="33" xfId="0" applyNumberFormat="1" applyFont="1" applyBorder="1" applyAlignment="1">
      <alignment/>
    </xf>
    <xf numFmtId="3" fontId="66" fillId="36" borderId="33" xfId="0" applyNumberFormat="1" applyFont="1" applyFill="1" applyBorder="1" applyAlignment="1">
      <alignment/>
    </xf>
    <xf numFmtId="3" fontId="66" fillId="36" borderId="114" xfId="0" applyNumberFormat="1" applyFont="1" applyFill="1" applyBorder="1" applyAlignment="1">
      <alignment/>
    </xf>
    <xf numFmtId="0" fontId="67" fillId="0" borderId="0" xfId="0" applyFont="1" applyBorder="1" applyAlignment="1">
      <alignment horizontal="center"/>
    </xf>
    <xf numFmtId="0" fontId="66" fillId="0" borderId="0" xfId="0" applyFont="1" applyAlignment="1">
      <alignment/>
    </xf>
    <xf numFmtId="3" fontId="67" fillId="37" borderId="101" xfId="0" applyNumberFormat="1" applyFont="1" applyFill="1" applyBorder="1" applyAlignment="1">
      <alignment horizontal="center" vertical="center" wrapText="1"/>
    </xf>
    <xf numFmtId="3" fontId="67" fillId="37" borderId="14" xfId="0" applyNumberFormat="1" applyFont="1" applyFill="1" applyBorder="1" applyAlignment="1">
      <alignment vertical="center" wrapText="1"/>
    </xf>
    <xf numFmtId="0" fontId="67" fillId="37" borderId="12" xfId="0" applyFont="1" applyFill="1" applyBorder="1" applyAlignment="1">
      <alignment horizontal="center"/>
    </xf>
    <xf numFmtId="165" fontId="67" fillId="0" borderId="12" xfId="46" applyNumberFormat="1" applyFont="1" applyFill="1" applyBorder="1" applyAlignment="1" applyProtection="1">
      <alignment/>
      <protection/>
    </xf>
    <xf numFmtId="165" fontId="66" fillId="0" borderId="12" xfId="46" applyNumberFormat="1" applyFont="1" applyFill="1" applyBorder="1" applyAlignment="1" applyProtection="1">
      <alignment/>
      <protection/>
    </xf>
    <xf numFmtId="165" fontId="66" fillId="36" borderId="12" xfId="46" applyNumberFormat="1" applyFont="1" applyFill="1" applyBorder="1" applyAlignment="1" applyProtection="1">
      <alignment/>
      <protection/>
    </xf>
    <xf numFmtId="165" fontId="67" fillId="33" borderId="25" xfId="46" applyNumberFormat="1" applyFont="1" applyFill="1" applyBorder="1" applyAlignment="1" applyProtection="1">
      <alignment/>
      <protection/>
    </xf>
    <xf numFmtId="0" fontId="67" fillId="36" borderId="0" xfId="0" applyFont="1" applyFill="1" applyBorder="1" applyAlignment="1">
      <alignment horizontal="center"/>
    </xf>
    <xf numFmtId="0" fontId="66" fillId="36" borderId="0" xfId="0" applyFont="1" applyFill="1" applyBorder="1" applyAlignment="1">
      <alignment/>
    </xf>
    <xf numFmtId="0" fontId="67" fillId="36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165" fontId="0" fillId="0" borderId="0" xfId="46" applyNumberFormat="1" applyAlignment="1">
      <alignment/>
    </xf>
    <xf numFmtId="0" fontId="0" fillId="0" borderId="0" xfId="0" applyAlignment="1">
      <alignment horizontal="center" vertical="center"/>
    </xf>
    <xf numFmtId="165" fontId="5" fillId="43" borderId="159" xfId="46" applyNumberFormat="1" applyFont="1" applyFill="1" applyBorder="1" applyAlignment="1">
      <alignment/>
    </xf>
    <xf numFmtId="0" fontId="2" fillId="0" borderId="114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/>
    </xf>
    <xf numFmtId="165" fontId="2" fillId="0" borderId="114" xfId="46" applyNumberFormat="1" applyFont="1" applyBorder="1" applyAlignment="1">
      <alignment horizontal="center" vertical="center"/>
    </xf>
    <xf numFmtId="165" fontId="0" fillId="0" borderId="0" xfId="46" applyNumberFormat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4" xfId="0" applyBorder="1" applyAlignment="1">
      <alignment/>
    </xf>
    <xf numFmtId="4" fontId="0" fillId="0" borderId="114" xfId="0" applyNumberFormat="1" applyBorder="1" applyAlignment="1">
      <alignment/>
    </xf>
    <xf numFmtId="3" fontId="0" fillId="0" borderId="114" xfId="0" applyNumberFormat="1" applyBorder="1" applyAlignment="1">
      <alignment/>
    </xf>
    <xf numFmtId="165" fontId="0" fillId="0" borderId="114" xfId="46" applyNumberFormat="1" applyBorder="1" applyAlignment="1">
      <alignment/>
    </xf>
    <xf numFmtId="0" fontId="2" fillId="0" borderId="114" xfId="0" applyFont="1" applyBorder="1" applyAlignment="1">
      <alignment/>
    </xf>
    <xf numFmtId="3" fontId="2" fillId="0" borderId="114" xfId="0" applyNumberFormat="1" applyFont="1" applyBorder="1" applyAlignment="1">
      <alignment/>
    </xf>
    <xf numFmtId="0" fontId="0" fillId="0" borderId="114" xfId="0" applyBorder="1" applyAlignment="1">
      <alignment wrapText="1"/>
    </xf>
    <xf numFmtId="4" fontId="2" fillId="0" borderId="114" xfId="0" applyNumberFormat="1" applyFont="1" applyBorder="1" applyAlignment="1">
      <alignment/>
    </xf>
    <xf numFmtId="0" fontId="5" fillId="43" borderId="114" xfId="0" applyFont="1" applyFill="1" applyBorder="1" applyAlignment="1">
      <alignment horizontal="center" vertical="center"/>
    </xf>
    <xf numFmtId="0" fontId="5" fillId="43" borderId="114" xfId="0" applyFont="1" applyFill="1" applyBorder="1" applyAlignment="1">
      <alignment/>
    </xf>
    <xf numFmtId="0" fontId="5" fillId="43" borderId="114" xfId="0" applyFont="1" applyFill="1" applyBorder="1" applyAlignment="1">
      <alignment wrapText="1"/>
    </xf>
    <xf numFmtId="165" fontId="5" fillId="43" borderId="114" xfId="46" applyNumberFormat="1" applyFont="1" applyFill="1" applyBorder="1" applyAlignment="1">
      <alignment/>
    </xf>
    <xf numFmtId="168" fontId="0" fillId="0" borderId="114" xfId="0" applyNumberFormat="1" applyBorder="1" applyAlignment="1">
      <alignment/>
    </xf>
    <xf numFmtId="0" fontId="0" fillId="42" borderId="114" xfId="0" applyFont="1" applyFill="1" applyBorder="1" applyAlignment="1">
      <alignment horizontal="center" vertical="center"/>
    </xf>
    <xf numFmtId="0" fontId="0" fillId="42" borderId="114" xfId="0" applyFont="1" applyFill="1" applyBorder="1" applyAlignment="1">
      <alignment/>
    </xf>
    <xf numFmtId="0" fontId="0" fillId="42" borderId="114" xfId="0" applyFont="1" applyFill="1" applyBorder="1" applyAlignment="1">
      <alignment wrapText="1"/>
    </xf>
    <xf numFmtId="165" fontId="0" fillId="42" borderId="114" xfId="46" applyNumberFormat="1" applyFont="1" applyFill="1" applyBorder="1" applyAlignment="1">
      <alignment/>
    </xf>
    <xf numFmtId="0" fontId="0" fillId="42" borderId="0" xfId="0" applyFont="1" applyFill="1" applyAlignment="1">
      <alignment/>
    </xf>
    <xf numFmtId="165" fontId="0" fillId="42" borderId="0" xfId="46" applyNumberFormat="1" applyFill="1" applyAlignment="1">
      <alignment/>
    </xf>
    <xf numFmtId="165" fontId="0" fillId="0" borderId="0" xfId="46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33" borderId="160" xfId="0" applyFont="1" applyFill="1" applyBorder="1" applyAlignment="1">
      <alignment/>
    </xf>
    <xf numFmtId="0" fontId="0" fillId="0" borderId="160" xfId="0" applyFont="1" applyBorder="1" applyAlignment="1">
      <alignment horizontal="center"/>
    </xf>
    <xf numFmtId="3" fontId="0" fillId="36" borderId="12" xfId="0" applyNumberFormat="1" applyFont="1" applyFill="1" applyBorder="1" applyAlignment="1">
      <alignment horizontal="left"/>
    </xf>
    <xf numFmtId="165" fontId="0" fillId="36" borderId="88" xfId="46" applyNumberFormat="1" applyFont="1" applyFill="1" applyBorder="1" applyAlignment="1" applyProtection="1">
      <alignment/>
      <protection/>
    </xf>
    <xf numFmtId="3" fontId="21" fillId="0" borderId="14" xfId="0" applyNumberFormat="1" applyFont="1" applyFill="1" applyBorder="1" applyAlignment="1">
      <alignment wrapText="1"/>
    </xf>
    <xf numFmtId="3" fontId="31" fillId="0" borderId="13" xfId="0" applyNumberFormat="1" applyFont="1" applyFill="1" applyBorder="1" applyAlignment="1">
      <alignment horizontal="center"/>
    </xf>
    <xf numFmtId="3" fontId="31" fillId="0" borderId="14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3" fontId="21" fillId="36" borderId="88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3" fontId="21" fillId="0" borderId="114" xfId="0" applyNumberFormat="1" applyFont="1" applyFill="1" applyBorder="1" applyAlignment="1">
      <alignment horizontal="center"/>
    </xf>
    <xf numFmtId="3" fontId="21" fillId="0" borderId="114" xfId="0" applyNumberFormat="1" applyFont="1" applyFill="1" applyBorder="1" applyAlignment="1">
      <alignment/>
    </xf>
    <xf numFmtId="3" fontId="28" fillId="0" borderId="114" xfId="0" applyNumberFormat="1" applyFont="1" applyFill="1" applyBorder="1" applyAlignment="1">
      <alignment horizontal="center"/>
    </xf>
    <xf numFmtId="3" fontId="28" fillId="0" borderId="114" xfId="0" applyNumberFormat="1" applyFont="1" applyFill="1" applyBorder="1" applyAlignment="1">
      <alignment/>
    </xf>
    <xf numFmtId="3" fontId="28" fillId="36" borderId="88" xfId="0" applyNumberFormat="1" applyFont="1" applyFill="1" applyBorder="1" applyAlignment="1">
      <alignment/>
    </xf>
    <xf numFmtId="3" fontId="28" fillId="0" borderId="114" xfId="0" applyNumberFormat="1" applyFont="1" applyFill="1" applyBorder="1" applyAlignment="1">
      <alignment wrapText="1"/>
    </xf>
    <xf numFmtId="3" fontId="21" fillId="0" borderId="88" xfId="0" applyNumberFormat="1" applyFont="1" applyFill="1" applyBorder="1" applyAlignment="1">
      <alignment/>
    </xf>
    <xf numFmtId="3" fontId="21" fillId="36" borderId="36" xfId="0" applyNumberFormat="1" applyFont="1" applyFill="1" applyBorder="1" applyAlignment="1">
      <alignment/>
    </xf>
    <xf numFmtId="3" fontId="28" fillId="0" borderId="161" xfId="0" applyNumberFormat="1" applyFont="1" applyFill="1" applyBorder="1" applyAlignment="1">
      <alignment horizontal="center"/>
    </xf>
    <xf numFmtId="3" fontId="28" fillId="0" borderId="161" xfId="0" applyNumberFormat="1" applyFont="1" applyFill="1" applyBorder="1" applyAlignment="1">
      <alignment wrapText="1"/>
    </xf>
    <xf numFmtId="3" fontId="28" fillId="0" borderId="161" xfId="0" applyNumberFormat="1" applyFont="1" applyFill="1" applyBorder="1" applyAlignment="1">
      <alignment/>
    </xf>
    <xf numFmtId="3" fontId="28" fillId="36" borderId="99" xfId="0" applyNumberFormat="1" applyFont="1" applyFill="1" applyBorder="1" applyAlignment="1">
      <alignment/>
    </xf>
    <xf numFmtId="3" fontId="21" fillId="36" borderId="114" xfId="0" applyNumberFormat="1" applyFont="1" applyFill="1" applyBorder="1" applyAlignment="1">
      <alignment/>
    </xf>
    <xf numFmtId="3" fontId="28" fillId="36" borderId="114" xfId="0" applyNumberFormat="1" applyFont="1" applyFill="1" applyBorder="1" applyAlignment="1">
      <alignment/>
    </xf>
    <xf numFmtId="3" fontId="28" fillId="0" borderId="88" xfId="0" applyNumberFormat="1" applyFont="1" applyFill="1" applyBorder="1" applyAlignment="1">
      <alignment/>
    </xf>
    <xf numFmtId="3" fontId="31" fillId="0" borderId="114" xfId="0" applyNumberFormat="1" applyFont="1" applyFill="1" applyBorder="1" applyAlignment="1">
      <alignment horizontal="center"/>
    </xf>
    <xf numFmtId="3" fontId="31" fillId="0" borderId="114" xfId="0" applyNumberFormat="1" applyFont="1" applyFill="1" applyBorder="1" applyAlignment="1">
      <alignment/>
    </xf>
    <xf numFmtId="3" fontId="31" fillId="36" borderId="88" xfId="0" applyNumberFormat="1" applyFont="1" applyFill="1" applyBorder="1" applyAlignment="1">
      <alignment/>
    </xf>
    <xf numFmtId="3" fontId="31" fillId="0" borderId="12" xfId="0" applyNumberFormat="1" applyFont="1" applyFill="1" applyBorder="1" applyAlignment="1">
      <alignment/>
    </xf>
    <xf numFmtId="3" fontId="28" fillId="0" borderId="44" xfId="0" applyNumberFormat="1" applyFont="1" applyFill="1" applyBorder="1" applyAlignment="1">
      <alignment/>
    </xf>
    <xf numFmtId="3" fontId="21" fillId="0" borderId="12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3" fontId="28" fillId="0" borderId="162" xfId="0" applyNumberFormat="1" applyFont="1" applyFill="1" applyBorder="1" applyAlignment="1">
      <alignment horizontal="left"/>
    </xf>
    <xf numFmtId="3" fontId="21" fillId="0" borderId="12" xfId="0" applyNumberFormat="1" applyFont="1" applyFill="1" applyBorder="1" applyAlignment="1">
      <alignment horizontal="left"/>
    </xf>
    <xf numFmtId="3" fontId="30" fillId="0" borderId="12" xfId="0" applyNumberFormat="1" applyFont="1" applyFill="1" applyBorder="1" applyAlignment="1">
      <alignment horizontal="left"/>
    </xf>
    <xf numFmtId="165" fontId="21" fillId="0" borderId="14" xfId="46" applyNumberFormat="1" applyFont="1" applyFill="1" applyBorder="1" applyAlignment="1" applyProtection="1">
      <alignment horizontal="left"/>
      <protection/>
    </xf>
    <xf numFmtId="3" fontId="21" fillId="0" borderId="110" xfId="0" applyNumberFormat="1" applyFont="1" applyFill="1" applyBorder="1" applyAlignment="1">
      <alignment horizontal="left"/>
    </xf>
    <xf numFmtId="3" fontId="21" fillId="37" borderId="41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3" fontId="28" fillId="0" borderId="102" xfId="0" applyNumberFormat="1" applyFont="1" applyFill="1" applyBorder="1" applyAlignment="1">
      <alignment horizontal="left"/>
    </xf>
    <xf numFmtId="3" fontId="21" fillId="0" borderId="76" xfId="0" applyNumberFormat="1" applyFont="1" applyFill="1" applyBorder="1" applyAlignment="1">
      <alignment horizontal="left"/>
    </xf>
    <xf numFmtId="3" fontId="28" fillId="0" borderId="76" xfId="0" applyNumberFormat="1" applyFont="1" applyFill="1" applyBorder="1" applyAlignment="1">
      <alignment horizontal="left"/>
    </xf>
    <xf numFmtId="3" fontId="21" fillId="0" borderId="88" xfId="0" applyNumberFormat="1" applyFont="1" applyFill="1" applyBorder="1" applyAlignment="1">
      <alignment horizontal="left"/>
    </xf>
    <xf numFmtId="3" fontId="28" fillId="0" borderId="88" xfId="0" applyNumberFormat="1" applyFont="1" applyFill="1" applyBorder="1" applyAlignment="1">
      <alignment horizontal="left"/>
    </xf>
    <xf numFmtId="3" fontId="21" fillId="0" borderId="89" xfId="0" applyNumberFormat="1" applyFont="1" applyFill="1" applyBorder="1" applyAlignment="1">
      <alignment horizontal="left"/>
    </xf>
    <xf numFmtId="3" fontId="28" fillId="0" borderId="114" xfId="0" applyNumberFormat="1" applyFont="1" applyFill="1" applyBorder="1" applyAlignment="1">
      <alignment horizontal="left"/>
    </xf>
    <xf numFmtId="3" fontId="21" fillId="0" borderId="114" xfId="0" applyNumberFormat="1" applyFont="1" applyFill="1" applyBorder="1" applyAlignment="1">
      <alignment horizontal="left"/>
    </xf>
    <xf numFmtId="3" fontId="28" fillId="0" borderId="161" xfId="0" applyNumberFormat="1" applyFont="1" applyFill="1" applyBorder="1" applyAlignment="1">
      <alignment horizontal="left"/>
    </xf>
    <xf numFmtId="3" fontId="31" fillId="0" borderId="114" xfId="0" applyNumberFormat="1" applyFont="1" applyFill="1" applyBorder="1" applyAlignment="1">
      <alignment horizontal="left"/>
    </xf>
    <xf numFmtId="3" fontId="28" fillId="0" borderId="99" xfId="0" applyNumberFormat="1" applyFont="1" applyFill="1" applyBorder="1" applyAlignment="1">
      <alignment horizontal="left"/>
    </xf>
    <xf numFmtId="3" fontId="21" fillId="0" borderId="99" xfId="0" applyNumberFormat="1" applyFont="1" applyFill="1" applyBorder="1" applyAlignment="1">
      <alignment horizontal="left"/>
    </xf>
    <xf numFmtId="3" fontId="31" fillId="0" borderId="99" xfId="0" applyNumberFormat="1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3" fontId="28" fillId="0" borderId="12" xfId="0" applyNumberFormat="1" applyFont="1" applyFill="1" applyBorder="1" applyAlignment="1">
      <alignment horizontal="left"/>
    </xf>
    <xf numFmtId="3" fontId="28" fillId="0" borderId="11" xfId="0" applyNumberFormat="1" applyFont="1" applyFill="1" applyBorder="1" applyAlignment="1">
      <alignment horizontal="left"/>
    </xf>
    <xf numFmtId="3" fontId="21" fillId="0" borderId="11" xfId="0" applyNumberFormat="1" applyFont="1" applyFill="1" applyBorder="1" applyAlignment="1">
      <alignment horizontal="left"/>
    </xf>
    <xf numFmtId="3" fontId="21" fillId="0" borderId="36" xfId="0" applyNumberFormat="1" applyFont="1" applyFill="1" applyBorder="1" applyAlignment="1">
      <alignment horizontal="left"/>
    </xf>
    <xf numFmtId="3" fontId="21" fillId="33" borderId="41" xfId="0" applyNumberFormat="1" applyFont="1" applyFill="1" applyBorder="1" applyAlignment="1">
      <alignment horizontal="left"/>
    </xf>
    <xf numFmtId="3" fontId="21" fillId="33" borderId="163" xfId="0" applyNumberFormat="1" applyFont="1" applyFill="1" applyBorder="1" applyAlignment="1">
      <alignment horizontal="left"/>
    </xf>
    <xf numFmtId="3" fontId="21" fillId="33" borderId="164" xfId="0" applyNumberFormat="1" applyFont="1" applyFill="1" applyBorder="1" applyAlignment="1">
      <alignment horizontal="left"/>
    </xf>
    <xf numFmtId="3" fontId="21" fillId="33" borderId="165" xfId="0" applyNumberFormat="1" applyFont="1" applyFill="1" applyBorder="1" applyAlignment="1">
      <alignment horizontal="left"/>
    </xf>
    <xf numFmtId="3" fontId="21" fillId="33" borderId="36" xfId="0" applyNumberFormat="1" applyFont="1" applyFill="1" applyBorder="1" applyAlignment="1">
      <alignment horizontal="left"/>
    </xf>
    <xf numFmtId="165" fontId="0" fillId="36" borderId="109" xfId="46" applyNumberFormat="1" applyFont="1" applyFill="1" applyBorder="1" applyAlignment="1" applyProtection="1">
      <alignment/>
      <protection/>
    </xf>
    <xf numFmtId="165" fontId="0" fillId="41" borderId="12" xfId="46" applyNumberFormat="1" applyFont="1" applyFill="1" applyBorder="1" applyAlignment="1" applyProtection="1">
      <alignment/>
      <protection/>
    </xf>
    <xf numFmtId="165" fontId="1" fillId="41" borderId="12" xfId="46" applyNumberFormat="1" applyFont="1" applyFill="1" applyBorder="1" applyAlignment="1" applyProtection="1">
      <alignment/>
      <protection/>
    </xf>
    <xf numFmtId="165" fontId="66" fillId="42" borderId="12" xfId="46" applyNumberFormat="1" applyFont="1" applyFill="1" applyBorder="1" applyAlignment="1" applyProtection="1">
      <alignment/>
      <protection/>
    </xf>
    <xf numFmtId="165" fontId="0" fillId="0" borderId="33" xfId="46" applyNumberFormat="1" applyFont="1" applyFill="1" applyBorder="1" applyAlignment="1" applyProtection="1">
      <alignment/>
      <protection/>
    </xf>
    <xf numFmtId="165" fontId="0" fillId="42" borderId="33" xfId="46" applyNumberFormat="1" applyFont="1" applyFill="1" applyBorder="1" applyAlignment="1" applyProtection="1">
      <alignment/>
      <protection/>
    </xf>
    <xf numFmtId="0" fontId="2" fillId="0" borderId="2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36" xfId="46" applyNumberFormat="1" applyFont="1" applyFill="1" applyBorder="1" applyAlignment="1" applyProtection="1">
      <alignment horizontal="center"/>
      <protection/>
    </xf>
    <xf numFmtId="165" fontId="0" fillId="0" borderId="114" xfId="46" applyNumberFormat="1" applyFont="1" applyFill="1" applyBorder="1" applyAlignment="1" applyProtection="1">
      <alignment/>
      <protection/>
    </xf>
    <xf numFmtId="165" fontId="0" fillId="0" borderId="114" xfId="46" applyNumberFormat="1" applyFont="1" applyFill="1" applyBorder="1" applyAlignment="1" applyProtection="1">
      <alignment horizontal="center"/>
      <protection/>
    </xf>
    <xf numFmtId="0" fontId="2" fillId="0" borderId="166" xfId="0" applyFont="1" applyBorder="1" applyAlignment="1">
      <alignment horizontal="center" vertical="center" wrapText="1"/>
    </xf>
    <xf numFmtId="165" fontId="2" fillId="0" borderId="167" xfId="46" applyNumberFormat="1" applyFont="1" applyFill="1" applyBorder="1" applyAlignment="1" applyProtection="1">
      <alignment/>
      <protection/>
    </xf>
    <xf numFmtId="165" fontId="0" fillId="36" borderId="144" xfId="46" applyNumberFormat="1" applyFont="1" applyFill="1" applyBorder="1" applyAlignment="1" applyProtection="1">
      <alignment/>
      <protection/>
    </xf>
    <xf numFmtId="165" fontId="0" fillId="36" borderId="142" xfId="46" applyNumberFormat="1" applyFont="1" applyFill="1" applyBorder="1" applyAlignment="1" applyProtection="1">
      <alignment/>
      <protection/>
    </xf>
    <xf numFmtId="165" fontId="0" fillId="36" borderId="143" xfId="46" applyNumberFormat="1" applyFont="1" applyFill="1" applyBorder="1" applyAlignment="1" applyProtection="1">
      <alignment/>
      <protection/>
    </xf>
    <xf numFmtId="165" fontId="2" fillId="0" borderId="156" xfId="46" applyNumberFormat="1" applyFont="1" applyFill="1" applyBorder="1" applyAlignment="1" applyProtection="1">
      <alignment/>
      <protection/>
    </xf>
    <xf numFmtId="165" fontId="0" fillId="36" borderId="168" xfId="46" applyNumberFormat="1" applyFont="1" applyFill="1" applyBorder="1" applyAlignment="1" applyProtection="1">
      <alignment/>
      <protection/>
    </xf>
    <xf numFmtId="165" fontId="0" fillId="36" borderId="169" xfId="46" applyNumberFormat="1" applyFont="1" applyFill="1" applyBorder="1" applyAlignment="1" applyProtection="1">
      <alignment/>
      <protection/>
    </xf>
    <xf numFmtId="165" fontId="0" fillId="0" borderId="170" xfId="46" applyNumberFormat="1" applyFont="1" applyFill="1" applyBorder="1" applyAlignment="1" applyProtection="1">
      <alignment/>
      <protection/>
    </xf>
    <xf numFmtId="165" fontId="0" fillId="0" borderId="171" xfId="46" applyNumberFormat="1" applyFont="1" applyFill="1" applyBorder="1" applyAlignment="1" applyProtection="1">
      <alignment/>
      <protection/>
    </xf>
    <xf numFmtId="165" fontId="0" fillId="0" borderId="172" xfId="46" applyNumberFormat="1" applyFont="1" applyFill="1" applyBorder="1" applyAlignment="1" applyProtection="1">
      <alignment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165" fontId="2" fillId="0" borderId="173" xfId="46" applyNumberFormat="1" applyFont="1" applyFill="1" applyBorder="1" applyAlignment="1" applyProtection="1">
      <alignment/>
      <protection/>
    </xf>
    <xf numFmtId="165" fontId="2" fillId="0" borderId="174" xfId="46" applyNumberFormat="1" applyFont="1" applyFill="1" applyBorder="1" applyAlignment="1" applyProtection="1">
      <alignment/>
      <protection/>
    </xf>
    <xf numFmtId="165" fontId="0" fillId="36" borderId="175" xfId="46" applyNumberFormat="1" applyFont="1" applyFill="1" applyBorder="1" applyAlignment="1" applyProtection="1">
      <alignment/>
      <protection/>
    </xf>
    <xf numFmtId="165" fontId="0" fillId="0" borderId="176" xfId="46" applyNumberFormat="1" applyFont="1" applyFill="1" applyBorder="1" applyAlignment="1" applyProtection="1">
      <alignment/>
      <protection/>
    </xf>
    <xf numFmtId="165" fontId="0" fillId="36" borderId="177" xfId="46" applyNumberFormat="1" applyFont="1" applyFill="1" applyBorder="1" applyAlignment="1" applyProtection="1">
      <alignment/>
      <protection/>
    </xf>
    <xf numFmtId="165" fontId="0" fillId="0" borderId="125" xfId="46" applyNumberFormat="1" applyFont="1" applyFill="1" applyBorder="1" applyAlignment="1" applyProtection="1">
      <alignment/>
      <protection/>
    </xf>
    <xf numFmtId="165" fontId="0" fillId="0" borderId="125" xfId="46" applyNumberFormat="1" applyFont="1" applyFill="1" applyBorder="1" applyAlignment="1" applyProtection="1">
      <alignment horizontal="center"/>
      <protection/>
    </xf>
    <xf numFmtId="165" fontId="0" fillId="0" borderId="178" xfId="46" applyNumberFormat="1" applyFont="1" applyFill="1" applyBorder="1" applyAlignment="1" applyProtection="1">
      <alignment/>
      <protection/>
    </xf>
    <xf numFmtId="165" fontId="2" fillId="0" borderId="179" xfId="46" applyNumberFormat="1" applyFont="1" applyFill="1" applyBorder="1" applyAlignment="1" applyProtection="1">
      <alignment/>
      <protection/>
    </xf>
    <xf numFmtId="165" fontId="2" fillId="0" borderId="180" xfId="46" applyNumberFormat="1" applyFont="1" applyFill="1" applyBorder="1" applyAlignment="1" applyProtection="1">
      <alignment/>
      <protection/>
    </xf>
    <xf numFmtId="165" fontId="2" fillId="0" borderId="119" xfId="46" applyNumberFormat="1" applyFont="1" applyFill="1" applyBorder="1" applyAlignment="1" applyProtection="1">
      <alignment/>
      <protection/>
    </xf>
    <xf numFmtId="165" fontId="0" fillId="36" borderId="151" xfId="46" applyNumberFormat="1" applyFont="1" applyFill="1" applyBorder="1" applyAlignment="1" applyProtection="1">
      <alignment/>
      <protection/>
    </xf>
    <xf numFmtId="165" fontId="0" fillId="0" borderId="135" xfId="46" applyNumberFormat="1" applyFont="1" applyFill="1" applyBorder="1" applyAlignment="1" applyProtection="1">
      <alignment/>
      <protection/>
    </xf>
    <xf numFmtId="165" fontId="0" fillId="0" borderId="135" xfId="46" applyNumberFormat="1" applyFont="1" applyFill="1" applyBorder="1" applyAlignment="1" applyProtection="1">
      <alignment horizontal="center"/>
      <protection/>
    </xf>
    <xf numFmtId="165" fontId="0" fillId="0" borderId="152" xfId="46" applyNumberFormat="1" applyFont="1" applyFill="1" applyBorder="1" applyAlignment="1" applyProtection="1">
      <alignment/>
      <protection/>
    </xf>
    <xf numFmtId="165" fontId="0" fillId="36" borderId="141" xfId="46" applyNumberFormat="1" applyFont="1" applyFill="1" applyBorder="1" applyAlignment="1" applyProtection="1">
      <alignment/>
      <protection/>
    </xf>
    <xf numFmtId="165" fontId="0" fillId="36" borderId="181" xfId="46" applyNumberFormat="1" applyFont="1" applyFill="1" applyBorder="1" applyAlignment="1" applyProtection="1">
      <alignment/>
      <protection/>
    </xf>
    <xf numFmtId="165" fontId="0" fillId="0" borderId="126" xfId="46" applyNumberFormat="1" applyFont="1" applyFill="1" applyBorder="1" applyAlignment="1" applyProtection="1">
      <alignment/>
      <protection/>
    </xf>
    <xf numFmtId="0" fontId="0" fillId="0" borderId="140" xfId="0" applyFont="1" applyFill="1" applyBorder="1" applyAlignment="1">
      <alignment/>
    </xf>
    <xf numFmtId="0" fontId="2" fillId="0" borderId="159" xfId="0" applyFont="1" applyBorder="1" applyAlignment="1">
      <alignment/>
    </xf>
    <xf numFmtId="165" fontId="9" fillId="0" borderId="182" xfId="46" applyNumberFormat="1" applyFont="1" applyFill="1" applyBorder="1" applyAlignment="1" applyProtection="1">
      <alignment/>
      <protection/>
    </xf>
    <xf numFmtId="165" fontId="9" fillId="0" borderId="183" xfId="46" applyNumberFormat="1" applyFont="1" applyFill="1" applyBorder="1" applyAlignment="1" applyProtection="1">
      <alignment/>
      <protection/>
    </xf>
    <xf numFmtId="165" fontId="9" fillId="0" borderId="184" xfId="46" applyNumberFormat="1" applyFont="1" applyFill="1" applyBorder="1" applyAlignment="1" applyProtection="1">
      <alignment/>
      <protection/>
    </xf>
    <xf numFmtId="165" fontId="9" fillId="0" borderId="181" xfId="46" applyNumberFormat="1" applyFont="1" applyFill="1" applyBorder="1" applyAlignment="1" applyProtection="1">
      <alignment/>
      <protection/>
    </xf>
    <xf numFmtId="165" fontId="9" fillId="0" borderId="125" xfId="46" applyNumberFormat="1" applyFont="1" applyFill="1" applyBorder="1" applyAlignment="1" applyProtection="1">
      <alignment/>
      <protection/>
    </xf>
    <xf numFmtId="165" fontId="9" fillId="0" borderId="126" xfId="46" applyNumberFormat="1" applyFont="1" applyFill="1" applyBorder="1" applyAlignment="1" applyProtection="1">
      <alignment/>
      <protection/>
    </xf>
    <xf numFmtId="0" fontId="9" fillId="0" borderId="185" xfId="0" applyFont="1" applyBorder="1" applyAlignment="1">
      <alignment/>
    </xf>
    <xf numFmtId="0" fontId="9" fillId="0" borderId="130" xfId="0" applyFont="1" applyBorder="1" applyAlignment="1">
      <alignment/>
    </xf>
    <xf numFmtId="0" fontId="9" fillId="0" borderId="131" xfId="0" applyFont="1" applyBorder="1" applyAlignment="1">
      <alignment/>
    </xf>
    <xf numFmtId="165" fontId="2" fillId="0" borderId="159" xfId="46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165" fontId="0" fillId="0" borderId="16" xfId="46" applyNumberFormat="1" applyFill="1" applyBorder="1" applyAlignment="1" applyProtection="1">
      <alignment/>
      <protection/>
    </xf>
    <xf numFmtId="165" fontId="2" fillId="42" borderId="31" xfId="46" applyNumberFormat="1" applyFont="1" applyFill="1" applyBorder="1" applyAlignment="1" applyProtection="1">
      <alignment/>
      <protection/>
    </xf>
    <xf numFmtId="165" fontId="0" fillId="42" borderId="34" xfId="46" applyNumberFormat="1" applyFont="1" applyFill="1" applyBorder="1" applyAlignment="1" applyProtection="1">
      <alignment/>
      <protection/>
    </xf>
    <xf numFmtId="165" fontId="9" fillId="41" borderId="31" xfId="46" applyNumberFormat="1" applyFont="1" applyFill="1" applyBorder="1" applyAlignment="1" applyProtection="1">
      <alignment/>
      <protection/>
    </xf>
    <xf numFmtId="165" fontId="9" fillId="41" borderId="34" xfId="46" applyNumberFormat="1" applyFont="1" applyFill="1" applyBorder="1" applyAlignment="1" applyProtection="1">
      <alignment/>
      <protection/>
    </xf>
    <xf numFmtId="165" fontId="0" fillId="41" borderId="34" xfId="46" applyNumberFormat="1" applyFont="1" applyFill="1" applyBorder="1" applyAlignment="1" applyProtection="1">
      <alignment/>
      <protection/>
    </xf>
    <xf numFmtId="165" fontId="9" fillId="41" borderId="38" xfId="46" applyNumberFormat="1" applyFont="1" applyFill="1" applyBorder="1" applyAlignment="1" applyProtection="1">
      <alignment/>
      <protection/>
    </xf>
    <xf numFmtId="165" fontId="0" fillId="41" borderId="31" xfId="46" applyNumberFormat="1" applyFont="1" applyFill="1" applyBorder="1" applyAlignment="1" applyProtection="1">
      <alignment/>
      <protection/>
    </xf>
    <xf numFmtId="165" fontId="0" fillId="41" borderId="38" xfId="46" applyNumberFormat="1" applyFont="1" applyFill="1" applyBorder="1" applyAlignment="1" applyProtection="1">
      <alignment/>
      <protection/>
    </xf>
    <xf numFmtId="3" fontId="0" fillId="41" borderId="13" xfId="0" applyNumberFormat="1" applyFont="1" applyFill="1" applyBorder="1" applyAlignment="1">
      <alignment/>
    </xf>
    <xf numFmtId="3" fontId="0" fillId="42" borderId="13" xfId="0" applyNumberFormat="1" applyFont="1" applyFill="1" applyBorder="1" applyAlignment="1">
      <alignment/>
    </xf>
    <xf numFmtId="3" fontId="66" fillId="41" borderId="10" xfId="0" applyNumberFormat="1" applyFont="1" applyFill="1" applyBorder="1" applyAlignment="1">
      <alignment/>
    </xf>
    <xf numFmtId="3" fontId="66" fillId="41" borderId="12" xfId="0" applyNumberFormat="1" applyFont="1" applyFill="1" applyBorder="1" applyAlignment="1">
      <alignment/>
    </xf>
    <xf numFmtId="3" fontId="66" fillId="0" borderId="13" xfId="0" applyNumberFormat="1" applyFont="1" applyBorder="1" applyAlignment="1">
      <alignment/>
    </xf>
    <xf numFmtId="0" fontId="68" fillId="38" borderId="13" xfId="0" applyFont="1" applyFill="1" applyBorder="1" applyAlignment="1">
      <alignment horizontal="left" vertical="center" wrapText="1"/>
    </xf>
    <xf numFmtId="9" fontId="13" fillId="0" borderId="0" xfId="0" applyNumberFormat="1" applyFont="1" applyBorder="1" applyAlignment="1">
      <alignment/>
    </xf>
    <xf numFmtId="3" fontId="0" fillId="0" borderId="153" xfId="0" applyNumberFormat="1" applyFont="1" applyFill="1" applyBorder="1" applyAlignment="1">
      <alignment horizontal="center"/>
    </xf>
    <xf numFmtId="3" fontId="2" fillId="0" borderId="116" xfId="0" applyNumberFormat="1" applyFont="1" applyFill="1" applyBorder="1" applyAlignment="1">
      <alignment horizontal="center"/>
    </xf>
    <xf numFmtId="0" fontId="2" fillId="0" borderId="116" xfId="0" applyFont="1" applyBorder="1" applyAlignment="1">
      <alignment/>
    </xf>
    <xf numFmtId="165" fontId="2" fillId="36" borderId="173" xfId="46" applyNumberFormat="1" applyFont="1" applyFill="1" applyBorder="1" applyAlignment="1" applyProtection="1">
      <alignment/>
      <protection/>
    </xf>
    <xf numFmtId="165" fontId="2" fillId="36" borderId="115" xfId="46" applyNumberFormat="1" applyFont="1" applyFill="1" applyBorder="1" applyAlignment="1" applyProtection="1">
      <alignment/>
      <protection/>
    </xf>
    <xf numFmtId="9" fontId="13" fillId="0" borderId="118" xfId="0" applyNumberFormat="1" applyFont="1" applyBorder="1" applyAlignment="1">
      <alignment/>
    </xf>
    <xf numFmtId="165" fontId="2" fillId="36" borderId="118" xfId="46" applyNumberFormat="1" applyFont="1" applyFill="1" applyBorder="1" applyAlignment="1" applyProtection="1">
      <alignment/>
      <protection/>
    </xf>
    <xf numFmtId="165" fontId="2" fillId="41" borderId="119" xfId="46" applyNumberFormat="1" applyFont="1" applyFill="1" applyBorder="1" applyAlignment="1" applyProtection="1">
      <alignment/>
      <protection/>
    </xf>
    <xf numFmtId="9" fontId="13" fillId="0" borderId="31" xfId="0" applyNumberFormat="1" applyFont="1" applyBorder="1" applyAlignment="1">
      <alignment/>
    </xf>
    <xf numFmtId="3" fontId="2" fillId="0" borderId="115" xfId="0" applyNumberFormat="1" applyFont="1" applyFill="1" applyBorder="1" applyAlignment="1">
      <alignment horizontal="center"/>
    </xf>
    <xf numFmtId="3" fontId="2" fillId="0" borderId="116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left" wrapText="1"/>
    </xf>
    <xf numFmtId="0" fontId="2" fillId="0" borderId="116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9" fontId="3" fillId="0" borderId="38" xfId="0" applyNumberFormat="1" applyFont="1" applyBorder="1" applyAlignment="1">
      <alignment/>
    </xf>
    <xf numFmtId="165" fontId="1" fillId="36" borderId="173" xfId="46" applyNumberFormat="1" applyFont="1" applyFill="1" applyBorder="1" applyAlignment="1" applyProtection="1">
      <alignment/>
      <protection/>
    </xf>
    <xf numFmtId="165" fontId="1" fillId="36" borderId="115" xfId="46" applyNumberFormat="1" applyFont="1" applyFill="1" applyBorder="1" applyAlignment="1" applyProtection="1">
      <alignment/>
      <protection/>
    </xf>
    <xf numFmtId="9" fontId="3" fillId="0" borderId="118" xfId="0" applyNumberFormat="1" applyFont="1" applyBorder="1" applyAlignment="1">
      <alignment/>
    </xf>
    <xf numFmtId="165" fontId="1" fillId="36" borderId="118" xfId="46" applyNumberFormat="1" applyFont="1" applyFill="1" applyBorder="1" applyAlignment="1" applyProtection="1">
      <alignment/>
      <protection/>
    </xf>
    <xf numFmtId="165" fontId="1" fillId="41" borderId="119" xfId="46" applyNumberFormat="1" applyFont="1" applyFill="1" applyBorder="1" applyAlignment="1" applyProtection="1">
      <alignment/>
      <protection/>
    </xf>
    <xf numFmtId="3" fontId="0" fillId="0" borderId="73" xfId="0" applyNumberFormat="1" applyFont="1" applyBorder="1" applyAlignment="1">
      <alignment wrapText="1"/>
    </xf>
    <xf numFmtId="3" fontId="66" fillId="42" borderId="34" xfId="0" applyNumberFormat="1" applyFont="1" applyFill="1" applyBorder="1" applyAlignment="1">
      <alignment/>
    </xf>
    <xf numFmtId="3" fontId="67" fillId="42" borderId="34" xfId="0" applyNumberFormat="1" applyFon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3" fontId="31" fillId="0" borderId="44" xfId="0" applyNumberFormat="1" applyFont="1" applyFill="1" applyBorder="1" applyAlignment="1">
      <alignment/>
    </xf>
    <xf numFmtId="165" fontId="2" fillId="0" borderId="114" xfId="46" applyNumberFormat="1" applyFont="1" applyFill="1" applyBorder="1" applyAlignment="1" applyProtection="1">
      <alignment/>
      <protection/>
    </xf>
    <xf numFmtId="165" fontId="0" fillId="0" borderId="114" xfId="46" applyNumberFormat="1" applyFill="1" applyBorder="1" applyAlignment="1" applyProtection="1">
      <alignment/>
      <protection/>
    </xf>
    <xf numFmtId="167" fontId="0" fillId="0" borderId="37" xfId="0" applyNumberFormat="1" applyFont="1" applyBorder="1" applyAlignment="1">
      <alignment/>
    </xf>
    <xf numFmtId="165" fontId="0" fillId="0" borderId="135" xfId="46" applyNumberFormat="1" applyFill="1" applyBorder="1" applyAlignment="1" applyProtection="1">
      <alignment/>
      <protection/>
    </xf>
    <xf numFmtId="3" fontId="0" fillId="33" borderId="114" xfId="0" applyNumberFormat="1" applyFill="1" applyBorder="1" applyAlignment="1">
      <alignment/>
    </xf>
    <xf numFmtId="3" fontId="0" fillId="0" borderId="135" xfId="0" applyNumberFormat="1" applyFont="1" applyFill="1" applyBorder="1" applyAlignment="1">
      <alignment horizontal="center"/>
    </xf>
    <xf numFmtId="3" fontId="0" fillId="0" borderId="135" xfId="0" applyNumberFormat="1" applyFont="1" applyBorder="1" applyAlignment="1">
      <alignment horizontal="center"/>
    </xf>
    <xf numFmtId="167" fontId="0" fillId="0" borderId="135" xfId="0" applyNumberFormat="1" applyFont="1" applyFill="1" applyBorder="1" applyAlignment="1">
      <alignment/>
    </xf>
    <xf numFmtId="3" fontId="1" fillId="33" borderId="186" xfId="0" applyNumberFormat="1" applyFont="1" applyFill="1" applyBorder="1" applyAlignment="1">
      <alignment horizontal="center"/>
    </xf>
    <xf numFmtId="3" fontId="0" fillId="33" borderId="176" xfId="0" applyNumberFormat="1" applyFont="1" applyFill="1" applyBorder="1" applyAlignment="1">
      <alignment horizontal="center"/>
    </xf>
    <xf numFmtId="3" fontId="1" fillId="33" borderId="176" xfId="0" applyNumberFormat="1" applyFont="1" applyFill="1" applyBorder="1" applyAlignment="1">
      <alignment/>
    </xf>
    <xf numFmtId="3" fontId="2" fillId="33" borderId="176" xfId="0" applyNumberFormat="1" applyFont="1" applyFill="1" applyBorder="1" applyAlignment="1">
      <alignment/>
    </xf>
    <xf numFmtId="165" fontId="2" fillId="33" borderId="176" xfId="46" applyNumberFormat="1" applyFont="1" applyFill="1" applyBorder="1" applyAlignment="1" applyProtection="1">
      <alignment/>
      <protection/>
    </xf>
    <xf numFmtId="165" fontId="2" fillId="33" borderId="187" xfId="46" applyNumberFormat="1" applyFont="1" applyFill="1" applyBorder="1" applyAlignment="1" applyProtection="1">
      <alignment/>
      <protection/>
    </xf>
    <xf numFmtId="3" fontId="0" fillId="33" borderId="150" xfId="0" applyNumberFormat="1" applyFont="1" applyFill="1" applyBorder="1" applyAlignment="1">
      <alignment horizontal="center"/>
    </xf>
    <xf numFmtId="165" fontId="0" fillId="33" borderId="124" xfId="46" applyNumberFormat="1" applyFill="1" applyBorder="1" applyAlignment="1" applyProtection="1">
      <alignment/>
      <protection/>
    </xf>
    <xf numFmtId="3" fontId="0" fillId="33" borderId="181" xfId="0" applyNumberFormat="1" applyFont="1" applyFill="1" applyBorder="1" applyAlignment="1">
      <alignment horizontal="center"/>
    </xf>
    <xf numFmtId="3" fontId="0" fillId="33" borderId="125" xfId="0" applyNumberFormat="1" applyFont="1" applyFill="1" applyBorder="1" applyAlignment="1">
      <alignment horizontal="center"/>
    </xf>
    <xf numFmtId="3" fontId="0" fillId="33" borderId="125" xfId="0" applyNumberFormat="1" applyFont="1" applyFill="1" applyBorder="1" applyAlignment="1">
      <alignment/>
    </xf>
    <xf numFmtId="165" fontId="0" fillId="33" borderId="125" xfId="46" applyNumberFormat="1" applyFill="1" applyBorder="1" applyAlignment="1" applyProtection="1">
      <alignment/>
      <protection/>
    </xf>
    <xf numFmtId="165" fontId="0" fillId="33" borderId="126" xfId="46" applyNumberFormat="1" applyFill="1" applyBorder="1" applyAlignment="1" applyProtection="1">
      <alignment/>
      <protection/>
    </xf>
    <xf numFmtId="3" fontId="21" fillId="0" borderId="14" xfId="0" applyNumberFormat="1" applyFont="1" applyFill="1" applyBorder="1" applyAlignment="1">
      <alignment horizontal="left" wrapText="1"/>
    </xf>
    <xf numFmtId="3" fontId="2" fillId="33" borderId="36" xfId="0" applyNumberFormat="1" applyFont="1" applyFill="1" applyBorder="1" applyAlignment="1">
      <alignment horizontal="center" vertical="center" wrapText="1"/>
    </xf>
    <xf numFmtId="165" fontId="2" fillId="33" borderId="37" xfId="46" applyNumberFormat="1" applyFont="1" applyFill="1" applyBorder="1" applyAlignment="1" applyProtection="1">
      <alignment horizontal="center"/>
      <protection/>
    </xf>
    <xf numFmtId="165" fontId="2" fillId="33" borderId="50" xfId="46" applyNumberFormat="1" applyFont="1" applyFill="1" applyBorder="1" applyAlignment="1" applyProtection="1">
      <alignment horizontal="center"/>
      <protection/>
    </xf>
    <xf numFmtId="2" fontId="2" fillId="0" borderId="114" xfId="0" applyNumberFormat="1" applyFont="1" applyBorder="1" applyAlignment="1">
      <alignment/>
    </xf>
    <xf numFmtId="3" fontId="0" fillId="0" borderId="139" xfId="0" applyNumberFormat="1" applyFont="1" applyBorder="1" applyAlignment="1">
      <alignment horizontal="center"/>
    </xf>
    <xf numFmtId="3" fontId="0" fillId="0" borderId="102" xfId="0" applyNumberFormat="1" applyFont="1" applyBorder="1" applyAlignment="1">
      <alignment horizontal="center"/>
    </xf>
    <xf numFmtId="3" fontId="21" fillId="0" borderId="161" xfId="0" applyNumberFormat="1" applyFont="1" applyFill="1" applyBorder="1" applyAlignment="1">
      <alignment/>
    </xf>
    <xf numFmtId="3" fontId="21" fillId="36" borderId="161" xfId="0" applyNumberFormat="1" applyFont="1" applyFill="1" applyBorder="1" applyAlignment="1">
      <alignment/>
    </xf>
    <xf numFmtId="3" fontId="21" fillId="0" borderId="99" xfId="0" applyNumberFormat="1" applyFont="1" applyFill="1" applyBorder="1" applyAlignment="1">
      <alignment/>
    </xf>
    <xf numFmtId="3" fontId="2" fillId="0" borderId="135" xfId="0" applyNumberFormat="1" applyFont="1" applyFill="1" applyBorder="1" applyAlignment="1">
      <alignment horizontal="center"/>
    </xf>
    <xf numFmtId="3" fontId="2" fillId="0" borderId="186" xfId="0" applyNumberFormat="1" applyFont="1" applyFill="1" applyBorder="1" applyAlignment="1">
      <alignment horizontal="center"/>
    </xf>
    <xf numFmtId="3" fontId="2" fillId="0" borderId="176" xfId="0" applyNumberFormat="1" applyFont="1" applyBorder="1" applyAlignment="1">
      <alignment horizontal="center"/>
    </xf>
    <xf numFmtId="3" fontId="2" fillId="0" borderId="176" xfId="0" applyNumberFormat="1" applyFont="1" applyBorder="1" applyAlignment="1">
      <alignment/>
    </xf>
    <xf numFmtId="167" fontId="2" fillId="0" borderId="176" xfId="0" applyNumberFormat="1" applyFont="1" applyBorder="1" applyAlignment="1">
      <alignment/>
    </xf>
    <xf numFmtId="165" fontId="2" fillId="0" borderId="176" xfId="46" applyNumberFormat="1" applyFont="1" applyFill="1" applyBorder="1" applyAlignment="1" applyProtection="1">
      <alignment/>
      <protection/>
    </xf>
    <xf numFmtId="165" fontId="2" fillId="0" borderId="187" xfId="46" applyNumberFormat="1" applyFont="1" applyFill="1" applyBorder="1" applyAlignment="1" applyProtection="1">
      <alignment/>
      <protection/>
    </xf>
    <xf numFmtId="3" fontId="0" fillId="0" borderId="150" xfId="0" applyNumberFormat="1" applyFont="1" applyFill="1" applyBorder="1" applyAlignment="1">
      <alignment horizontal="center"/>
    </xf>
    <xf numFmtId="165" fontId="0" fillId="0" borderId="124" xfId="46" applyNumberFormat="1" applyFill="1" applyBorder="1" applyAlignment="1" applyProtection="1">
      <alignment/>
      <protection/>
    </xf>
    <xf numFmtId="3" fontId="2" fillId="0" borderId="150" xfId="0" applyNumberFormat="1" applyFont="1" applyFill="1" applyBorder="1" applyAlignment="1">
      <alignment horizontal="center"/>
    </xf>
    <xf numFmtId="165" fontId="2" fillId="0" borderId="124" xfId="46" applyNumberFormat="1" applyFont="1" applyFill="1" applyBorder="1" applyAlignment="1" applyProtection="1">
      <alignment/>
      <protection/>
    </xf>
    <xf numFmtId="3" fontId="0" fillId="0" borderId="188" xfId="0" applyNumberFormat="1" applyFont="1" applyFill="1" applyBorder="1" applyAlignment="1">
      <alignment horizontal="center"/>
    </xf>
    <xf numFmtId="3" fontId="2" fillId="0" borderId="188" xfId="0" applyNumberFormat="1" applyFont="1" applyFill="1" applyBorder="1" applyAlignment="1">
      <alignment horizontal="center"/>
    </xf>
    <xf numFmtId="165" fontId="2" fillId="0" borderId="124" xfId="46" applyNumberFormat="1" applyFont="1" applyFill="1" applyBorder="1" applyAlignment="1">
      <alignment/>
    </xf>
    <xf numFmtId="165" fontId="0" fillId="0" borderId="145" xfId="46" applyNumberFormat="1" applyFill="1" applyBorder="1" applyAlignment="1">
      <alignment/>
    </xf>
    <xf numFmtId="165" fontId="0" fillId="0" borderId="122" xfId="46" applyNumberFormat="1" applyFill="1" applyBorder="1" applyAlignment="1">
      <alignment/>
    </xf>
    <xf numFmtId="165" fontId="2" fillId="0" borderId="122" xfId="46" applyNumberFormat="1" applyFont="1" applyFill="1" applyBorder="1" applyAlignment="1">
      <alignment/>
    </xf>
    <xf numFmtId="165" fontId="2" fillId="0" borderId="145" xfId="46" applyNumberFormat="1" applyFont="1" applyFill="1" applyBorder="1" applyAlignment="1">
      <alignment/>
    </xf>
    <xf numFmtId="165" fontId="0" fillId="0" borderId="149" xfId="46" applyNumberFormat="1" applyFill="1" applyBorder="1" applyAlignment="1">
      <alignment/>
    </xf>
    <xf numFmtId="3" fontId="0" fillId="42" borderId="188" xfId="0" applyNumberFormat="1" applyFont="1" applyFill="1" applyBorder="1" applyAlignment="1">
      <alignment horizontal="center"/>
    </xf>
    <xf numFmtId="3" fontId="0" fillId="0" borderId="189" xfId="0" applyNumberFormat="1" applyFont="1" applyFill="1" applyBorder="1" applyAlignment="1">
      <alignment horizontal="center"/>
    </xf>
    <xf numFmtId="165" fontId="0" fillId="0" borderId="152" xfId="46" applyNumberFormat="1" applyFill="1" applyBorder="1" applyAlignment="1" applyProtection="1">
      <alignment/>
      <protection/>
    </xf>
    <xf numFmtId="3" fontId="0" fillId="0" borderId="181" xfId="0" applyNumberFormat="1" applyFont="1" applyFill="1" applyBorder="1" applyAlignment="1">
      <alignment horizontal="center"/>
    </xf>
    <xf numFmtId="3" fontId="0" fillId="0" borderId="125" xfId="0" applyNumberFormat="1" applyFont="1" applyBorder="1" applyAlignment="1">
      <alignment horizontal="center"/>
    </xf>
    <xf numFmtId="3" fontId="0" fillId="0" borderId="125" xfId="0" applyNumberFormat="1" applyBorder="1" applyAlignment="1">
      <alignment/>
    </xf>
    <xf numFmtId="167" fontId="0" fillId="0" borderId="125" xfId="0" applyNumberFormat="1" applyFont="1" applyFill="1" applyBorder="1" applyAlignment="1">
      <alignment/>
    </xf>
    <xf numFmtId="165" fontId="0" fillId="0" borderId="125" xfId="46" applyNumberFormat="1" applyFill="1" applyBorder="1" applyAlignment="1" applyProtection="1">
      <alignment/>
      <protection/>
    </xf>
    <xf numFmtId="165" fontId="0" fillId="0" borderId="126" xfId="46" applyNumberFormat="1" applyFill="1" applyBorder="1" applyAlignment="1" applyProtection="1">
      <alignment/>
      <protection/>
    </xf>
    <xf numFmtId="3" fontId="17" fillId="0" borderId="140" xfId="0" applyNumberFormat="1" applyFont="1" applyFill="1" applyBorder="1" applyAlignment="1">
      <alignment horizontal="center" wrapText="1"/>
    </xf>
    <xf numFmtId="3" fontId="2" fillId="0" borderId="86" xfId="0" applyNumberFormat="1" applyFont="1" applyFill="1" applyBorder="1" applyAlignment="1">
      <alignment horizontal="center"/>
    </xf>
    <xf numFmtId="3" fontId="11" fillId="0" borderId="45" xfId="0" applyNumberFormat="1" applyFont="1" applyFill="1" applyBorder="1" applyAlignment="1">
      <alignment horizontal="center"/>
    </xf>
    <xf numFmtId="1" fontId="2" fillId="0" borderId="176" xfId="0" applyNumberFormat="1" applyFont="1" applyFill="1" applyBorder="1" applyAlignment="1">
      <alignment horizontal="center"/>
    </xf>
    <xf numFmtId="3" fontId="2" fillId="0" borderId="176" xfId="0" applyNumberFormat="1" applyFont="1" applyFill="1" applyBorder="1" applyAlignment="1">
      <alignment/>
    </xf>
    <xf numFmtId="167" fontId="2" fillId="0" borderId="176" xfId="0" applyNumberFormat="1" applyFont="1" applyFill="1" applyBorder="1" applyAlignment="1">
      <alignment/>
    </xf>
    <xf numFmtId="3" fontId="0" fillId="0" borderId="151" xfId="0" applyNumberFormat="1" applyFont="1" applyFill="1" applyBorder="1" applyAlignment="1">
      <alignment horizontal="center"/>
    </xf>
    <xf numFmtId="3" fontId="0" fillId="0" borderId="135" xfId="0" applyNumberFormat="1" applyFont="1" applyFill="1" applyBorder="1" applyAlignment="1">
      <alignment/>
    </xf>
    <xf numFmtId="1" fontId="0" fillId="33" borderId="176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2" fillId="0" borderId="190" xfId="0" applyNumberFormat="1" applyFont="1" applyFill="1" applyBorder="1" applyAlignment="1">
      <alignment horizontal="center"/>
    </xf>
    <xf numFmtId="3" fontId="11" fillId="0" borderId="191" xfId="0" applyNumberFormat="1" applyFont="1" applyFill="1" applyBorder="1" applyAlignment="1">
      <alignment horizontal="center"/>
    </xf>
    <xf numFmtId="3" fontId="2" fillId="0" borderId="192" xfId="0" applyNumberFormat="1" applyFont="1" applyFill="1" applyBorder="1" applyAlignment="1">
      <alignment horizontal="center"/>
    </xf>
    <xf numFmtId="3" fontId="2" fillId="0" borderId="193" xfId="0" applyNumberFormat="1" applyFont="1" applyBorder="1" applyAlignment="1">
      <alignment horizontal="center"/>
    </xf>
    <xf numFmtId="3" fontId="0" fillId="33" borderId="188" xfId="0" applyNumberFormat="1" applyFont="1" applyFill="1" applyBorder="1" applyAlignment="1">
      <alignment horizontal="center"/>
    </xf>
    <xf numFmtId="3" fontId="0" fillId="33" borderId="194" xfId="0" applyNumberFormat="1" applyFont="1" applyFill="1" applyBorder="1" applyAlignment="1">
      <alignment horizontal="center"/>
    </xf>
    <xf numFmtId="3" fontId="0" fillId="33" borderId="195" xfId="0" applyNumberFormat="1" applyFont="1" applyFill="1" applyBorder="1" applyAlignment="1">
      <alignment horizontal="center"/>
    </xf>
    <xf numFmtId="3" fontId="0" fillId="0" borderId="135" xfId="0" applyNumberFormat="1" applyFont="1" applyBorder="1" applyAlignment="1">
      <alignment/>
    </xf>
    <xf numFmtId="167" fontId="0" fillId="0" borderId="135" xfId="0" applyNumberFormat="1" applyFont="1" applyBorder="1" applyAlignment="1">
      <alignment/>
    </xf>
    <xf numFmtId="3" fontId="0" fillId="33" borderId="192" xfId="0" applyNumberFormat="1" applyFont="1" applyFill="1" applyBorder="1" applyAlignment="1">
      <alignment horizontal="center"/>
    </xf>
    <xf numFmtId="3" fontId="0" fillId="33" borderId="196" xfId="0" applyNumberFormat="1" applyFont="1" applyFill="1" applyBorder="1" applyAlignment="1">
      <alignment horizontal="center"/>
    </xf>
    <xf numFmtId="167" fontId="2" fillId="33" borderId="176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 horizontal="center"/>
    </xf>
    <xf numFmtId="3" fontId="0" fillId="0" borderId="186" xfId="0" applyNumberFormat="1" applyFont="1" applyFill="1" applyBorder="1" applyAlignment="1">
      <alignment horizontal="center"/>
    </xf>
    <xf numFmtId="3" fontId="0" fillId="33" borderId="186" xfId="0" applyNumberFormat="1" applyFont="1" applyFill="1" applyBorder="1" applyAlignment="1">
      <alignment horizontal="center"/>
    </xf>
    <xf numFmtId="3" fontId="2" fillId="33" borderId="176" xfId="0" applyNumberFormat="1" applyFont="1" applyFill="1" applyBorder="1" applyAlignment="1">
      <alignment wrapText="1"/>
    </xf>
    <xf numFmtId="3" fontId="2" fillId="0" borderId="190" xfId="0" applyNumberFormat="1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center" vertical="center"/>
    </xf>
    <xf numFmtId="3" fontId="17" fillId="33" borderId="54" xfId="0" applyNumberFormat="1" applyFont="1" applyFill="1" applyBorder="1" applyAlignment="1">
      <alignment horizontal="center"/>
    </xf>
    <xf numFmtId="3" fontId="18" fillId="33" borderId="54" xfId="0" applyNumberFormat="1" applyFont="1" applyFill="1" applyBorder="1" applyAlignment="1">
      <alignment wrapText="1"/>
    </xf>
    <xf numFmtId="3" fontId="15" fillId="33" borderId="54" xfId="0" applyNumberFormat="1" applyFont="1" applyFill="1" applyBorder="1" applyAlignment="1">
      <alignment/>
    </xf>
    <xf numFmtId="165" fontId="2" fillId="33" borderId="52" xfId="46" applyNumberFormat="1" applyFont="1" applyFill="1" applyBorder="1" applyAlignment="1" applyProtection="1">
      <alignment/>
      <protection/>
    </xf>
    <xf numFmtId="165" fontId="2" fillId="33" borderId="197" xfId="46" applyNumberFormat="1" applyFont="1" applyFill="1" applyBorder="1" applyAlignment="1" applyProtection="1">
      <alignment/>
      <protection/>
    </xf>
    <xf numFmtId="3" fontId="2" fillId="0" borderId="114" xfId="0" applyNumberFormat="1" applyFont="1" applyBorder="1" applyAlignment="1">
      <alignment wrapText="1"/>
    </xf>
    <xf numFmtId="3" fontId="2" fillId="0" borderId="114" xfId="0" applyNumberFormat="1" applyFont="1" applyFill="1" applyBorder="1" applyAlignment="1">
      <alignment wrapText="1"/>
    </xf>
    <xf numFmtId="167" fontId="2" fillId="0" borderId="114" xfId="0" applyNumberFormat="1" applyFont="1" applyFill="1" applyBorder="1" applyAlignment="1">
      <alignment horizontal="center"/>
    </xf>
    <xf numFmtId="165" fontId="2" fillId="36" borderId="114" xfId="46" applyNumberFormat="1" applyFont="1" applyFill="1" applyBorder="1" applyAlignment="1" applyProtection="1">
      <alignment horizontal="right" vertical="center"/>
      <protection/>
    </xf>
    <xf numFmtId="167" fontId="0" fillId="0" borderId="114" xfId="0" applyNumberFormat="1" applyFont="1" applyFill="1" applyBorder="1" applyAlignment="1">
      <alignment horizontal="center"/>
    </xf>
    <xf numFmtId="165" fontId="0" fillId="36" borderId="114" xfId="46" applyNumberFormat="1" applyFill="1" applyBorder="1" applyAlignment="1" applyProtection="1">
      <alignment horizontal="right" vertical="center"/>
      <protection/>
    </xf>
    <xf numFmtId="3" fontId="0" fillId="0" borderId="114" xfId="0" applyNumberFormat="1" applyFont="1" applyBorder="1" applyAlignment="1">
      <alignment horizontal="left"/>
    </xf>
    <xf numFmtId="165" fontId="2" fillId="0" borderId="114" xfId="46" applyNumberFormat="1" applyFont="1" applyFill="1" applyBorder="1" applyAlignment="1" applyProtection="1">
      <alignment horizontal="center" vertical="center"/>
      <protection/>
    </xf>
    <xf numFmtId="165" fontId="0" fillId="0" borderId="114" xfId="46" applyNumberFormat="1" applyFill="1" applyBorder="1" applyAlignment="1" applyProtection="1">
      <alignment horizontal="center" vertical="center"/>
      <protection/>
    </xf>
    <xf numFmtId="3" fontId="2" fillId="0" borderId="176" xfId="0" applyNumberFormat="1" applyFont="1" applyBorder="1" applyAlignment="1">
      <alignment wrapText="1"/>
    </xf>
    <xf numFmtId="165" fontId="2" fillId="36" borderId="124" xfId="46" applyNumberFormat="1" applyFont="1" applyFill="1" applyBorder="1" applyAlignment="1" applyProtection="1">
      <alignment horizontal="right" vertical="center"/>
      <protection/>
    </xf>
    <xf numFmtId="165" fontId="0" fillId="36" borderId="124" xfId="46" applyNumberFormat="1" applyFill="1" applyBorder="1" applyAlignment="1" applyProtection="1">
      <alignment horizontal="right" vertical="center"/>
      <protection/>
    </xf>
    <xf numFmtId="0" fontId="0" fillId="0" borderId="135" xfId="0" applyBorder="1" applyAlignment="1">
      <alignment/>
    </xf>
    <xf numFmtId="165" fontId="0" fillId="0" borderId="135" xfId="46" applyNumberFormat="1" applyFill="1" applyBorder="1" applyAlignment="1" applyProtection="1">
      <alignment horizontal="center" vertical="center"/>
      <protection/>
    </xf>
    <xf numFmtId="165" fontId="0" fillId="0" borderId="152" xfId="46" applyNumberFormat="1" applyFill="1" applyBorder="1" applyAlignment="1" applyProtection="1">
      <alignment horizontal="center" vertical="center"/>
      <protection/>
    </xf>
    <xf numFmtId="168" fontId="2" fillId="33" borderId="176" xfId="0" applyNumberFormat="1" applyFont="1" applyFill="1" applyBorder="1" applyAlignment="1">
      <alignment/>
    </xf>
    <xf numFmtId="165" fontId="2" fillId="0" borderId="171" xfId="46" applyNumberFormat="1" applyFont="1" applyFill="1" applyBorder="1" applyAlignment="1" applyProtection="1">
      <alignment/>
      <protection/>
    </xf>
    <xf numFmtId="165" fontId="0" fillId="0" borderId="171" xfId="46" applyNumberFormat="1" applyFill="1" applyBorder="1" applyAlignment="1" applyProtection="1">
      <alignment/>
      <protection/>
    </xf>
    <xf numFmtId="3" fontId="31" fillId="36" borderId="89" xfId="0" applyNumberFormat="1" applyFont="1" applyFill="1" applyBorder="1" applyAlignment="1">
      <alignment/>
    </xf>
    <xf numFmtId="3" fontId="31" fillId="0" borderId="36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 horizontal="center"/>
    </xf>
    <xf numFmtId="3" fontId="2" fillId="33" borderId="49" xfId="0" applyNumberFormat="1" applyFont="1" applyFill="1" applyBorder="1" applyAlignment="1">
      <alignment horizontal="center"/>
    </xf>
    <xf numFmtId="3" fontId="67" fillId="33" borderId="49" xfId="0" applyNumberFormat="1" applyFont="1" applyFill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0" fillId="33" borderId="54" xfId="0" applyNumberFormat="1" applyFont="1" applyFill="1" applyBorder="1" applyAlignment="1">
      <alignment horizontal="center"/>
    </xf>
    <xf numFmtId="3" fontId="2" fillId="33" borderId="54" xfId="0" applyNumberFormat="1" applyFont="1" applyFill="1" applyBorder="1" applyAlignment="1">
      <alignment/>
    </xf>
    <xf numFmtId="3" fontId="2" fillId="33" borderId="55" xfId="0" applyNumberFormat="1" applyFont="1" applyFill="1" applyBorder="1" applyAlignment="1">
      <alignment/>
    </xf>
    <xf numFmtId="3" fontId="67" fillId="33" borderId="55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 wrapText="1"/>
    </xf>
    <xf numFmtId="3" fontId="66" fillId="0" borderId="114" xfId="0" applyNumberFormat="1" applyFont="1" applyBorder="1" applyAlignment="1">
      <alignment/>
    </xf>
    <xf numFmtId="3" fontId="0" fillId="36" borderId="114" xfId="0" applyNumberFormat="1" applyFont="1" applyFill="1" applyBorder="1" applyAlignment="1">
      <alignment horizontal="center"/>
    </xf>
    <xf numFmtId="3" fontId="0" fillId="36" borderId="114" xfId="0" applyNumberFormat="1" applyFont="1" applyFill="1" applyBorder="1" applyAlignment="1">
      <alignment wrapText="1"/>
    </xf>
    <xf numFmtId="3" fontId="0" fillId="0" borderId="114" xfId="0" applyNumberFormat="1" applyFont="1" applyFill="1" applyBorder="1" applyAlignment="1">
      <alignment wrapText="1"/>
    </xf>
    <xf numFmtId="3" fontId="0" fillId="0" borderId="161" xfId="0" applyNumberFormat="1" applyFont="1" applyBorder="1" applyAlignment="1">
      <alignment horizontal="center"/>
    </xf>
    <xf numFmtId="3" fontId="0" fillId="0" borderId="161" xfId="0" applyNumberFormat="1" applyFont="1" applyBorder="1" applyAlignment="1">
      <alignment wrapText="1"/>
    </xf>
    <xf numFmtId="3" fontId="2" fillId="0" borderId="198" xfId="0" applyNumberFormat="1" applyFont="1" applyBorder="1" applyAlignment="1">
      <alignment horizontal="center"/>
    </xf>
    <xf numFmtId="3" fontId="2" fillId="0" borderId="180" xfId="0" applyNumberFormat="1" applyFont="1" applyBorder="1" applyAlignment="1">
      <alignment horizontal="center" wrapText="1"/>
    </xf>
    <xf numFmtId="3" fontId="2" fillId="0" borderId="180" xfId="0" applyNumberFormat="1" applyFont="1" applyBorder="1" applyAlignment="1">
      <alignment/>
    </xf>
    <xf numFmtId="3" fontId="67" fillId="0" borderId="180" xfId="0" applyNumberFormat="1" applyFont="1" applyBorder="1" applyAlignment="1">
      <alignment/>
    </xf>
    <xf numFmtId="3" fontId="67" fillId="0" borderId="199" xfId="0" applyNumberFormat="1" applyFont="1" applyBorder="1" applyAlignment="1">
      <alignment/>
    </xf>
    <xf numFmtId="3" fontId="0" fillId="0" borderId="186" xfId="0" applyNumberFormat="1" applyFont="1" applyBorder="1" applyAlignment="1">
      <alignment horizontal="center"/>
    </xf>
    <xf numFmtId="3" fontId="0" fillId="0" borderId="176" xfId="0" applyNumberFormat="1" applyFont="1" applyBorder="1" applyAlignment="1">
      <alignment horizontal="center"/>
    </xf>
    <xf numFmtId="3" fontId="0" fillId="0" borderId="176" xfId="0" applyNumberFormat="1" applyFont="1" applyBorder="1" applyAlignment="1">
      <alignment wrapText="1"/>
    </xf>
    <xf numFmtId="3" fontId="0" fillId="0" borderId="176" xfId="0" applyNumberFormat="1" applyFont="1" applyBorder="1" applyAlignment="1">
      <alignment/>
    </xf>
    <xf numFmtId="3" fontId="66" fillId="0" borderId="176" xfId="0" applyNumberFormat="1" applyFont="1" applyBorder="1" applyAlignment="1">
      <alignment/>
    </xf>
    <xf numFmtId="3" fontId="66" fillId="0" borderId="187" xfId="0" applyNumberFormat="1" applyFont="1" applyBorder="1" applyAlignment="1">
      <alignment/>
    </xf>
    <xf numFmtId="3" fontId="0" fillId="0" borderId="150" xfId="0" applyNumberFormat="1" applyFont="1" applyBorder="1" applyAlignment="1">
      <alignment horizontal="center"/>
    </xf>
    <xf numFmtId="3" fontId="66" fillId="0" borderId="124" xfId="0" applyNumberFormat="1" applyFont="1" applyBorder="1" applyAlignment="1">
      <alignment/>
    </xf>
    <xf numFmtId="3" fontId="66" fillId="36" borderId="124" xfId="0" applyNumberFormat="1" applyFont="1" applyFill="1" applyBorder="1" applyAlignment="1">
      <alignment/>
    </xf>
    <xf numFmtId="3" fontId="66" fillId="41" borderId="124" xfId="0" applyNumberFormat="1" applyFont="1" applyFill="1" applyBorder="1" applyAlignment="1">
      <alignment/>
    </xf>
    <xf numFmtId="3" fontId="0" fillId="0" borderId="181" xfId="0" applyNumberFormat="1" applyFont="1" applyBorder="1" applyAlignment="1">
      <alignment horizontal="center"/>
    </xf>
    <xf numFmtId="3" fontId="0" fillId="0" borderId="125" xfId="0" applyNumberFormat="1" applyFont="1" applyBorder="1" applyAlignment="1">
      <alignment/>
    </xf>
    <xf numFmtId="3" fontId="0" fillId="36" borderId="125" xfId="0" applyNumberFormat="1" applyFont="1" applyFill="1" applyBorder="1" applyAlignment="1">
      <alignment/>
    </xf>
    <xf numFmtId="3" fontId="66" fillId="36" borderId="125" xfId="0" applyNumberFormat="1" applyFont="1" applyFill="1" applyBorder="1" applyAlignment="1">
      <alignment/>
    </xf>
    <xf numFmtId="3" fontId="66" fillId="41" borderId="126" xfId="0" applyNumberFormat="1" applyFont="1" applyFill="1" applyBorder="1" applyAlignment="1">
      <alignment/>
    </xf>
    <xf numFmtId="3" fontId="0" fillId="0" borderId="151" xfId="0" applyNumberFormat="1" applyFont="1" applyBorder="1" applyAlignment="1">
      <alignment horizontal="center"/>
    </xf>
    <xf numFmtId="3" fontId="0" fillId="0" borderId="135" xfId="0" applyNumberFormat="1" applyFont="1" applyBorder="1" applyAlignment="1">
      <alignment wrapText="1"/>
    </xf>
    <xf numFmtId="3" fontId="66" fillId="0" borderId="135" xfId="0" applyNumberFormat="1" applyFont="1" applyBorder="1" applyAlignment="1">
      <alignment/>
    </xf>
    <xf numFmtId="3" fontId="66" fillId="0" borderId="152" xfId="0" applyNumberFormat="1" applyFont="1" applyBorder="1" applyAlignment="1">
      <alignment/>
    </xf>
    <xf numFmtId="3" fontId="0" fillId="0" borderId="200" xfId="0" applyNumberFormat="1" applyFont="1" applyBorder="1" applyAlignment="1">
      <alignment horizontal="center"/>
    </xf>
    <xf numFmtId="3" fontId="0" fillId="0" borderId="161" xfId="0" applyNumberFormat="1" applyFont="1" applyFill="1" applyBorder="1" applyAlignment="1">
      <alignment/>
    </xf>
    <xf numFmtId="3" fontId="0" fillId="36" borderId="161" xfId="0" applyNumberFormat="1" applyFont="1" applyFill="1" applyBorder="1" applyAlignment="1">
      <alignment/>
    </xf>
    <xf numFmtId="3" fontId="66" fillId="36" borderId="161" xfId="0" applyNumberFormat="1" applyFont="1" applyFill="1" applyBorder="1" applyAlignment="1">
      <alignment/>
    </xf>
    <xf numFmtId="3" fontId="66" fillId="36" borderId="201" xfId="0" applyNumberFormat="1" applyFont="1" applyFill="1" applyBorder="1" applyAlignment="1">
      <alignment/>
    </xf>
    <xf numFmtId="3" fontId="2" fillId="0" borderId="180" xfId="0" applyNumberFormat="1" applyFont="1" applyBorder="1" applyAlignment="1">
      <alignment horizontal="center"/>
    </xf>
    <xf numFmtId="3" fontId="2" fillId="0" borderId="180" xfId="0" applyNumberFormat="1" applyFont="1" applyFill="1" applyBorder="1" applyAlignment="1">
      <alignment/>
    </xf>
    <xf numFmtId="3" fontId="67" fillId="0" borderId="180" xfId="0" applyNumberFormat="1" applyFont="1" applyFill="1" applyBorder="1" applyAlignment="1">
      <alignment/>
    </xf>
    <xf numFmtId="3" fontId="67" fillId="0" borderId="199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163" xfId="0" applyFont="1" applyFill="1" applyBorder="1" applyAlignment="1">
      <alignment horizontal="right"/>
    </xf>
    <xf numFmtId="166" fontId="7" fillId="0" borderId="0" xfId="55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>
      <alignment horizontal="right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6" fillId="36" borderId="39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3" fontId="5" fillId="37" borderId="39" xfId="0" applyNumberFormat="1" applyFont="1" applyFill="1" applyBorder="1" applyAlignment="1">
      <alignment horizontal="center" vertical="center"/>
    </xf>
    <xf numFmtId="3" fontId="2" fillId="33" borderId="39" xfId="0" applyNumberFormat="1" applyFont="1" applyFill="1" applyBorder="1" applyAlignment="1">
      <alignment horizontal="center" vertical="center" wrapText="1"/>
    </xf>
    <xf numFmtId="3" fontId="0" fillId="0" borderId="20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37" borderId="67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/>
    </xf>
    <xf numFmtId="3" fontId="2" fillId="37" borderId="105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/>
    </xf>
    <xf numFmtId="3" fontId="2" fillId="37" borderId="203" xfId="0" applyNumberFormat="1" applyFont="1" applyFill="1" applyBorder="1" applyAlignment="1">
      <alignment horizontal="center" vertical="center" wrapText="1"/>
    </xf>
    <xf numFmtId="3" fontId="4" fillId="37" borderId="21" xfId="0" applyNumberFormat="1" applyFont="1" applyFill="1" applyBorder="1" applyAlignment="1">
      <alignment horizontal="center" vertical="center" wrapText="1"/>
    </xf>
    <xf numFmtId="3" fontId="2" fillId="37" borderId="204" xfId="0" applyNumberFormat="1" applyFont="1" applyFill="1" applyBorder="1" applyAlignment="1">
      <alignment horizontal="center" vertical="center" wrapText="1"/>
    </xf>
    <xf numFmtId="0" fontId="0" fillId="0" borderId="202" xfId="0" applyFont="1" applyBorder="1" applyAlignment="1">
      <alignment horizontal="right"/>
    </xf>
    <xf numFmtId="166" fontId="6" fillId="0" borderId="0" xfId="55" applyFont="1" applyFill="1" applyBorder="1" applyAlignment="1" applyProtection="1">
      <alignment horizontal="right" vertical="center"/>
      <protection/>
    </xf>
    <xf numFmtId="166" fontId="11" fillId="0" borderId="0" xfId="55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Border="1" applyAlignment="1">
      <alignment horizontal="center" vertical="center" wrapText="1"/>
    </xf>
    <xf numFmtId="3" fontId="2" fillId="33" borderId="107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0" borderId="202" xfId="0" applyNumberFormat="1" applyFont="1" applyBorder="1" applyAlignment="1">
      <alignment horizontal="right"/>
    </xf>
    <xf numFmtId="166" fontId="11" fillId="0" borderId="0" xfId="55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6" fontId="11" fillId="0" borderId="0" xfId="55" applyFont="1" applyFill="1" applyBorder="1" applyAlignment="1" applyProtection="1">
      <alignment horizontal="center"/>
      <protection/>
    </xf>
    <xf numFmtId="3" fontId="4" fillId="33" borderId="205" xfId="0" applyNumberFormat="1" applyFont="1" applyFill="1" applyBorder="1" applyAlignment="1">
      <alignment horizontal="center" vertical="center" wrapText="1"/>
    </xf>
    <xf numFmtId="3" fontId="4" fillId="33" borderId="107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3" fontId="18" fillId="0" borderId="206" xfId="0" applyNumberFormat="1" applyFont="1" applyFill="1" applyBorder="1" applyAlignment="1">
      <alignment horizontal="left" vertical="center" wrapText="1"/>
    </xf>
    <xf numFmtId="3" fontId="18" fillId="0" borderId="196" xfId="0" applyNumberFormat="1" applyFont="1" applyFill="1" applyBorder="1" applyAlignment="1">
      <alignment horizontal="left" vertical="center" wrapText="1"/>
    </xf>
    <xf numFmtId="3" fontId="18" fillId="0" borderId="207" xfId="0" applyNumberFormat="1" applyFont="1" applyFill="1" applyBorder="1" applyAlignment="1">
      <alignment horizontal="left" vertical="center" wrapText="1"/>
    </xf>
    <xf numFmtId="3" fontId="11" fillId="0" borderId="116" xfId="0" applyNumberFormat="1" applyFont="1" applyFill="1" applyBorder="1" applyAlignment="1">
      <alignment horizontal="left" vertical="center" wrapText="1"/>
    </xf>
    <xf numFmtId="3" fontId="11" fillId="0" borderId="208" xfId="0" applyNumberFormat="1" applyFont="1" applyFill="1" applyBorder="1" applyAlignment="1">
      <alignment horizontal="left" vertical="center" wrapText="1"/>
    </xf>
    <xf numFmtId="3" fontId="11" fillId="0" borderId="118" xfId="0" applyNumberFormat="1" applyFont="1" applyFill="1" applyBorder="1" applyAlignment="1">
      <alignment horizontal="left" vertical="center" wrapText="1"/>
    </xf>
    <xf numFmtId="3" fontId="2" fillId="0" borderId="114" xfId="0" applyNumberFormat="1" applyFont="1" applyBorder="1" applyAlignment="1">
      <alignment horizontal="left"/>
    </xf>
    <xf numFmtId="3" fontId="19" fillId="0" borderId="209" xfId="0" applyNumberFormat="1" applyFont="1" applyFill="1" applyBorder="1" applyAlignment="1">
      <alignment horizontal="left"/>
    </xf>
    <xf numFmtId="3" fontId="19" fillId="0" borderId="196" xfId="0" applyNumberFormat="1" applyFont="1" applyFill="1" applyBorder="1" applyAlignment="1">
      <alignment horizontal="left"/>
    </xf>
    <xf numFmtId="3" fontId="19" fillId="0" borderId="207" xfId="0" applyNumberFormat="1" applyFont="1" applyFill="1" applyBorder="1" applyAlignment="1">
      <alignment horizontal="left"/>
    </xf>
    <xf numFmtId="3" fontId="18" fillId="0" borderId="179" xfId="0" applyNumberFormat="1" applyFont="1" applyFill="1" applyBorder="1" applyAlignment="1">
      <alignment horizontal="left" vertical="center" wrapText="1"/>
    </xf>
    <xf numFmtId="3" fontId="18" fillId="0" borderId="208" xfId="0" applyNumberFormat="1" applyFont="1" applyFill="1" applyBorder="1" applyAlignment="1">
      <alignment horizontal="left" vertical="center" wrapText="1"/>
    </xf>
    <xf numFmtId="3" fontId="18" fillId="0" borderId="119" xfId="0" applyNumberFormat="1" applyFont="1" applyFill="1" applyBorder="1" applyAlignment="1">
      <alignment horizontal="left" vertical="center" wrapText="1"/>
    </xf>
    <xf numFmtId="3" fontId="11" fillId="0" borderId="210" xfId="0" applyNumberFormat="1" applyFont="1" applyFill="1" applyBorder="1" applyAlignment="1">
      <alignment horizontal="left"/>
    </xf>
    <xf numFmtId="3" fontId="11" fillId="0" borderId="196" xfId="0" applyNumberFormat="1" applyFont="1" applyFill="1" applyBorder="1" applyAlignment="1">
      <alignment horizontal="left"/>
    </xf>
    <xf numFmtId="3" fontId="11" fillId="0" borderId="207" xfId="0" applyNumberFormat="1" applyFont="1" applyFill="1" applyBorder="1" applyAlignment="1">
      <alignment horizontal="left"/>
    </xf>
    <xf numFmtId="3" fontId="2" fillId="33" borderId="79" xfId="0" applyNumberFormat="1" applyFont="1" applyFill="1" applyBorder="1" applyAlignment="1">
      <alignment horizontal="center" vertical="center" wrapText="1"/>
    </xf>
    <xf numFmtId="3" fontId="69" fillId="33" borderId="21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 wrapText="1"/>
    </xf>
    <xf numFmtId="3" fontId="0" fillId="0" borderId="20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3" fontId="0" fillId="0" borderId="202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0" fillId="0" borderId="163" xfId="0" applyFont="1" applyBorder="1" applyAlignment="1">
      <alignment horizontal="right"/>
    </xf>
    <xf numFmtId="166" fontId="6" fillId="0" borderId="0" xfId="55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166" fontId="7" fillId="0" borderId="0" xfId="55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139" xfId="0" applyBorder="1" applyAlignment="1">
      <alignment horizontal="left" vertical="center"/>
    </xf>
    <xf numFmtId="0" fontId="0" fillId="0" borderId="211" xfId="0" applyBorder="1" applyAlignment="1">
      <alignment horizontal="left" vertical="center"/>
    </xf>
    <xf numFmtId="0" fontId="0" fillId="0" borderId="133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0" xfId="0" applyFont="1" applyFill="1" applyBorder="1" applyAlignment="1">
      <alignment horizontal="center" vertical="center" wrapText="1"/>
    </xf>
    <xf numFmtId="0" fontId="2" fillId="33" borderId="160" xfId="0" applyFont="1" applyFill="1" applyBorder="1" applyAlignment="1">
      <alignment horizontal="center" vertical="center"/>
    </xf>
    <xf numFmtId="0" fontId="4" fillId="33" borderId="160" xfId="0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left" vertical="center" wrapText="1"/>
    </xf>
    <xf numFmtId="0" fontId="2" fillId="44" borderId="17" xfId="0" applyFont="1" applyFill="1" applyBorder="1" applyAlignment="1">
      <alignment horizontal="left" vertical="center" wrapText="1"/>
    </xf>
    <xf numFmtId="0" fontId="0" fillId="44" borderId="17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2" fillId="33" borderId="212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2" fillId="0" borderId="25" xfId="0" applyNumberFormat="1" applyFont="1" applyFill="1" applyBorder="1" applyAlignment="1">
      <alignment horizontal="left"/>
    </xf>
    <xf numFmtId="0" fontId="0" fillId="37" borderId="39" xfId="0" applyFont="1" applyFill="1" applyBorder="1" applyAlignment="1">
      <alignment horizontal="center"/>
    </xf>
    <xf numFmtId="3" fontId="2" fillId="33" borderId="205" xfId="0" applyNumberFormat="1" applyFont="1" applyFill="1" applyBorder="1" applyAlignment="1">
      <alignment horizontal="center" vertical="center" wrapText="1"/>
    </xf>
    <xf numFmtId="3" fontId="2" fillId="37" borderId="19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3" fontId="2" fillId="36" borderId="40" xfId="0" applyNumberFormat="1" applyFont="1" applyFill="1" applyBorder="1" applyAlignment="1">
      <alignment horizontal="left"/>
    </xf>
    <xf numFmtId="0" fontId="2" fillId="40" borderId="39" xfId="0" applyFont="1" applyFill="1" applyBorder="1" applyAlignment="1">
      <alignment horizontal="center"/>
    </xf>
    <xf numFmtId="3" fontId="2" fillId="40" borderId="40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5" fontId="0" fillId="0" borderId="202" xfId="46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" fontId="2" fillId="0" borderId="213" xfId="0" applyNumberFormat="1" applyFont="1" applyBorder="1" applyAlignment="1">
      <alignment horizontal="center"/>
    </xf>
    <xf numFmtId="3" fontId="0" fillId="0" borderId="214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165" fontId="0" fillId="0" borderId="202" xfId="46" applyNumberFormat="1" applyFont="1" applyFill="1" applyBorder="1" applyAlignment="1" applyProtection="1">
      <alignment horizontal="right"/>
      <protection/>
    </xf>
    <xf numFmtId="3" fontId="9" fillId="0" borderId="214" xfId="0" applyNumberFormat="1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left"/>
    </xf>
    <xf numFmtId="3" fontId="2" fillId="0" borderId="215" xfId="0" applyNumberFormat="1" applyFont="1" applyBorder="1" applyAlignment="1">
      <alignment horizontal="center"/>
    </xf>
    <xf numFmtId="3" fontId="6" fillId="0" borderId="36" xfId="0" applyNumberFormat="1" applyFont="1" applyFill="1" applyBorder="1" applyAlignment="1">
      <alignment horizontal="left"/>
    </xf>
    <xf numFmtId="3" fontId="5" fillId="37" borderId="39" xfId="0" applyNumberFormat="1" applyFont="1" applyFill="1" applyBorder="1" applyAlignment="1">
      <alignment horizontal="center"/>
    </xf>
    <xf numFmtId="3" fontId="2" fillId="33" borderId="153" xfId="0" applyNumberFormat="1" applyFont="1" applyFill="1" applyBorder="1" applyAlignment="1">
      <alignment horizontal="center" vertical="center" wrapText="1"/>
    </xf>
    <xf numFmtId="3" fontId="2" fillId="33" borderId="173" xfId="0" applyNumberFormat="1" applyFont="1" applyFill="1" applyBorder="1" applyAlignment="1">
      <alignment horizontal="center" vertical="center" wrapText="1"/>
    </xf>
    <xf numFmtId="3" fontId="2" fillId="0" borderId="141" xfId="0" applyNumberFormat="1" applyFont="1" applyBorder="1" applyAlignment="1">
      <alignment horizontal="center"/>
    </xf>
    <xf numFmtId="3" fontId="2" fillId="0" borderId="216" xfId="0" applyNumberFormat="1" applyFont="1" applyBorder="1" applyAlignment="1">
      <alignment horizontal="center"/>
    </xf>
    <xf numFmtId="3" fontId="0" fillId="0" borderId="142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2" fillId="0" borderId="14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0" fillId="0" borderId="150" xfId="0" applyNumberFormat="1" applyBorder="1" applyAlignment="1">
      <alignment horizontal="center" vertical="center"/>
    </xf>
    <xf numFmtId="3" fontId="0" fillId="0" borderId="114" xfId="0" applyNumberFormat="1" applyFont="1" applyBorder="1" applyAlignment="1">
      <alignment horizontal="center" vertical="center"/>
    </xf>
    <xf numFmtId="3" fontId="0" fillId="0" borderId="143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181" xfId="0" applyNumberFormat="1" applyBorder="1" applyAlignment="1">
      <alignment horizontal="center" vertical="center"/>
    </xf>
    <xf numFmtId="3" fontId="0" fillId="0" borderId="125" xfId="0" applyNumberFormat="1" applyFont="1" applyBorder="1" applyAlignment="1">
      <alignment horizontal="center" vertical="center"/>
    </xf>
    <xf numFmtId="3" fontId="15" fillId="37" borderId="153" xfId="0" applyNumberFormat="1" applyFont="1" applyFill="1" applyBorder="1" applyAlignment="1">
      <alignment horizontal="center" vertical="center"/>
    </xf>
    <xf numFmtId="3" fontId="15" fillId="37" borderId="173" xfId="0" applyNumberFormat="1" applyFon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2" fillId="0" borderId="150" xfId="0" applyNumberFormat="1" applyFont="1" applyBorder="1" applyAlignment="1">
      <alignment horizontal="center" vertical="center"/>
    </xf>
    <xf numFmtId="3" fontId="2" fillId="0" borderId="114" xfId="0" applyNumberFormat="1" applyFont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horizontal="center" vertical="center" wrapText="1"/>
    </xf>
    <xf numFmtId="3" fontId="28" fillId="33" borderId="10" xfId="0" applyNumberFormat="1" applyFont="1" applyFill="1" applyBorder="1" applyAlignment="1">
      <alignment horizontal="center" vertical="center" wrapText="1"/>
    </xf>
    <xf numFmtId="3" fontId="28" fillId="33" borderId="12" xfId="0" applyNumberFormat="1" applyFont="1" applyFill="1" applyBorder="1" applyAlignment="1">
      <alignment horizontal="center" vertical="center" wrapText="1"/>
    </xf>
    <xf numFmtId="165" fontId="21" fillId="0" borderId="12" xfId="46" applyNumberFormat="1" applyFont="1" applyFill="1" applyBorder="1" applyAlignment="1" applyProtection="1">
      <alignment horizontal="left"/>
      <protection/>
    </xf>
    <xf numFmtId="165" fontId="30" fillId="0" borderId="12" xfId="46" applyNumberFormat="1" applyFont="1" applyFill="1" applyBorder="1" applyAlignment="1" applyProtection="1">
      <alignment horizontal="left"/>
      <protection/>
    </xf>
    <xf numFmtId="165" fontId="30" fillId="0" borderId="12" xfId="46" applyNumberFormat="1" applyFont="1" applyFill="1" applyBorder="1" applyAlignment="1" applyProtection="1">
      <alignment horizontal="center"/>
      <protection/>
    </xf>
    <xf numFmtId="165" fontId="21" fillId="0" borderId="11" xfId="46" applyNumberFormat="1" applyFont="1" applyFill="1" applyBorder="1" applyAlignment="1" applyProtection="1">
      <alignment horizontal="left" wrapText="1"/>
      <protection/>
    </xf>
    <xf numFmtId="165" fontId="21" fillId="0" borderId="88" xfId="46" applyNumberFormat="1" applyFont="1" applyFill="1" applyBorder="1" applyAlignment="1" applyProtection="1">
      <alignment horizontal="left" wrapText="1"/>
      <protection/>
    </xf>
    <xf numFmtId="0" fontId="21" fillId="0" borderId="102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/>
    </xf>
    <xf numFmtId="3" fontId="28" fillId="33" borderId="12" xfId="0" applyNumberFormat="1" applyFont="1" applyFill="1" applyBorder="1" applyAlignment="1">
      <alignment horizontal="center" vertical="center"/>
    </xf>
    <xf numFmtId="0" fontId="2" fillId="0" borderId="217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2" fillId="0" borderId="218" xfId="0" applyFont="1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0" fillId="0" borderId="20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19" xfId="0" applyFont="1" applyBorder="1" applyAlignment="1">
      <alignment horizontal="center" vertical="center" wrapText="1"/>
    </xf>
    <xf numFmtId="165" fontId="0" fillId="36" borderId="12" xfId="46" applyNumberFormat="1" applyFill="1" applyBorder="1" applyAlignment="1" applyProtection="1">
      <alignment horizontal="center" vertical="center"/>
      <protection/>
    </xf>
    <xf numFmtId="165" fontId="0" fillId="0" borderId="163" xfId="46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2" fillId="33" borderId="37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3" fontId="2" fillId="33" borderId="1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5" fontId="0" fillId="0" borderId="0" xfId="46" applyNumberFormat="1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>
      <alignment horizontal="center" vertical="center"/>
    </xf>
    <xf numFmtId="165" fontId="0" fillId="0" borderId="0" xfId="46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 horizontal="center" wrapText="1"/>
      <protection/>
    </xf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spans="2:3" ht="12.75" customHeight="1">
      <c r="B1" s="1"/>
      <c r="C1" s="1" t="s">
        <v>0</v>
      </c>
    </row>
    <row r="2" spans="1:4" ht="12.75" customHeight="1">
      <c r="A2" s="1488" t="s">
        <v>1</v>
      </c>
      <c r="B2" s="1488"/>
      <c r="C2" s="1488"/>
      <c r="D2" s="1488"/>
    </row>
    <row r="3" spans="1:4" ht="12.75" customHeight="1">
      <c r="A3" s="2"/>
      <c r="B3" s="2"/>
      <c r="C3" s="2"/>
      <c r="D3" s="2"/>
    </row>
    <row r="4" spans="1:4" ht="12.75" customHeight="1">
      <c r="A4" s="3" t="s">
        <v>2</v>
      </c>
      <c r="B4" s="4"/>
      <c r="C4" s="4"/>
      <c r="D4" s="4"/>
    </row>
    <row r="5" spans="1:4" ht="12.75" customHeight="1">
      <c r="A5" s="1489" t="s">
        <v>3</v>
      </c>
      <c r="B5" s="1489"/>
      <c r="C5" s="1489"/>
      <c r="D5" s="1489"/>
    </row>
    <row r="6" spans="1:4" ht="12.75" customHeight="1">
      <c r="A6" s="5"/>
      <c r="B6" s="5"/>
      <c r="C6" s="5"/>
      <c r="D6" s="5"/>
    </row>
    <row r="7" spans="1:4" ht="12.75" customHeight="1">
      <c r="A7" s="5"/>
      <c r="B7" s="5"/>
      <c r="C7" s="5"/>
      <c r="D7" s="5"/>
    </row>
    <row r="9" spans="2:4" ht="12.75" customHeight="1">
      <c r="B9" s="6" t="s">
        <v>4</v>
      </c>
      <c r="C9" s="6" t="s">
        <v>4</v>
      </c>
      <c r="D9" s="6" t="s">
        <v>4</v>
      </c>
    </row>
    <row r="10" spans="1:4" ht="39" customHeight="1">
      <c r="A10" s="7" t="s">
        <v>5</v>
      </c>
      <c r="B10" s="8" t="s">
        <v>6</v>
      </c>
      <c r="C10" s="8" t="s">
        <v>7</v>
      </c>
      <c r="D10" s="8" t="s">
        <v>8</v>
      </c>
    </row>
    <row r="11" spans="1:4" ht="12.75" customHeight="1">
      <c r="A11" s="9" t="s">
        <v>9</v>
      </c>
      <c r="B11" s="10">
        <v>363899</v>
      </c>
      <c r="C11" s="10">
        <v>363899</v>
      </c>
      <c r="D11" s="10">
        <v>20838</v>
      </c>
    </row>
    <row r="12" spans="1:4" s="12" customFormat="1" ht="12.75" customHeight="1">
      <c r="A12" s="11" t="s">
        <v>10</v>
      </c>
      <c r="B12" s="10">
        <v>20367</v>
      </c>
      <c r="C12" s="10">
        <v>20367</v>
      </c>
      <c r="D12" s="10"/>
    </row>
    <row r="13" spans="1:4" ht="12.75" customHeight="1">
      <c r="A13" s="11" t="s">
        <v>11</v>
      </c>
      <c r="B13" s="13">
        <v>367159</v>
      </c>
      <c r="C13" s="13">
        <v>367159</v>
      </c>
      <c r="D13" s="13">
        <v>7348</v>
      </c>
    </row>
    <row r="14" spans="1:4" ht="12.75" customHeight="1">
      <c r="A14" s="14" t="s">
        <v>12</v>
      </c>
      <c r="B14" s="15">
        <f>B11+B12-B13</f>
        <v>17107</v>
      </c>
      <c r="C14" s="15">
        <f>C11+C12-C13</f>
        <v>17107</v>
      </c>
      <c r="D14" s="15">
        <f>D11+D12-D13</f>
        <v>13490</v>
      </c>
    </row>
    <row r="15" spans="2:4" ht="12.75" customHeight="1">
      <c r="B15" s="6"/>
      <c r="C15" s="6"/>
      <c r="D15" s="6"/>
    </row>
    <row r="16" spans="2:4" ht="12.75" customHeight="1">
      <c r="B16" s="6"/>
      <c r="C16" s="6"/>
      <c r="D16" s="6"/>
    </row>
    <row r="17" spans="2:4" ht="12.75" customHeight="1">
      <c r="B17" s="6"/>
      <c r="C17" s="6"/>
      <c r="D17" s="6"/>
    </row>
    <row r="18" spans="1:4" ht="12.75" customHeight="1">
      <c r="A18" s="11" t="s">
        <v>13</v>
      </c>
      <c r="B18" s="13">
        <v>6960</v>
      </c>
      <c r="C18" s="13">
        <v>6960</v>
      </c>
      <c r="D18" s="13">
        <v>7228</v>
      </c>
    </row>
    <row r="19" spans="1:4" ht="12.75" customHeight="1">
      <c r="A19" s="11" t="s">
        <v>14</v>
      </c>
      <c r="B19" s="13">
        <v>39633</v>
      </c>
      <c r="C19" s="13">
        <v>46851</v>
      </c>
      <c r="D19" s="16">
        <v>40774</v>
      </c>
    </row>
    <row r="20" spans="1:4" ht="12.75" customHeight="1">
      <c r="A20" s="11" t="s">
        <v>15</v>
      </c>
      <c r="B20" s="13">
        <v>11200</v>
      </c>
      <c r="C20" s="13">
        <v>11200</v>
      </c>
      <c r="D20" s="13">
        <v>7273</v>
      </c>
    </row>
    <row r="21" spans="1:4" ht="12.75" customHeight="1">
      <c r="A21" s="17" t="s">
        <v>16</v>
      </c>
      <c r="B21" s="15">
        <f>B18+B19-B20</f>
        <v>35393</v>
      </c>
      <c r="C21" s="15">
        <f>C18+C19-C20</f>
        <v>42611</v>
      </c>
      <c r="D21" s="15">
        <f>D18+D19-D20</f>
        <v>40729</v>
      </c>
    </row>
    <row r="22" spans="2:4" ht="12.75" customHeight="1">
      <c r="B22" s="6"/>
      <c r="C22" s="6"/>
      <c r="D22" s="6"/>
    </row>
    <row r="23" spans="2:4" ht="12.75" customHeight="1">
      <c r="B23" s="6"/>
      <c r="C23" s="6"/>
      <c r="D23" s="6"/>
    </row>
    <row r="24" spans="1:4" ht="12.75" customHeight="1" hidden="1">
      <c r="A24" s="18" t="s">
        <v>17</v>
      </c>
      <c r="B24" s="6"/>
      <c r="C24" s="6"/>
      <c r="D24" s="6"/>
    </row>
    <row r="25" spans="1:4" ht="12.75" customHeight="1" hidden="1">
      <c r="A25" s="12"/>
      <c r="B25" s="6"/>
      <c r="C25" s="6"/>
      <c r="D25" s="6"/>
    </row>
    <row r="26" spans="1:4" ht="12.75" customHeight="1" hidden="1">
      <c r="A26" s="19" t="s">
        <v>18</v>
      </c>
      <c r="B26" s="20">
        <v>46621</v>
      </c>
      <c r="C26" s="20">
        <v>46621</v>
      </c>
      <c r="D26" s="20">
        <v>46621</v>
      </c>
    </row>
    <row r="27" spans="1:4" ht="12.75" customHeight="1" hidden="1">
      <c r="A27" s="19" t="s">
        <v>19</v>
      </c>
      <c r="B27" s="20">
        <f>(B14+B21)*-1</f>
        <v>-52500</v>
      </c>
      <c r="C27" s="20">
        <f>(C14+C21)*-1</f>
        <v>-59718</v>
      </c>
      <c r="D27" s="20">
        <f>(D14+D21)*-1</f>
        <v>-54219</v>
      </c>
    </row>
    <row r="28" spans="1:4" ht="12.75" customHeight="1" hidden="1">
      <c r="A28" s="14" t="s">
        <v>20</v>
      </c>
      <c r="B28" s="15">
        <f>SUM(B26:B27)</f>
        <v>-5879</v>
      </c>
      <c r="C28" s="15">
        <f>SUM(C26:C27)</f>
        <v>-13097</v>
      </c>
      <c r="D28" s="15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I75"/>
  <sheetViews>
    <sheetView showGridLines="0" zoomScalePageLayoutView="0" workbookViewId="0" topLeftCell="A1">
      <pane xSplit="3" ySplit="6" topLeftCell="D46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G68" sqref="G68"/>
    </sheetView>
  </sheetViews>
  <sheetFormatPr defaultColWidth="11.7109375" defaultRowHeight="12.75" customHeight="1"/>
  <cols>
    <col min="1" max="2" width="3.8515625" style="56" customWidth="1"/>
    <col min="3" max="3" width="37.421875" style="56" customWidth="1"/>
    <col min="4" max="6" width="14.140625" style="56" customWidth="1"/>
    <col min="7" max="7" width="14.140625" style="1099" customWidth="1"/>
    <col min="8" max="16384" width="11.7109375" style="56" customWidth="1"/>
  </cols>
  <sheetData>
    <row r="1" spans="1:8" s="217" customFormat="1" ht="18" customHeight="1">
      <c r="A1" s="1514" t="s">
        <v>581</v>
      </c>
      <c r="B1" s="1514"/>
      <c r="C1" s="1514"/>
      <c r="D1" s="1514"/>
      <c r="E1" s="1514"/>
      <c r="F1" s="1514"/>
      <c r="G1" s="1514"/>
      <c r="H1" s="1514"/>
    </row>
    <row r="2" spans="1:8" ht="12.75" customHeight="1">
      <c r="A2" s="1547" t="s">
        <v>1323</v>
      </c>
      <c r="B2" s="1547"/>
      <c r="C2" s="1547"/>
      <c r="D2" s="1547"/>
      <c r="E2" s="1547"/>
      <c r="F2" s="1547"/>
      <c r="G2" s="1547"/>
      <c r="H2" s="1547"/>
    </row>
    <row r="3" spans="1:7" ht="17.25" customHeight="1">
      <c r="A3" s="459"/>
      <c r="B3" s="459"/>
      <c r="C3" s="1547" t="s">
        <v>1322</v>
      </c>
      <c r="D3" s="1547"/>
      <c r="E3" s="1547"/>
      <c r="F3" s="1547"/>
      <c r="G3" s="1547"/>
    </row>
    <row r="4" spans="1:7" ht="6.75" customHeight="1">
      <c r="A4" s="460"/>
      <c r="B4" s="461"/>
      <c r="C4" s="461"/>
      <c r="D4" s="461"/>
      <c r="E4" s="461"/>
      <c r="F4" s="461"/>
      <c r="G4" s="1116"/>
    </row>
    <row r="5" spans="1:9" s="6" customFormat="1" ht="12.75" customHeight="1">
      <c r="A5" s="1516" t="s">
        <v>582</v>
      </c>
      <c r="B5" s="1516"/>
      <c r="C5" s="1516"/>
      <c r="D5" s="1516"/>
      <c r="E5" s="1516"/>
      <c r="F5" s="1516"/>
      <c r="G5" s="1516"/>
      <c r="H5" s="1516"/>
      <c r="I5" s="1516"/>
    </row>
    <row r="6" spans="1:9" s="6" customFormat="1" ht="27" customHeight="1">
      <c r="A6" s="1516"/>
      <c r="B6" s="1516"/>
      <c r="C6" s="1516"/>
      <c r="D6" s="1516"/>
      <c r="E6" s="1516"/>
      <c r="F6" s="1516"/>
      <c r="G6" s="1516"/>
      <c r="H6" s="1516"/>
      <c r="I6" s="1516"/>
    </row>
    <row r="7" spans="1:7" s="6" customFormat="1" ht="12.75" customHeight="1">
      <c r="A7" s="399"/>
      <c r="B7" s="399"/>
      <c r="C7" s="399"/>
      <c r="G7" s="1117"/>
    </row>
    <row r="8" spans="1:7" s="6" customFormat="1" ht="12.75" customHeight="1">
      <c r="A8" s="462"/>
      <c r="G8" s="1117"/>
    </row>
    <row r="9" spans="1:8" s="6" customFormat="1" ht="12.75" customHeight="1" thickBot="1">
      <c r="A9" s="463"/>
      <c r="B9" s="464"/>
      <c r="C9" s="465"/>
      <c r="D9" s="1554" t="s">
        <v>155</v>
      </c>
      <c r="E9" s="1554"/>
      <c r="F9" s="1554"/>
      <c r="G9" s="1554"/>
      <c r="H9" s="1554"/>
    </row>
    <row r="10" spans="1:8" s="6" customFormat="1" ht="24.75" customHeight="1" thickBot="1">
      <c r="A10" s="1499" t="s">
        <v>156</v>
      </c>
      <c r="B10" s="1499"/>
      <c r="C10" s="1546" t="s">
        <v>583</v>
      </c>
      <c r="D10" s="1553" t="s">
        <v>159</v>
      </c>
      <c r="E10" s="1548" t="s">
        <v>584</v>
      </c>
      <c r="F10" s="1548" t="s">
        <v>585</v>
      </c>
      <c r="G10" s="1545" t="s">
        <v>915</v>
      </c>
      <c r="H10" s="1545" t="s">
        <v>1211</v>
      </c>
    </row>
    <row r="11" spans="1:8" s="6" customFormat="1" ht="24.75" customHeight="1" thickBot="1">
      <c r="A11" s="1499"/>
      <c r="B11" s="1499"/>
      <c r="C11" s="1546"/>
      <c r="D11" s="1546"/>
      <c r="E11" s="1548"/>
      <c r="F11" s="1548"/>
      <c r="G11" s="1545"/>
      <c r="H11" s="1545"/>
    </row>
    <row r="12" spans="1:8" s="6" customFormat="1" ht="14.25" customHeight="1" thickBot="1">
      <c r="A12" s="1544"/>
      <c r="B12" s="1544"/>
      <c r="C12" s="1347" t="s">
        <v>586</v>
      </c>
      <c r="D12" s="1437" t="s">
        <v>164</v>
      </c>
      <c r="E12" s="1438" t="s">
        <v>165</v>
      </c>
      <c r="F12" s="1438" t="s">
        <v>166</v>
      </c>
      <c r="G12" s="1439" t="s">
        <v>167</v>
      </c>
      <c r="H12" s="1439" t="s">
        <v>168</v>
      </c>
    </row>
    <row r="13" spans="1:8" s="6" customFormat="1" ht="12.75" customHeight="1" thickBot="1">
      <c r="A13" s="1452" t="s">
        <v>38</v>
      </c>
      <c r="B13" s="1453" t="s">
        <v>169</v>
      </c>
      <c r="C13" s="1454" t="s">
        <v>587</v>
      </c>
      <c r="D13" s="1454">
        <f>SUM(D14:D14)</f>
        <v>400</v>
      </c>
      <c r="E13" s="1454">
        <f>SUM(E14:E14)</f>
        <v>400</v>
      </c>
      <c r="F13" s="1454">
        <f>SUM(F14:F16)</f>
        <v>400</v>
      </c>
      <c r="G13" s="1455">
        <f>SUM(G14:G16)</f>
        <v>392</v>
      </c>
      <c r="H13" s="1456">
        <f>SUM(H14:H16)</f>
        <v>392</v>
      </c>
    </row>
    <row r="14" spans="1:8" s="6" customFormat="1" ht="27" customHeight="1">
      <c r="A14" s="1457" t="s">
        <v>40</v>
      </c>
      <c r="B14" s="1458"/>
      <c r="C14" s="1459" t="s">
        <v>588</v>
      </c>
      <c r="D14" s="1460">
        <v>400</v>
      </c>
      <c r="E14" s="1460">
        <v>400</v>
      </c>
      <c r="F14" s="1460">
        <v>0</v>
      </c>
      <c r="G14" s="1461">
        <v>0</v>
      </c>
      <c r="H14" s="1462">
        <v>0</v>
      </c>
    </row>
    <row r="15" spans="1:8" s="6" customFormat="1" ht="27" customHeight="1">
      <c r="A15" s="1463" t="s">
        <v>47</v>
      </c>
      <c r="B15" s="963"/>
      <c r="C15" s="1445" t="s">
        <v>589</v>
      </c>
      <c r="D15" s="964">
        <v>0</v>
      </c>
      <c r="E15" s="964">
        <v>0</v>
      </c>
      <c r="F15" s="964">
        <v>100</v>
      </c>
      <c r="G15" s="1446">
        <v>100</v>
      </c>
      <c r="H15" s="1464">
        <v>100</v>
      </c>
    </row>
    <row r="16" spans="1:8" s="6" customFormat="1" ht="27" customHeight="1" thickBot="1">
      <c r="A16" s="1472" t="s">
        <v>49</v>
      </c>
      <c r="B16" s="1331"/>
      <c r="C16" s="1473" t="s">
        <v>590</v>
      </c>
      <c r="D16" s="1401">
        <v>0</v>
      </c>
      <c r="E16" s="1401">
        <v>0</v>
      </c>
      <c r="F16" s="1401">
        <v>300</v>
      </c>
      <c r="G16" s="1474">
        <v>292</v>
      </c>
      <c r="H16" s="1475">
        <v>292</v>
      </c>
    </row>
    <row r="17" spans="1:8" s="6" customFormat="1" ht="12.75" customHeight="1" thickBot="1">
      <c r="A17" s="1452" t="s">
        <v>51</v>
      </c>
      <c r="B17" s="1481" t="s">
        <v>173</v>
      </c>
      <c r="C17" s="1454" t="s">
        <v>583</v>
      </c>
      <c r="D17" s="1482">
        <f>SUM(D18:D29)</f>
        <v>126672</v>
      </c>
      <c r="E17" s="1482">
        <f>SUM(E18:E30)</f>
        <v>144931</v>
      </c>
      <c r="F17" s="1482">
        <f>SUM(F18:F31)</f>
        <v>120925</v>
      </c>
      <c r="G17" s="1483">
        <f>SUM(G18:G32)</f>
        <v>98323</v>
      </c>
      <c r="H17" s="1484">
        <f>SUM(H18:H32)</f>
        <v>100817</v>
      </c>
    </row>
    <row r="18" spans="1:8" s="6" customFormat="1" ht="42" customHeight="1">
      <c r="A18" s="1476" t="s">
        <v>53</v>
      </c>
      <c r="B18" s="1450"/>
      <c r="C18" s="1451" t="s">
        <v>591</v>
      </c>
      <c r="D18" s="1477">
        <v>2274</v>
      </c>
      <c r="E18" s="1477">
        <v>0</v>
      </c>
      <c r="F18" s="1478">
        <v>0</v>
      </c>
      <c r="G18" s="1479">
        <v>0</v>
      </c>
      <c r="H18" s="1480">
        <v>0</v>
      </c>
    </row>
    <row r="19" spans="1:8" s="6" customFormat="1" ht="44.25" customHeight="1">
      <c r="A19" s="1463" t="s">
        <v>55</v>
      </c>
      <c r="B19" s="963"/>
      <c r="C19" s="1445" t="s">
        <v>592</v>
      </c>
      <c r="D19" s="919">
        <v>2020</v>
      </c>
      <c r="E19" s="919">
        <v>2020</v>
      </c>
      <c r="F19" s="965">
        <v>2020</v>
      </c>
      <c r="G19" s="1120">
        <v>2020</v>
      </c>
      <c r="H19" s="1465">
        <v>0</v>
      </c>
    </row>
    <row r="20" spans="1:8" s="6" customFormat="1" ht="12.75" customHeight="1">
      <c r="A20" s="1463" t="s">
        <v>57</v>
      </c>
      <c r="B20" s="963"/>
      <c r="C20" s="1445" t="s">
        <v>593</v>
      </c>
      <c r="D20" s="919">
        <v>500</v>
      </c>
      <c r="E20" s="919">
        <v>386</v>
      </c>
      <c r="F20" s="965">
        <v>500</v>
      </c>
      <c r="G20" s="1120">
        <v>0</v>
      </c>
      <c r="H20" s="1465">
        <v>0</v>
      </c>
    </row>
    <row r="21" spans="1:8" s="6" customFormat="1" ht="27.75" customHeight="1">
      <c r="A21" s="1463" t="s">
        <v>86</v>
      </c>
      <c r="B21" s="963"/>
      <c r="C21" s="1445" t="s">
        <v>594</v>
      </c>
      <c r="D21" s="919">
        <v>180</v>
      </c>
      <c r="E21" s="919">
        <v>180</v>
      </c>
      <c r="F21" s="965">
        <v>180</v>
      </c>
      <c r="G21" s="1120">
        <v>180</v>
      </c>
      <c r="H21" s="1466">
        <v>984</v>
      </c>
    </row>
    <row r="22" spans="1:8" s="466" customFormat="1" ht="26.25" customHeight="1">
      <c r="A22" s="1463" t="s">
        <v>59</v>
      </c>
      <c r="B22" s="1447"/>
      <c r="C22" s="1448" t="s">
        <v>595</v>
      </c>
      <c r="D22" s="919">
        <v>500</v>
      </c>
      <c r="E22" s="919">
        <v>500</v>
      </c>
      <c r="F22" s="965">
        <v>500</v>
      </c>
      <c r="G22" s="1120">
        <v>500</v>
      </c>
      <c r="H22" s="1466">
        <v>152</v>
      </c>
    </row>
    <row r="23" spans="1:8" s="6" customFormat="1" ht="29.25" customHeight="1">
      <c r="A23" s="1463" t="s">
        <v>61</v>
      </c>
      <c r="B23" s="963"/>
      <c r="C23" s="1445" t="s">
        <v>596</v>
      </c>
      <c r="D23" s="919">
        <v>2500</v>
      </c>
      <c r="E23" s="919">
        <v>2500</v>
      </c>
      <c r="F23" s="965">
        <v>1943</v>
      </c>
      <c r="G23" s="1120">
        <v>1943</v>
      </c>
      <c r="H23" s="1466">
        <v>1614</v>
      </c>
    </row>
    <row r="24" spans="1:8" s="6" customFormat="1" ht="29.25" customHeight="1">
      <c r="A24" s="1463" t="s">
        <v>63</v>
      </c>
      <c r="B24" s="963"/>
      <c r="C24" s="964" t="s">
        <v>597</v>
      </c>
      <c r="D24" s="919">
        <v>115248</v>
      </c>
      <c r="E24" s="919">
        <v>115248</v>
      </c>
      <c r="F24" s="965">
        <v>89565</v>
      </c>
      <c r="G24" s="1120">
        <v>89565</v>
      </c>
      <c r="H24" s="1466">
        <v>89565</v>
      </c>
    </row>
    <row r="25" spans="1:8" s="6" customFormat="1" ht="29.25" customHeight="1">
      <c r="A25" s="1463" t="s">
        <v>65</v>
      </c>
      <c r="B25" s="963"/>
      <c r="C25" s="964" t="s">
        <v>1306</v>
      </c>
      <c r="D25" s="919"/>
      <c r="E25" s="919"/>
      <c r="F25" s="965"/>
      <c r="G25" s="1120"/>
      <c r="H25" s="1466">
        <v>1524</v>
      </c>
    </row>
    <row r="26" spans="1:8" s="6" customFormat="1" ht="29.25" customHeight="1">
      <c r="A26" s="1463" t="s">
        <v>92</v>
      </c>
      <c r="B26" s="963"/>
      <c r="C26" s="964" t="s">
        <v>598</v>
      </c>
      <c r="D26" s="919">
        <v>200</v>
      </c>
      <c r="E26" s="919">
        <v>200</v>
      </c>
      <c r="F26" s="965">
        <v>200</v>
      </c>
      <c r="G26" s="1120">
        <v>200</v>
      </c>
      <c r="H26" s="1466">
        <v>53</v>
      </c>
    </row>
    <row r="27" spans="1:8" s="6" customFormat="1" ht="29.25" customHeight="1">
      <c r="A27" s="1463" t="s">
        <v>66</v>
      </c>
      <c r="B27" s="963"/>
      <c r="C27" s="964" t="s">
        <v>599</v>
      </c>
      <c r="D27" s="919">
        <v>250</v>
      </c>
      <c r="E27" s="919">
        <v>250</v>
      </c>
      <c r="F27" s="965">
        <v>2250</v>
      </c>
      <c r="G27" s="1120">
        <v>2250</v>
      </c>
      <c r="H27" s="1466">
        <v>1714</v>
      </c>
    </row>
    <row r="28" spans="1:8" s="6" customFormat="1" ht="29.25" customHeight="1">
      <c r="A28" s="1463" t="s">
        <v>67</v>
      </c>
      <c r="B28" s="963"/>
      <c r="C28" s="1449" t="s">
        <v>600</v>
      </c>
      <c r="D28" s="919">
        <v>3000</v>
      </c>
      <c r="E28" s="919">
        <v>0</v>
      </c>
      <c r="F28" s="965">
        <v>0</v>
      </c>
      <c r="G28" s="1120">
        <v>0</v>
      </c>
      <c r="H28" s="1466">
        <v>0</v>
      </c>
    </row>
    <row r="29" spans="1:8" s="6" customFormat="1" ht="29.25" customHeight="1">
      <c r="A29" s="1463" t="s">
        <v>68</v>
      </c>
      <c r="B29" s="963"/>
      <c r="C29" s="1445" t="s">
        <v>601</v>
      </c>
      <c r="D29" s="919">
        <v>0</v>
      </c>
      <c r="E29" s="919">
        <v>1147</v>
      </c>
      <c r="F29" s="965">
        <v>1147</v>
      </c>
      <c r="G29" s="1120">
        <v>1147</v>
      </c>
      <c r="H29" s="1466">
        <v>4696</v>
      </c>
    </row>
    <row r="30" spans="1:8" s="6" customFormat="1" ht="29.25" customHeight="1">
      <c r="A30" s="1463" t="s">
        <v>70</v>
      </c>
      <c r="B30" s="963"/>
      <c r="C30" s="964" t="s">
        <v>602</v>
      </c>
      <c r="D30" s="964"/>
      <c r="E30" s="964">
        <v>22500</v>
      </c>
      <c r="F30" s="965">
        <v>22500</v>
      </c>
      <c r="G30" s="1120">
        <v>0</v>
      </c>
      <c r="H30" s="1466">
        <v>0</v>
      </c>
    </row>
    <row r="31" spans="1:8" s="6" customFormat="1" ht="29.25" customHeight="1">
      <c r="A31" s="1463" t="s">
        <v>97</v>
      </c>
      <c r="B31" s="963"/>
      <c r="C31" s="964" t="s">
        <v>603</v>
      </c>
      <c r="D31" s="964"/>
      <c r="E31" s="964"/>
      <c r="F31" s="965">
        <v>120</v>
      </c>
      <c r="G31" s="1120">
        <v>120</v>
      </c>
      <c r="H31" s="1466">
        <v>152</v>
      </c>
    </row>
    <row r="32" spans="1:8" s="6" customFormat="1" ht="29.25" customHeight="1" thickBot="1">
      <c r="A32" s="1467" t="s">
        <v>99</v>
      </c>
      <c r="B32" s="1379"/>
      <c r="C32" s="1468" t="s">
        <v>931</v>
      </c>
      <c r="D32" s="1468"/>
      <c r="E32" s="1468"/>
      <c r="F32" s="1469"/>
      <c r="G32" s="1470">
        <v>398</v>
      </c>
      <c r="H32" s="1471">
        <v>363</v>
      </c>
    </row>
    <row r="33" spans="1:8" s="6" customFormat="1" ht="12.75" customHeight="1" thickBot="1">
      <c r="A33" s="1440" t="s">
        <v>101</v>
      </c>
      <c r="B33" s="1441"/>
      <c r="C33" s="1442" t="s">
        <v>25</v>
      </c>
      <c r="D33" s="1443">
        <f>SUM(D13+D17)</f>
        <v>127072</v>
      </c>
      <c r="E33" s="1443">
        <f>SUM(E13+E17)</f>
        <v>145331</v>
      </c>
      <c r="F33" s="1443">
        <f>SUM(F13+F17)</f>
        <v>121325</v>
      </c>
      <c r="G33" s="1444">
        <f>SUM(G13+G17)</f>
        <v>98715</v>
      </c>
      <c r="H33" s="1444">
        <f>SUM(H13+H17)</f>
        <v>101209</v>
      </c>
    </row>
    <row r="34" spans="1:7" s="6" customFormat="1" ht="12.75" customHeight="1">
      <c r="A34" s="221"/>
      <c r="B34" s="220"/>
      <c r="C34" s="220"/>
      <c r="G34" s="1117"/>
    </row>
    <row r="35" spans="1:7" s="6" customFormat="1" ht="12.75" customHeight="1">
      <c r="A35" s="221"/>
      <c r="B35" s="220"/>
      <c r="C35" s="220"/>
      <c r="G35" s="1117"/>
    </row>
    <row r="36" spans="1:9" s="6" customFormat="1" ht="12.75" customHeight="1">
      <c r="A36" s="1551" t="s">
        <v>604</v>
      </c>
      <c r="B36" s="1551"/>
      <c r="C36" s="1551"/>
      <c r="D36" s="1551"/>
      <c r="E36" s="1551"/>
      <c r="F36" s="1551"/>
      <c r="G36" s="1551"/>
      <c r="H36" s="1551"/>
      <c r="I36" s="1551"/>
    </row>
    <row r="37" spans="1:9" s="6" customFormat="1" ht="12.75" customHeight="1">
      <c r="A37" s="1550" t="s">
        <v>1325</v>
      </c>
      <c r="B37" s="1550"/>
      <c r="C37" s="1550"/>
      <c r="D37" s="1550"/>
      <c r="E37" s="1550"/>
      <c r="F37" s="1550"/>
      <c r="G37" s="1550"/>
      <c r="H37" s="1550"/>
      <c r="I37" s="1550"/>
    </row>
    <row r="38" spans="1:7" s="6" customFormat="1" ht="12.75" customHeight="1">
      <c r="A38" s="475"/>
      <c r="B38" s="475"/>
      <c r="C38" s="1698" t="s">
        <v>1324</v>
      </c>
      <c r="D38" s="1698"/>
      <c r="E38" s="1698"/>
      <c r="F38" s="1698"/>
      <c r="G38" s="1698"/>
    </row>
    <row r="39" spans="1:9" s="6" customFormat="1" ht="12.75" customHeight="1">
      <c r="A39" s="1552" t="s">
        <v>605</v>
      </c>
      <c r="B39" s="1552"/>
      <c r="C39" s="1552"/>
      <c r="D39" s="1552"/>
      <c r="E39" s="1552"/>
      <c r="F39" s="1552"/>
      <c r="G39" s="1552"/>
      <c r="H39" s="1552"/>
      <c r="I39" s="1552"/>
    </row>
    <row r="40" spans="1:9" s="6" customFormat="1" ht="24" customHeight="1">
      <c r="A40" s="1552"/>
      <c r="B40" s="1552"/>
      <c r="C40" s="1552"/>
      <c r="D40" s="1552"/>
      <c r="E40" s="1552"/>
      <c r="F40" s="1552"/>
      <c r="G40" s="1552"/>
      <c r="H40" s="1552"/>
      <c r="I40" s="1552"/>
    </row>
    <row r="41" spans="1:7" s="6" customFormat="1" ht="12.75" customHeight="1">
      <c r="A41" s="222"/>
      <c r="B41" s="222"/>
      <c r="C41" s="222"/>
      <c r="D41" s="222"/>
      <c r="E41" s="222"/>
      <c r="F41" s="222"/>
      <c r="G41" s="1121"/>
    </row>
    <row r="42" spans="1:7" s="6" customFormat="1" ht="12.75" customHeight="1">
      <c r="A42"/>
      <c r="B42"/>
      <c r="C42"/>
      <c r="D42"/>
      <c r="E42"/>
      <c r="F42"/>
      <c r="G42" s="1122"/>
    </row>
    <row r="43" spans="1:9" s="6" customFormat="1" ht="12.75" customHeight="1" thickBot="1">
      <c r="A43"/>
      <c r="B43"/>
      <c r="C43"/>
      <c r="D43" s="1549" t="s">
        <v>155</v>
      </c>
      <c r="E43" s="1549"/>
      <c r="F43" s="1549"/>
      <c r="G43" s="1549"/>
      <c r="H43" s="1549"/>
      <c r="I43" s="1549"/>
    </row>
    <row r="44" spans="1:9" s="6" customFormat="1" ht="39" thickBot="1">
      <c r="A44" s="1556" t="s">
        <v>156</v>
      </c>
      <c r="B44" s="1556"/>
      <c r="C44" s="1557" t="s">
        <v>606</v>
      </c>
      <c r="D44" s="961" t="s">
        <v>158</v>
      </c>
      <c r="E44" s="961" t="s">
        <v>159</v>
      </c>
      <c r="F44" s="961" t="s">
        <v>584</v>
      </c>
      <c r="G44" s="1123" t="s">
        <v>585</v>
      </c>
      <c r="H44" s="961" t="s">
        <v>915</v>
      </c>
      <c r="I44" s="961" t="s">
        <v>1211</v>
      </c>
    </row>
    <row r="45" spans="1:9" s="6" customFormat="1" ht="12.75" customHeight="1" thickBot="1">
      <c r="A45" s="1556"/>
      <c r="B45" s="1556"/>
      <c r="C45" s="1557"/>
      <c r="D45" s="960"/>
      <c r="E45" s="960"/>
      <c r="F45" s="960"/>
      <c r="G45" s="1124"/>
      <c r="H45" s="960"/>
      <c r="I45" s="960"/>
    </row>
    <row r="46" spans="1:9" s="6" customFormat="1" ht="12.75" customHeight="1">
      <c r="A46" s="1556"/>
      <c r="B46" s="1556"/>
      <c r="C46" s="476" t="s">
        <v>163</v>
      </c>
      <c r="D46" s="477" t="s">
        <v>164</v>
      </c>
      <c r="E46" s="477" t="s">
        <v>165</v>
      </c>
      <c r="F46" s="477" t="s">
        <v>166</v>
      </c>
      <c r="G46" s="1125" t="s">
        <v>167</v>
      </c>
      <c r="H46" s="477" t="s">
        <v>168</v>
      </c>
      <c r="I46" s="477" t="s">
        <v>226</v>
      </c>
    </row>
    <row r="47" spans="1:9" s="6" customFormat="1" ht="12.75" customHeight="1">
      <c r="A47" s="478" t="s">
        <v>38</v>
      </c>
      <c r="B47" s="442" t="s">
        <v>169</v>
      </c>
      <c r="C47" s="442" t="s">
        <v>607</v>
      </c>
      <c r="D47" s="165">
        <f aca="true" t="shared" si="0" ref="D47:I47">SUM(D48:D51)</f>
        <v>26400</v>
      </c>
      <c r="E47" s="165">
        <f t="shared" si="0"/>
        <v>27364</v>
      </c>
      <c r="F47" s="165">
        <f t="shared" si="0"/>
        <v>28212</v>
      </c>
      <c r="G47" s="1126">
        <f t="shared" si="0"/>
        <v>30177</v>
      </c>
      <c r="H47" s="165">
        <f t="shared" si="0"/>
        <v>31772</v>
      </c>
      <c r="I47" s="165">
        <f t="shared" si="0"/>
        <v>29793</v>
      </c>
    </row>
    <row r="48" spans="1:9" s="6" customFormat="1" ht="12.75" customHeight="1">
      <c r="A48" s="480" t="s">
        <v>40</v>
      </c>
      <c r="B48" s="443"/>
      <c r="C48" s="481" t="s">
        <v>608</v>
      </c>
      <c r="D48" s="168">
        <v>4226</v>
      </c>
      <c r="E48" s="168">
        <v>7139</v>
      </c>
      <c r="F48" s="168">
        <v>7139</v>
      </c>
      <c r="G48" s="1127">
        <v>7272</v>
      </c>
      <c r="H48" s="168">
        <v>7272</v>
      </c>
      <c r="I48" s="168">
        <v>7587</v>
      </c>
    </row>
    <row r="49" spans="1:9" s="6" customFormat="1" ht="12.75" customHeight="1">
      <c r="A49" s="480" t="s">
        <v>47</v>
      </c>
      <c r="B49" s="443"/>
      <c r="C49" s="482" t="s">
        <v>609</v>
      </c>
      <c r="D49" s="81">
        <v>1501</v>
      </c>
      <c r="E49" s="81">
        <v>1500</v>
      </c>
      <c r="F49" s="81">
        <v>1500</v>
      </c>
      <c r="G49" s="1128">
        <v>1500</v>
      </c>
      <c r="H49" s="81">
        <v>1500</v>
      </c>
      <c r="I49" s="81">
        <v>2003</v>
      </c>
    </row>
    <row r="50" spans="1:9" s="6" customFormat="1" ht="12.75" customHeight="1">
      <c r="A50" s="480" t="s">
        <v>49</v>
      </c>
      <c r="B50" s="443"/>
      <c r="C50" s="482" t="s">
        <v>610</v>
      </c>
      <c r="D50" s="168">
        <v>19473</v>
      </c>
      <c r="E50" s="168">
        <v>18725</v>
      </c>
      <c r="F50" s="168">
        <v>19573</v>
      </c>
      <c r="G50" s="1127">
        <v>21405</v>
      </c>
      <c r="H50" s="168">
        <v>23000</v>
      </c>
      <c r="I50" s="168">
        <v>20203</v>
      </c>
    </row>
    <row r="51" spans="1:9" s="6" customFormat="1" ht="12.75" customHeight="1">
      <c r="A51" s="480" t="s">
        <v>51</v>
      </c>
      <c r="B51" s="443"/>
      <c r="C51" s="482" t="s">
        <v>611</v>
      </c>
      <c r="D51" s="168">
        <v>1200</v>
      </c>
      <c r="E51" s="168">
        <v>0</v>
      </c>
      <c r="F51" s="168">
        <v>0</v>
      </c>
      <c r="G51" s="1127">
        <v>0</v>
      </c>
      <c r="H51" s="168">
        <v>0</v>
      </c>
      <c r="I51" s="168">
        <v>0</v>
      </c>
    </row>
    <row r="52" spans="1:9" s="6" customFormat="1" ht="12.75" customHeight="1">
      <c r="A52" s="478" t="s">
        <v>53</v>
      </c>
      <c r="B52" s="443" t="s">
        <v>173</v>
      </c>
      <c r="C52" s="484" t="s">
        <v>236</v>
      </c>
      <c r="D52" s="165">
        <f aca="true" t="shared" si="1" ref="D52:I52">D53</f>
        <v>4123</v>
      </c>
      <c r="E52" s="165">
        <f t="shared" si="1"/>
        <v>3000</v>
      </c>
      <c r="F52" s="165">
        <f t="shared" si="1"/>
        <v>3000</v>
      </c>
      <c r="G52" s="1126">
        <f t="shared" si="1"/>
        <v>3000</v>
      </c>
      <c r="H52" s="165">
        <f t="shared" si="1"/>
        <v>3000</v>
      </c>
      <c r="I52" s="165">
        <f t="shared" si="1"/>
        <v>4200</v>
      </c>
    </row>
    <row r="53" spans="1:9" s="6" customFormat="1" ht="12.75" customHeight="1">
      <c r="A53" s="480" t="s">
        <v>55</v>
      </c>
      <c r="B53" s="443"/>
      <c r="C53" s="485" t="s">
        <v>349</v>
      </c>
      <c r="D53" s="168">
        <v>4123</v>
      </c>
      <c r="E53" s="168">
        <v>3000</v>
      </c>
      <c r="F53" s="168">
        <v>3000</v>
      </c>
      <c r="G53" s="1127">
        <v>3000</v>
      </c>
      <c r="H53" s="168">
        <v>3000</v>
      </c>
      <c r="I53" s="168">
        <f>SUM(750)+3450</f>
        <v>4200</v>
      </c>
    </row>
    <row r="54" spans="1:9" s="323" customFormat="1" ht="12.75" customHeight="1">
      <c r="A54" s="478" t="s">
        <v>57</v>
      </c>
      <c r="B54" s="442" t="s">
        <v>177</v>
      </c>
      <c r="C54" s="442" t="s">
        <v>350</v>
      </c>
      <c r="D54" s="165"/>
      <c r="E54" s="165"/>
      <c r="F54" s="165"/>
      <c r="G54" s="1126"/>
      <c r="H54" s="165"/>
      <c r="I54" s="165">
        <f>SUM(I55:I58)</f>
        <v>581</v>
      </c>
    </row>
    <row r="55" spans="1:9" s="6" customFormat="1" ht="12.75" customHeight="1">
      <c r="A55" s="480" t="s">
        <v>86</v>
      </c>
      <c r="B55" s="443"/>
      <c r="C55" s="482" t="s">
        <v>612</v>
      </c>
      <c r="D55" s="168"/>
      <c r="E55" s="168"/>
      <c r="F55" s="168"/>
      <c r="G55" s="1127"/>
      <c r="H55" s="168"/>
      <c r="I55" s="168">
        <v>0</v>
      </c>
    </row>
    <row r="56" spans="1:9" s="6" customFormat="1" ht="12.75" customHeight="1">
      <c r="A56" s="480" t="s">
        <v>59</v>
      </c>
      <c r="B56" s="443"/>
      <c r="C56" s="482" t="s">
        <v>613</v>
      </c>
      <c r="D56" s="168"/>
      <c r="E56" s="168"/>
      <c r="F56" s="168"/>
      <c r="G56" s="1127"/>
      <c r="H56" s="168"/>
      <c r="I56" s="168">
        <v>39</v>
      </c>
    </row>
    <row r="57" spans="1:9" s="6" customFormat="1" ht="12.75" customHeight="1">
      <c r="A57" s="480" t="s">
        <v>61</v>
      </c>
      <c r="B57" s="443"/>
      <c r="C57" s="482" t="s">
        <v>614</v>
      </c>
      <c r="D57" s="168"/>
      <c r="E57" s="168"/>
      <c r="F57" s="168"/>
      <c r="G57" s="1127"/>
      <c r="H57" s="168"/>
      <c r="I57" s="168">
        <v>378</v>
      </c>
    </row>
    <row r="58" spans="1:9" s="6" customFormat="1" ht="12.75" customHeight="1">
      <c r="A58" s="480" t="s">
        <v>63</v>
      </c>
      <c r="B58" s="443"/>
      <c r="C58" s="482" t="s">
        <v>1307</v>
      </c>
      <c r="D58" s="168"/>
      <c r="E58" s="168"/>
      <c r="F58" s="168"/>
      <c r="G58" s="1127"/>
      <c r="H58" s="168"/>
      <c r="I58" s="168">
        <v>164</v>
      </c>
    </row>
    <row r="59" spans="1:9" s="6" customFormat="1" ht="12.75" customHeight="1" thickBot="1">
      <c r="A59" s="380" t="s">
        <v>65</v>
      </c>
      <c r="B59" s="375"/>
      <c r="C59" s="486" t="s">
        <v>25</v>
      </c>
      <c r="D59" s="487">
        <f>D47+D52</f>
        <v>30523</v>
      </c>
      <c r="E59" s="487">
        <f>E47+E52</f>
        <v>30364</v>
      </c>
      <c r="F59" s="487">
        <f>F47+F52</f>
        <v>31212</v>
      </c>
      <c r="G59" s="1129">
        <f>G47+G52</f>
        <v>33177</v>
      </c>
      <c r="H59" s="487">
        <f>H47+H52</f>
        <v>34772</v>
      </c>
      <c r="I59" s="487">
        <f>I47+I52+I54</f>
        <v>34574</v>
      </c>
    </row>
    <row r="60" spans="1:8" s="6" customFormat="1" ht="12.75" customHeight="1">
      <c r="A60" s="462"/>
      <c r="G60" s="1117"/>
      <c r="H60" s="470"/>
    </row>
    <row r="61" spans="1:8" s="6" customFormat="1" ht="12.75" customHeight="1">
      <c r="A61" s="462"/>
      <c r="G61" s="1117"/>
      <c r="H61" s="470"/>
    </row>
    <row r="62" spans="1:7" s="6" customFormat="1" ht="12.75" customHeight="1">
      <c r="A62" s="1559" t="s">
        <v>615</v>
      </c>
      <c r="B62" s="1559"/>
      <c r="C62" s="1559"/>
      <c r="D62" s="1559"/>
      <c r="E62" s="1559"/>
      <c r="F62" s="1559"/>
      <c r="G62" s="1117"/>
    </row>
    <row r="63" spans="1:7" s="6" customFormat="1" ht="12.75" customHeight="1">
      <c r="A63" s="1558" t="s">
        <v>1327</v>
      </c>
      <c r="B63" s="1558"/>
      <c r="C63" s="1558"/>
      <c r="D63" s="1558"/>
      <c r="E63" s="1558"/>
      <c r="F63" s="1558"/>
      <c r="G63" s="1117"/>
    </row>
    <row r="64" spans="1:9" s="6" customFormat="1" ht="12.75" customHeight="1">
      <c r="A64" s="1487"/>
      <c r="B64" s="1487"/>
      <c r="C64" s="1699" t="s">
        <v>1326</v>
      </c>
      <c r="D64" s="1699"/>
      <c r="E64" s="1699"/>
      <c r="F64" s="1699"/>
      <c r="G64" s="1699"/>
      <c r="H64" s="1699"/>
      <c r="I64" s="1699"/>
    </row>
    <row r="65" spans="1:7" s="6" customFormat="1" ht="12.75" customHeight="1">
      <c r="A65" s="1522" t="s">
        <v>616</v>
      </c>
      <c r="B65" s="1522"/>
      <c r="C65" s="1522"/>
      <c r="D65" s="1522"/>
      <c r="E65" s="1522"/>
      <c r="F65" s="1522"/>
      <c r="G65" s="1117"/>
    </row>
    <row r="66" spans="1:7" s="6" customFormat="1" ht="12.75" customHeight="1">
      <c r="A66" s="462"/>
      <c r="C66"/>
      <c r="G66" s="1117"/>
    </row>
    <row r="67" spans="1:7" s="6" customFormat="1" ht="12.75" customHeight="1">
      <c r="A67" s="462"/>
      <c r="C67" s="1555" t="s">
        <v>155</v>
      </c>
      <c r="D67" s="1555"/>
      <c r="E67" s="1555"/>
      <c r="G67" s="1117"/>
    </row>
    <row r="68" spans="1:7" s="6" customFormat="1" ht="12.75" customHeight="1">
      <c r="A68" s="462"/>
      <c r="C68" s="488" t="s">
        <v>24</v>
      </c>
      <c r="D68" s="489" t="s">
        <v>617</v>
      </c>
      <c r="E68" s="489" t="s">
        <v>618</v>
      </c>
      <c r="F68" s="490"/>
      <c r="G68" s="1130"/>
    </row>
    <row r="69" spans="1:7" s="6" customFormat="1" ht="12.75" customHeight="1">
      <c r="A69" s="462"/>
      <c r="C69" s="373" t="s">
        <v>619</v>
      </c>
      <c r="D69" s="373">
        <v>297</v>
      </c>
      <c r="E69" s="373">
        <v>0</v>
      </c>
      <c r="F69" s="483"/>
      <c r="G69" s="1131"/>
    </row>
    <row r="70" spans="1:7" s="6" customFormat="1" ht="12.75" customHeight="1">
      <c r="A70" s="462"/>
      <c r="C70" s="491" t="s">
        <v>27</v>
      </c>
      <c r="D70" s="491">
        <v>400</v>
      </c>
      <c r="E70" s="491">
        <v>378</v>
      </c>
      <c r="F70" s="483"/>
      <c r="G70" s="1131"/>
    </row>
    <row r="71" spans="1:7" s="6" customFormat="1" ht="12.75" customHeight="1">
      <c r="A71" s="462"/>
      <c r="C71" s="491" t="s">
        <v>28</v>
      </c>
      <c r="D71" s="491">
        <v>348</v>
      </c>
      <c r="E71" s="491">
        <v>0</v>
      </c>
      <c r="F71" s="483"/>
      <c r="G71" s="1131"/>
    </row>
    <row r="72" spans="1:7" s="6" customFormat="1" ht="12.75" customHeight="1">
      <c r="A72" s="462"/>
      <c r="C72" s="491" t="s">
        <v>620</v>
      </c>
      <c r="D72" s="491"/>
      <c r="E72" s="491">
        <v>0</v>
      </c>
      <c r="F72" s="483"/>
      <c r="G72" s="1131"/>
    </row>
    <row r="73" spans="1:7" s="6" customFormat="1" ht="12.75" customHeight="1">
      <c r="A73" s="462"/>
      <c r="C73" s="491" t="s">
        <v>1308</v>
      </c>
      <c r="D73" s="491"/>
      <c r="E73" s="491">
        <v>39</v>
      </c>
      <c r="F73" s="483"/>
      <c r="G73" s="1131"/>
    </row>
    <row r="74" spans="1:7" s="6" customFormat="1" ht="12.75" customHeight="1">
      <c r="A74" s="462"/>
      <c r="C74" s="491" t="s">
        <v>1309</v>
      </c>
      <c r="D74" s="491"/>
      <c r="E74" s="491">
        <v>164</v>
      </c>
      <c r="F74" s="483"/>
      <c r="G74" s="1131"/>
    </row>
    <row r="75" spans="1:7" s="6" customFormat="1" ht="12.75" customHeight="1">
      <c r="A75" s="462"/>
      <c r="C75" s="492" t="s">
        <v>29</v>
      </c>
      <c r="D75" s="492">
        <f>SUM(D69:D72)</f>
        <v>1045</v>
      </c>
      <c r="E75" s="492">
        <f>SUM(E69:E74)</f>
        <v>581</v>
      </c>
      <c r="F75" s="479"/>
      <c r="G75" s="1132"/>
    </row>
  </sheetData>
  <sheetProtection selectLockedCells="1" selectUnlockedCells="1"/>
  <mergeCells count="24">
    <mergeCell ref="A65:F65"/>
    <mergeCell ref="C3:G3"/>
    <mergeCell ref="C38:G38"/>
    <mergeCell ref="C64:I64"/>
    <mergeCell ref="A10:B12"/>
    <mergeCell ref="D10:D11"/>
    <mergeCell ref="D9:H9"/>
    <mergeCell ref="C67:E67"/>
    <mergeCell ref="A44:B46"/>
    <mergeCell ref="C44:C45"/>
    <mergeCell ref="A63:F63"/>
    <mergeCell ref="F10:F11"/>
    <mergeCell ref="G10:G11"/>
    <mergeCell ref="A62:F62"/>
    <mergeCell ref="H10:H11"/>
    <mergeCell ref="C10:C11"/>
    <mergeCell ref="A2:H2"/>
    <mergeCell ref="E10:E11"/>
    <mergeCell ref="A1:H1"/>
    <mergeCell ref="D43:I43"/>
    <mergeCell ref="A5:I6"/>
    <mergeCell ref="A37:I37"/>
    <mergeCell ref="A36:I36"/>
    <mergeCell ref="A39:I40"/>
  </mergeCells>
  <printOptions/>
  <pageMargins left="1.6534722222222222" right="0.2361111111111111" top="0.15763888888888888" bottom="0.15763888888888888" header="0.5118055555555555" footer="0.5118055555555555"/>
  <pageSetup firstPageNumber="1" useFirstPageNumber="1" horizontalDpi="300" verticalDpi="300" orientation="portrait" paperSize="9" scale="65" r:id="rId1"/>
  <rowBreaks count="1" manualBreakCount="1">
    <brk id="5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IV33"/>
  <sheetViews>
    <sheetView view="pageBreakPreview" zoomScaleSheetLayoutView="100" zoomScalePageLayoutView="0" workbookViewId="0" topLeftCell="A1">
      <selection activeCell="A3" sqref="A3:P3"/>
    </sheetView>
  </sheetViews>
  <sheetFormatPr defaultColWidth="11.7109375" defaultRowHeight="12.75" customHeight="1"/>
  <cols>
    <col min="1" max="1" width="27.140625" style="56" customWidth="1"/>
    <col min="2" max="2" width="12.7109375" style="56" customWidth="1"/>
    <col min="3" max="3" width="12.140625" style="56" customWidth="1"/>
    <col min="4" max="5" width="13.7109375" style="56" customWidth="1"/>
    <col min="6" max="6" width="12.57421875" style="216" customWidth="1"/>
    <col min="7" max="7" width="13.7109375" style="216" customWidth="1"/>
    <col min="8" max="8" width="14.7109375" style="56" customWidth="1"/>
    <col min="9" max="9" width="31.28125" style="56" customWidth="1"/>
    <col min="10" max="10" width="11.8515625" style="56" customWidth="1"/>
    <col min="11" max="11" width="10.140625" style="56" customWidth="1"/>
    <col min="12" max="13" width="13.7109375" style="56" customWidth="1"/>
    <col min="14" max="14" width="12.57421875" style="56" customWidth="1"/>
    <col min="15" max="15" width="13.7109375" style="56" customWidth="1"/>
    <col min="16" max="16" width="14.28125" style="56" customWidth="1"/>
    <col min="17" max="16384" width="11.7109375" style="56" customWidth="1"/>
  </cols>
  <sheetData>
    <row r="1" spans="1:16" s="217" customFormat="1" ht="12.75" customHeight="1">
      <c r="A1" s="1524"/>
      <c r="B1" s="1524"/>
      <c r="C1" s="1524"/>
      <c r="D1" s="1524"/>
      <c r="I1" s="1514" t="s">
        <v>621</v>
      </c>
      <c r="J1" s="1514"/>
      <c r="K1" s="1514"/>
      <c r="L1" s="1514"/>
      <c r="M1" s="1514"/>
      <c r="N1" s="1514"/>
      <c r="O1" s="1514"/>
      <c r="P1" s="1514"/>
    </row>
    <row r="2" spans="1:16" ht="12.75" customHeight="1">
      <c r="A2" s="1547" t="s">
        <v>1328</v>
      </c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</row>
    <row r="3" spans="1:16" ht="12.75" customHeight="1">
      <c r="A3" s="1547" t="s">
        <v>1329</v>
      </c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</row>
    <row r="4" spans="1:256" ht="12.75" customHeight="1">
      <c r="A4" s="1522" t="s">
        <v>622</v>
      </c>
      <c r="B4" s="1522"/>
      <c r="C4" s="1522"/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152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2"/>
      <c r="B5" s="12"/>
      <c r="C5" s="12"/>
      <c r="D5" s="12"/>
      <c r="E5"/>
      <c r="F5"/>
      <c r="G5"/>
      <c r="H5"/>
      <c r="I5" s="12"/>
      <c r="J5" s="12"/>
      <c r="K5" s="12"/>
      <c r="L5" s="12"/>
      <c r="M5" s="1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/>
      <c r="B6"/>
      <c r="C6"/>
      <c r="D6"/>
      <c r="E6"/>
      <c r="F6"/>
      <c r="G6" s="1555" t="s">
        <v>155</v>
      </c>
      <c r="H6" s="1555"/>
      <c r="I6"/>
      <c r="J6"/>
      <c r="K6"/>
      <c r="L6"/>
      <c r="M6"/>
      <c r="N6" s="1561" t="s">
        <v>155</v>
      </c>
      <c r="O6" s="1561"/>
      <c r="P6" s="1561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493" t="s">
        <v>623</v>
      </c>
      <c r="B7" s="494" t="s">
        <v>624</v>
      </c>
      <c r="C7" s="495" t="s">
        <v>625</v>
      </c>
      <c r="D7" s="495" t="s">
        <v>626</v>
      </c>
      <c r="E7" s="495" t="s">
        <v>627</v>
      </c>
      <c r="F7" s="495" t="s">
        <v>628</v>
      </c>
      <c r="G7" s="495" t="s">
        <v>629</v>
      </c>
      <c r="H7" s="496" t="s">
        <v>630</v>
      </c>
      <c r="I7" s="493" t="s">
        <v>78</v>
      </c>
      <c r="J7" s="494" t="s">
        <v>624</v>
      </c>
      <c r="K7" s="494" t="s">
        <v>625</v>
      </c>
      <c r="L7" s="494" t="s">
        <v>626</v>
      </c>
      <c r="M7" s="494" t="s">
        <v>627</v>
      </c>
      <c r="N7" s="494" t="s">
        <v>628</v>
      </c>
      <c r="O7" s="494" t="s">
        <v>629</v>
      </c>
      <c r="P7" s="496" t="s">
        <v>25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497" t="s">
        <v>631</v>
      </c>
      <c r="B8" s="290">
        <v>19070</v>
      </c>
      <c r="C8" s="302">
        <v>23391</v>
      </c>
      <c r="D8" s="168">
        <v>45938</v>
      </c>
      <c r="E8" s="168">
        <v>64788</v>
      </c>
      <c r="F8" s="168">
        <v>6754</v>
      </c>
      <c r="G8" s="168">
        <v>48819</v>
      </c>
      <c r="H8" s="498">
        <f aca="true" t="shared" si="0" ref="H8:H19">SUM(B8:G8)</f>
        <v>208760</v>
      </c>
      <c r="I8" s="497" t="s">
        <v>632</v>
      </c>
      <c r="J8" s="499">
        <v>7935</v>
      </c>
      <c r="K8" s="499"/>
      <c r="L8" s="499">
        <f>SUM('17 PMH'!I14)</f>
        <v>2407</v>
      </c>
      <c r="M8" s="500">
        <v>3309</v>
      </c>
      <c r="N8" s="500">
        <f>SUM('16 műv ház'!I16)</f>
        <v>330</v>
      </c>
      <c r="O8" s="499">
        <v>3047</v>
      </c>
      <c r="P8" s="1295">
        <f>SUM(J8:O8)</f>
        <v>17028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497" t="s">
        <v>633</v>
      </c>
      <c r="B9" s="290">
        <v>4461</v>
      </c>
      <c r="C9" s="302">
        <v>6147</v>
      </c>
      <c r="D9" s="168">
        <v>12636</v>
      </c>
      <c r="E9" s="168">
        <v>17780</v>
      </c>
      <c r="F9" s="168">
        <v>1824</v>
      </c>
      <c r="G9" s="168">
        <v>11558</v>
      </c>
      <c r="H9" s="498">
        <f t="shared" si="0"/>
        <v>54406</v>
      </c>
      <c r="I9" s="501" t="s">
        <v>78</v>
      </c>
      <c r="J9" s="302">
        <v>20623</v>
      </c>
      <c r="K9" s="302"/>
      <c r="L9" s="302">
        <v>633</v>
      </c>
      <c r="M9" s="168">
        <v>1733</v>
      </c>
      <c r="N9" s="168">
        <v>314</v>
      </c>
      <c r="O9" s="302">
        <v>22914</v>
      </c>
      <c r="P9" s="1296">
        <f aca="true" t="shared" si="1" ref="P9:P19">SUM(J9:O9)</f>
        <v>46217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497" t="s">
        <v>634</v>
      </c>
      <c r="B10" s="290">
        <v>75225</v>
      </c>
      <c r="C10" s="302">
        <v>5330</v>
      </c>
      <c r="D10" s="168">
        <v>11138</v>
      </c>
      <c r="E10" s="168">
        <v>23094</v>
      </c>
      <c r="F10" s="168">
        <v>5921</v>
      </c>
      <c r="G10" s="168">
        <v>45687</v>
      </c>
      <c r="H10" s="498">
        <f t="shared" si="0"/>
        <v>166395</v>
      </c>
      <c r="I10" s="501" t="s">
        <v>635</v>
      </c>
      <c r="J10" s="92">
        <v>168644</v>
      </c>
      <c r="K10" s="302"/>
      <c r="L10" s="302"/>
      <c r="M10" s="168"/>
      <c r="N10" s="168"/>
      <c r="O10" s="302"/>
      <c r="P10" s="1296">
        <f t="shared" si="1"/>
        <v>168644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497" t="s">
        <v>636</v>
      </c>
      <c r="B11" s="321">
        <v>256</v>
      </c>
      <c r="C11" s="502"/>
      <c r="D11" s="502"/>
      <c r="E11" s="502"/>
      <c r="F11" s="502"/>
      <c r="G11" s="502"/>
      <c r="H11" s="321">
        <f t="shared" si="0"/>
        <v>256</v>
      </c>
      <c r="I11" s="501" t="s">
        <v>188</v>
      </c>
      <c r="J11" s="302">
        <v>956</v>
      </c>
      <c r="K11" s="302"/>
      <c r="L11" s="302">
        <v>951</v>
      </c>
      <c r="M11" s="168">
        <v>1120</v>
      </c>
      <c r="N11" s="168"/>
      <c r="O11" s="302"/>
      <c r="P11" s="1296">
        <f t="shared" si="1"/>
        <v>3027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497" t="s">
        <v>213</v>
      </c>
      <c r="B12" s="321">
        <v>11585</v>
      </c>
      <c r="C12" s="321"/>
      <c r="D12" s="321"/>
      <c r="E12" s="321"/>
      <c r="F12" s="321"/>
      <c r="G12" s="321"/>
      <c r="H12" s="321">
        <f t="shared" si="0"/>
        <v>11585</v>
      </c>
      <c r="I12" s="501" t="s">
        <v>637</v>
      </c>
      <c r="J12" s="302"/>
      <c r="K12" s="302"/>
      <c r="L12" s="302"/>
      <c r="M12" s="168"/>
      <c r="N12" s="168"/>
      <c r="O12" s="302"/>
      <c r="P12" s="1296">
        <f t="shared" si="1"/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497" t="s">
        <v>638</v>
      </c>
      <c r="B13" s="321">
        <v>33572</v>
      </c>
      <c r="C13" s="321">
        <v>1002</v>
      </c>
      <c r="D13" s="321"/>
      <c r="E13" s="321"/>
      <c r="F13" s="321"/>
      <c r="G13" s="321"/>
      <c r="H13" s="321">
        <f t="shared" si="0"/>
        <v>34574</v>
      </c>
      <c r="I13" s="501" t="s">
        <v>639</v>
      </c>
      <c r="J13" s="302">
        <v>11934</v>
      </c>
      <c r="K13" s="302"/>
      <c r="L13" s="302"/>
      <c r="M13" s="168"/>
      <c r="N13" s="168"/>
      <c r="O13" s="302"/>
      <c r="P13" s="1296">
        <f t="shared" si="1"/>
        <v>11934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497" t="s">
        <v>127</v>
      </c>
      <c r="B14" s="321"/>
      <c r="C14" s="321"/>
      <c r="D14" s="321"/>
      <c r="E14" s="321"/>
      <c r="F14" s="321"/>
      <c r="G14" s="321"/>
      <c r="H14" s="321">
        <f t="shared" si="0"/>
        <v>0</v>
      </c>
      <c r="I14" s="501" t="s">
        <v>640</v>
      </c>
      <c r="J14" s="302">
        <v>19665</v>
      </c>
      <c r="K14" s="302"/>
      <c r="L14" s="302">
        <f>SUM('17 PMH'!G12)</f>
        <v>0</v>
      </c>
      <c r="M14" s="168"/>
      <c r="N14" s="168"/>
      <c r="O14" s="302">
        <f>'18VÜKI'!H13</f>
        <v>0</v>
      </c>
      <c r="P14" s="1296">
        <f t="shared" si="1"/>
        <v>19665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497" t="s">
        <v>641</v>
      </c>
      <c r="B15" s="321">
        <v>3228</v>
      </c>
      <c r="C15" s="321"/>
      <c r="D15" s="321"/>
      <c r="E15" s="321"/>
      <c r="F15" s="321"/>
      <c r="G15" s="321"/>
      <c r="H15" s="321">
        <f t="shared" si="0"/>
        <v>3228</v>
      </c>
      <c r="I15" s="501" t="s">
        <v>229</v>
      </c>
      <c r="J15" s="503">
        <v>185377</v>
      </c>
      <c r="K15" s="302"/>
      <c r="L15" s="443"/>
      <c r="M15" s="168"/>
      <c r="N15" s="168"/>
      <c r="O15" s="443"/>
      <c r="P15" s="1296">
        <f t="shared" si="1"/>
        <v>185377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497" t="s">
        <v>642</v>
      </c>
      <c r="B16" s="321"/>
      <c r="C16" s="321"/>
      <c r="D16" s="321"/>
      <c r="E16" s="321"/>
      <c r="F16" s="321"/>
      <c r="G16" s="321"/>
      <c r="H16" s="321">
        <f t="shared" si="0"/>
        <v>0</v>
      </c>
      <c r="I16" s="501" t="s">
        <v>643</v>
      </c>
      <c r="J16" s="503"/>
      <c r="K16" s="302">
        <v>4706</v>
      </c>
      <c r="L16" s="168">
        <v>57793</v>
      </c>
      <c r="M16" s="168">
        <v>78258</v>
      </c>
      <c r="N16" s="168">
        <v>4036</v>
      </c>
      <c r="O16" s="168">
        <v>33676</v>
      </c>
      <c r="P16" s="1296">
        <f t="shared" si="1"/>
        <v>178469</v>
      </c>
      <c r="Q16">
        <f>R43+R44</f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497" t="s">
        <v>644</v>
      </c>
      <c r="B17" s="321"/>
      <c r="C17" s="321"/>
      <c r="D17" s="321"/>
      <c r="E17" s="321"/>
      <c r="F17" s="321"/>
      <c r="G17" s="321"/>
      <c r="H17" s="321">
        <f t="shared" si="0"/>
        <v>0</v>
      </c>
      <c r="I17" s="501" t="s">
        <v>645</v>
      </c>
      <c r="J17" s="503"/>
      <c r="K17" s="302">
        <v>31164</v>
      </c>
      <c r="L17" s="302"/>
      <c r="M17" s="168"/>
      <c r="N17" s="168"/>
      <c r="O17" s="302"/>
      <c r="P17" s="1296">
        <f t="shared" si="1"/>
        <v>31164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497" t="s">
        <v>150</v>
      </c>
      <c r="B18" s="321">
        <v>3852</v>
      </c>
      <c r="C18" s="321"/>
      <c r="D18" s="321"/>
      <c r="E18" s="321"/>
      <c r="F18" s="321"/>
      <c r="G18" s="321"/>
      <c r="H18" s="321">
        <f t="shared" si="0"/>
        <v>3852</v>
      </c>
      <c r="I18" s="501" t="s">
        <v>646</v>
      </c>
      <c r="J18" s="302"/>
      <c r="K18" s="302"/>
      <c r="L18" s="302">
        <v>7928</v>
      </c>
      <c r="M18" s="168">
        <v>21242</v>
      </c>
      <c r="N18" s="168">
        <v>9819</v>
      </c>
      <c r="O18" s="302">
        <v>46427</v>
      </c>
      <c r="P18" s="472">
        <f t="shared" si="1"/>
        <v>85416</v>
      </c>
      <c r="Q18" s="26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497" t="s">
        <v>195</v>
      </c>
      <c r="B19" s="321"/>
      <c r="C19" s="321"/>
      <c r="D19" s="321"/>
      <c r="E19" s="321"/>
      <c r="F19" s="321"/>
      <c r="G19" s="321"/>
      <c r="H19" s="321">
        <f t="shared" si="0"/>
        <v>0</v>
      </c>
      <c r="I19" s="501" t="s">
        <v>195</v>
      </c>
      <c r="J19" s="302">
        <v>0</v>
      </c>
      <c r="K19" s="302"/>
      <c r="L19" s="302"/>
      <c r="M19" s="168"/>
      <c r="N19" s="168"/>
      <c r="O19" s="302"/>
      <c r="P19" s="472">
        <f t="shared" si="1"/>
        <v>0</v>
      </c>
      <c r="Q19" s="26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504" t="s">
        <v>630</v>
      </c>
      <c r="B20" s="505">
        <f aca="true" t="shared" si="2" ref="B20:G20">SUM(B8:B19)</f>
        <v>151249</v>
      </c>
      <c r="C20" s="505">
        <f>SUM(C8:C19)</f>
        <v>35870</v>
      </c>
      <c r="D20" s="505">
        <f t="shared" si="2"/>
        <v>69712</v>
      </c>
      <c r="E20" s="505">
        <f t="shared" si="2"/>
        <v>105662</v>
      </c>
      <c r="F20" s="505">
        <f t="shared" si="2"/>
        <v>14499</v>
      </c>
      <c r="G20" s="505">
        <f t="shared" si="2"/>
        <v>106064</v>
      </c>
      <c r="H20" s="505">
        <f>SUM(H8:H19)-H17</f>
        <v>483056</v>
      </c>
      <c r="I20" s="504" t="s">
        <v>630</v>
      </c>
      <c r="J20" s="506">
        <f>SUM(J8:J14)</f>
        <v>229757</v>
      </c>
      <c r="K20" s="506">
        <f>SUM(K8:K18)</f>
        <v>35870</v>
      </c>
      <c r="L20" s="506">
        <f>SUM(L8:L18)</f>
        <v>69712</v>
      </c>
      <c r="M20" s="506">
        <f>SUM(M8:M18)</f>
        <v>105662</v>
      </c>
      <c r="N20" s="506">
        <f>SUM(N8:N18)</f>
        <v>14499</v>
      </c>
      <c r="O20" s="506">
        <f>SUM(O8:O18)</f>
        <v>106064</v>
      </c>
      <c r="P20" s="506">
        <f>SUM(P8+P9+P10+P14+P15+P17+P19)+P11+P13</f>
        <v>483056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1560"/>
      <c r="B21" s="1560"/>
      <c r="C21" s="1560"/>
      <c r="D21" s="1560"/>
      <c r="E21" s="1560"/>
      <c r="F21" s="1560"/>
      <c r="G21" s="1560"/>
      <c r="H21" s="1560"/>
      <c r="I21" s="1560"/>
      <c r="J21" s="1560"/>
      <c r="K21" s="1560"/>
      <c r="L21" s="1560"/>
      <c r="M21" s="1560"/>
      <c r="N21" s="1560"/>
      <c r="O21" s="1560"/>
      <c r="P21" s="156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493" t="s">
        <v>15</v>
      </c>
      <c r="B22" s="507"/>
      <c r="C22" s="507"/>
      <c r="D22" s="507"/>
      <c r="E22" s="507"/>
      <c r="F22" s="507"/>
      <c r="G22" s="507"/>
      <c r="H22" s="507"/>
      <c r="I22" s="493" t="s">
        <v>13</v>
      </c>
      <c r="J22" s="507"/>
      <c r="K22" s="507"/>
      <c r="L22" s="507"/>
      <c r="M22" s="507"/>
      <c r="N22" s="507"/>
      <c r="O22" s="507"/>
      <c r="P22" s="507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 s="497" t="s">
        <v>587</v>
      </c>
      <c r="B23" s="321"/>
      <c r="C23" s="321"/>
      <c r="D23" s="321"/>
      <c r="E23" s="321"/>
      <c r="F23" s="321"/>
      <c r="G23" s="321"/>
      <c r="H23" s="321">
        <f aca="true" t="shared" si="3" ref="H23:H31">SUM(B23:G23)</f>
        <v>0</v>
      </c>
      <c r="I23" s="508" t="s">
        <v>647</v>
      </c>
      <c r="J23" s="321">
        <v>7399</v>
      </c>
      <c r="K23" s="321"/>
      <c r="L23" s="321"/>
      <c r="M23" s="321"/>
      <c r="N23" s="321"/>
      <c r="O23" s="321"/>
      <c r="P23" s="1293">
        <f aca="true" t="shared" si="4" ref="P23:P31">SUM(J23:O23)</f>
        <v>7399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497" t="s">
        <v>374</v>
      </c>
      <c r="B24" s="321">
        <v>97791</v>
      </c>
      <c r="C24" s="321">
        <v>152</v>
      </c>
      <c r="D24" s="498">
        <f>SUM('17 PMH'!I46)</f>
        <v>0</v>
      </c>
      <c r="E24" s="498">
        <v>1136</v>
      </c>
      <c r="F24" s="498">
        <v>363</v>
      </c>
      <c r="G24" s="321">
        <v>1767</v>
      </c>
      <c r="H24" s="1297">
        <f t="shared" si="3"/>
        <v>101209</v>
      </c>
      <c r="I24" s="1298" t="s">
        <v>648</v>
      </c>
      <c r="J24" s="1297"/>
      <c r="K24" s="321"/>
      <c r="L24" s="321"/>
      <c r="M24" s="321"/>
      <c r="N24" s="321"/>
      <c r="O24" s="321"/>
      <c r="P24" s="1293">
        <f t="shared" si="4"/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497" t="s">
        <v>649</v>
      </c>
      <c r="B25" s="321">
        <v>1577</v>
      </c>
      <c r="C25" s="321"/>
      <c r="D25" s="321"/>
      <c r="E25" s="321"/>
      <c r="F25" s="321"/>
      <c r="G25" s="321"/>
      <c r="H25" s="1297">
        <f t="shared" si="3"/>
        <v>1577</v>
      </c>
      <c r="I25" s="1298" t="s">
        <v>650</v>
      </c>
      <c r="J25" s="1297"/>
      <c r="K25" s="321"/>
      <c r="L25" s="321"/>
      <c r="M25" s="321"/>
      <c r="N25" s="321"/>
      <c r="O25" s="321"/>
      <c r="P25" s="1293">
        <f t="shared" si="4"/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497" t="s">
        <v>651</v>
      </c>
      <c r="B26" s="321"/>
      <c r="C26" s="321"/>
      <c r="D26" s="321"/>
      <c r="E26" s="321"/>
      <c r="F26" s="321"/>
      <c r="G26" s="321"/>
      <c r="H26" s="1297">
        <f t="shared" si="3"/>
        <v>0</v>
      </c>
      <c r="I26" s="1298" t="s">
        <v>652</v>
      </c>
      <c r="J26" s="1297"/>
      <c r="K26" s="321">
        <v>152</v>
      </c>
      <c r="L26" s="321">
        <v>0</v>
      </c>
      <c r="M26" s="498">
        <v>1136</v>
      </c>
      <c r="N26" s="321">
        <v>363</v>
      </c>
      <c r="O26" s="321">
        <v>1767</v>
      </c>
      <c r="P26" s="1293">
        <f t="shared" si="4"/>
        <v>3418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 customHeight="1">
      <c r="A27" s="497" t="s">
        <v>653</v>
      </c>
      <c r="B27" s="321"/>
      <c r="C27" s="321"/>
      <c r="D27" s="321"/>
      <c r="E27" s="321"/>
      <c r="F27" s="321"/>
      <c r="G27" s="321"/>
      <c r="H27" s="1297">
        <f t="shared" si="3"/>
        <v>0</v>
      </c>
      <c r="I27" s="1298" t="s">
        <v>654</v>
      </c>
      <c r="J27" s="1297">
        <v>80000</v>
      </c>
      <c r="K27" s="322"/>
      <c r="L27" s="322"/>
      <c r="M27" s="322"/>
      <c r="N27" s="322"/>
      <c r="O27" s="322"/>
      <c r="P27" s="1293">
        <f t="shared" si="4"/>
        <v>80000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6.5" customHeight="1">
      <c r="A28" s="497" t="s">
        <v>655</v>
      </c>
      <c r="B28" s="321"/>
      <c r="C28" s="321"/>
      <c r="D28" s="321"/>
      <c r="E28" s="321"/>
      <c r="F28" s="321"/>
      <c r="G28" s="321"/>
      <c r="H28" s="1297">
        <f t="shared" si="3"/>
        <v>0</v>
      </c>
      <c r="I28" s="1298" t="s">
        <v>656</v>
      </c>
      <c r="J28" s="1297">
        <v>859</v>
      </c>
      <c r="K28" s="321"/>
      <c r="L28" s="321"/>
      <c r="M28" s="321"/>
      <c r="N28" s="321"/>
      <c r="O28" s="321"/>
      <c r="P28" s="1293">
        <f t="shared" si="4"/>
        <v>859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 s="497" t="s">
        <v>243</v>
      </c>
      <c r="B29" s="321">
        <v>80000</v>
      </c>
      <c r="C29" s="321"/>
      <c r="D29" s="321"/>
      <c r="E29" s="321"/>
      <c r="F29" s="321"/>
      <c r="G29" s="321"/>
      <c r="H29" s="1297">
        <f t="shared" si="3"/>
        <v>80000</v>
      </c>
      <c r="I29" s="1298" t="s">
        <v>632</v>
      </c>
      <c r="J29" s="1297">
        <v>43131</v>
      </c>
      <c r="K29" s="321"/>
      <c r="L29" s="321"/>
      <c r="M29" s="321"/>
      <c r="N29" s="321"/>
      <c r="O29" s="321"/>
      <c r="P29" s="1293">
        <f t="shared" si="4"/>
        <v>43131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6.5" customHeight="1">
      <c r="A30" s="497" t="s">
        <v>657</v>
      </c>
      <c r="B30" s="321"/>
      <c r="C30" s="321"/>
      <c r="D30" s="321"/>
      <c r="E30" s="321"/>
      <c r="F30" s="321"/>
      <c r="G30" s="321"/>
      <c r="H30" s="1297">
        <f t="shared" si="3"/>
        <v>0</v>
      </c>
      <c r="I30" s="1298" t="s">
        <v>658</v>
      </c>
      <c r="J30" s="1297">
        <v>83258</v>
      </c>
      <c r="K30" s="321"/>
      <c r="L30" s="321"/>
      <c r="M30" s="321"/>
      <c r="N30" s="321">
        <v>0</v>
      </c>
      <c r="O30" s="321"/>
      <c r="P30" s="1293">
        <f t="shared" si="4"/>
        <v>83258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6.5" customHeight="1">
      <c r="A31" s="497" t="s">
        <v>16</v>
      </c>
      <c r="B31" s="321">
        <f>SUM('19 önkormányzat'!I163)</f>
        <v>33438</v>
      </c>
      <c r="C31" s="321"/>
      <c r="D31" s="321"/>
      <c r="E31" s="321"/>
      <c r="F31" s="321"/>
      <c r="G31" s="321"/>
      <c r="H31" s="1297">
        <f t="shared" si="3"/>
        <v>33438</v>
      </c>
      <c r="I31" s="1298" t="s">
        <v>935</v>
      </c>
      <c r="J31" s="1297">
        <v>1577</v>
      </c>
      <c r="K31" s="321"/>
      <c r="L31" s="321"/>
      <c r="M31" s="321"/>
      <c r="N31" s="321"/>
      <c r="O31" s="321"/>
      <c r="P31" s="1294">
        <f t="shared" si="4"/>
        <v>1577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504" t="s">
        <v>630</v>
      </c>
      <c r="B32" s="505">
        <f>SUM(B23:B31)</f>
        <v>212806</v>
      </c>
      <c r="C32" s="505">
        <f aca="true" t="shared" si="5" ref="C32:H32">SUM(C23:C31)</f>
        <v>152</v>
      </c>
      <c r="D32" s="505">
        <f t="shared" si="5"/>
        <v>0</v>
      </c>
      <c r="E32" s="505">
        <f t="shared" si="5"/>
        <v>1136</v>
      </c>
      <c r="F32" s="505">
        <f t="shared" si="5"/>
        <v>363</v>
      </c>
      <c r="G32" s="505">
        <f t="shared" si="5"/>
        <v>1767</v>
      </c>
      <c r="H32" s="505">
        <f t="shared" si="5"/>
        <v>216224</v>
      </c>
      <c r="I32" s="504" t="s">
        <v>630</v>
      </c>
      <c r="J32" s="505">
        <f aca="true" t="shared" si="6" ref="J32:O32">SUM(J23:J31)</f>
        <v>216224</v>
      </c>
      <c r="K32" s="505">
        <f t="shared" si="6"/>
        <v>152</v>
      </c>
      <c r="L32" s="505">
        <f t="shared" si="6"/>
        <v>0</v>
      </c>
      <c r="M32" s="505">
        <f t="shared" si="6"/>
        <v>1136</v>
      </c>
      <c r="N32" s="505">
        <f t="shared" si="6"/>
        <v>363</v>
      </c>
      <c r="O32" s="505">
        <f t="shared" si="6"/>
        <v>1767</v>
      </c>
      <c r="P32" s="505">
        <f>SUM(P23+P27+P28+P29+P30)+P31</f>
        <v>216224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6.5" customHeight="1">
      <c r="A33" s="493" t="s">
        <v>659</v>
      </c>
      <c r="B33" s="509">
        <f aca="true" t="shared" si="7" ref="B33:G33">SUM(B20+B32)</f>
        <v>364055</v>
      </c>
      <c r="C33" s="509">
        <f>SUM(C20+C32)</f>
        <v>36022</v>
      </c>
      <c r="D33" s="509">
        <f t="shared" si="7"/>
        <v>69712</v>
      </c>
      <c r="E33" s="509">
        <f t="shared" si="7"/>
        <v>106798</v>
      </c>
      <c r="F33" s="509">
        <f t="shared" si="7"/>
        <v>14862</v>
      </c>
      <c r="G33" s="509">
        <f t="shared" si="7"/>
        <v>107831</v>
      </c>
      <c r="H33" s="509">
        <f>SUM(H20+H32)</f>
        <v>699280</v>
      </c>
      <c r="I33" s="493" t="s">
        <v>660</v>
      </c>
      <c r="J33" s="509">
        <f aca="true" t="shared" si="8" ref="J33:O33">SUM(J20+J32)</f>
        <v>445981</v>
      </c>
      <c r="K33" s="509">
        <f t="shared" si="8"/>
        <v>36022</v>
      </c>
      <c r="L33" s="509">
        <f t="shared" si="8"/>
        <v>69712</v>
      </c>
      <c r="M33" s="509">
        <f t="shared" si="8"/>
        <v>106798</v>
      </c>
      <c r="N33" s="509">
        <f t="shared" si="8"/>
        <v>14862</v>
      </c>
      <c r="O33" s="509">
        <f t="shared" si="8"/>
        <v>107831</v>
      </c>
      <c r="P33" s="509">
        <f>SUM(P20+P32)</f>
        <v>699280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ht="18" customHeight="1"/>
    <row r="35" ht="20.25" customHeight="1"/>
    <row r="36" ht="20.25" customHeight="1"/>
    <row r="37" ht="20.25" customHeight="1"/>
    <row r="38" ht="20.25" customHeight="1"/>
  </sheetData>
  <sheetProtection selectLockedCells="1" selectUnlockedCells="1"/>
  <mergeCells count="9">
    <mergeCell ref="A21:H21"/>
    <mergeCell ref="I21:P21"/>
    <mergeCell ref="A1:D1"/>
    <mergeCell ref="I1:P1"/>
    <mergeCell ref="A2:P2"/>
    <mergeCell ref="A4:P4"/>
    <mergeCell ref="G6:H6"/>
    <mergeCell ref="N6:P6"/>
    <mergeCell ref="A3:P3"/>
  </mergeCells>
  <printOptions/>
  <pageMargins left="0.7875" right="0.7875" top="1.0631944444444446" bottom="1.0631944444444446" header="0.5118055555555555" footer="0.5118055555555555"/>
  <pageSetup horizontalDpi="300" verticalDpi="300" orientation="landscape" paperSize="9" scale="53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IV23"/>
  <sheetViews>
    <sheetView showGridLines="0" view="pageBreakPreview" zoomScale="120" zoomScaleSheetLayoutView="120" zoomScalePageLayoutView="0" workbookViewId="0" topLeftCell="A2">
      <selection activeCell="A3" sqref="A3:F3"/>
    </sheetView>
  </sheetViews>
  <sheetFormatPr defaultColWidth="11.7109375" defaultRowHeight="12.75" customHeight="1"/>
  <cols>
    <col min="1" max="1" width="6.421875" style="56" customWidth="1"/>
    <col min="2" max="2" width="23.7109375" style="56" customWidth="1"/>
    <col min="3" max="3" width="22.00390625" style="56" customWidth="1"/>
    <col min="4" max="5" width="10.7109375" style="56" customWidth="1"/>
    <col min="6" max="6" width="7.421875" style="216" customWidth="1"/>
    <col min="7" max="16384" width="11.7109375" style="56" customWidth="1"/>
  </cols>
  <sheetData>
    <row r="1" spans="1:6" s="217" customFormat="1" ht="18" customHeight="1">
      <c r="A1" s="1562" t="s">
        <v>916</v>
      </c>
      <c r="B1" s="1562"/>
      <c r="C1" s="1562"/>
      <c r="D1" s="1562"/>
      <c r="E1" s="1562"/>
      <c r="F1" s="1562"/>
    </row>
    <row r="2" spans="1:6" ht="12.75" customHeight="1">
      <c r="A2" s="1564" t="s">
        <v>1332</v>
      </c>
      <c r="B2" s="1564"/>
      <c r="C2" s="1564"/>
      <c r="D2" s="1564"/>
      <c r="E2" s="1564"/>
      <c r="F2" s="1564"/>
    </row>
    <row r="3" spans="1:6" ht="18" customHeight="1">
      <c r="A3" s="1700" t="s">
        <v>1333</v>
      </c>
      <c r="B3" s="1700"/>
      <c r="C3" s="1700"/>
      <c r="D3" s="1700"/>
      <c r="E3" s="1700"/>
      <c r="F3" s="1700"/>
    </row>
    <row r="4" spans="1:256" ht="29.25" customHeight="1">
      <c r="A4"/>
      <c r="B4" s="1552" t="s">
        <v>917</v>
      </c>
      <c r="C4" s="1552"/>
      <c r="D4" s="1552"/>
      <c r="E4" s="1552"/>
      <c r="F4" s="155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/>
      <c r="B5" s="966"/>
      <c r="C5" s="966"/>
      <c r="D5" s="966"/>
      <c r="E5" s="966"/>
      <c r="F5" s="966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/>
      <c r="B6" s="966"/>
      <c r="C6" s="966"/>
      <c r="D6" s="966"/>
      <c r="E6" s="966"/>
      <c r="F6" s="96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/>
      <c r="E7"/>
      <c r="F7" s="96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5" customHeight="1">
      <c r="A8" s="1563" t="s">
        <v>33</v>
      </c>
      <c r="B8" s="528" t="s">
        <v>24</v>
      </c>
      <c r="C8" s="968" t="s">
        <v>918</v>
      </c>
      <c r="D8" s="969" t="s">
        <v>919</v>
      </c>
      <c r="E8" s="969" t="s">
        <v>920</v>
      </c>
      <c r="F8" s="969" t="s">
        <v>25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563"/>
      <c r="B9" s="528" t="s">
        <v>163</v>
      </c>
      <c r="C9" s="968" t="s">
        <v>164</v>
      </c>
      <c r="D9" s="969" t="s">
        <v>165</v>
      </c>
      <c r="E9" s="969" t="s">
        <v>166</v>
      </c>
      <c r="F9" s="969" t="s">
        <v>167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970" t="s">
        <v>38</v>
      </c>
      <c r="B10" s="971" t="s">
        <v>921</v>
      </c>
      <c r="C10" s="972">
        <v>5</v>
      </c>
      <c r="D10" s="972">
        <v>1</v>
      </c>
      <c r="E10" s="972"/>
      <c r="F10" s="972">
        <f>SUM(C10:E10)</f>
        <v>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970" t="s">
        <v>40</v>
      </c>
      <c r="B11" s="973" t="s">
        <v>922</v>
      </c>
      <c r="C11" s="972"/>
      <c r="D11" s="972"/>
      <c r="E11" s="972"/>
      <c r="F11" s="972">
        <f>SUM(C11:E11)</f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970" t="s">
        <v>47</v>
      </c>
      <c r="B12" s="973" t="s">
        <v>923</v>
      </c>
      <c r="C12" s="972"/>
      <c r="D12" s="972"/>
      <c r="E12" s="972"/>
      <c r="F12" s="972">
        <f>SUM(C12:E12)</f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970" t="s">
        <v>49</v>
      </c>
      <c r="B13" s="973" t="s">
        <v>924</v>
      </c>
      <c r="C13" s="972"/>
      <c r="D13" s="972"/>
      <c r="E13" s="972"/>
      <c r="F13" s="972">
        <f>SUM(C13:E13)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970" t="s">
        <v>51</v>
      </c>
      <c r="B14" s="973" t="s">
        <v>925</v>
      </c>
      <c r="C14" s="972"/>
      <c r="D14" s="972"/>
      <c r="E14" s="972"/>
      <c r="F14" s="972">
        <f>SUM(C14:E14)</f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970"/>
      <c r="B15" s="973" t="s">
        <v>1310</v>
      </c>
      <c r="C15" s="972">
        <v>1</v>
      </c>
      <c r="D15" s="972"/>
      <c r="E15" s="972">
        <v>6</v>
      </c>
      <c r="F15" s="972">
        <v>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970" t="s">
        <v>53</v>
      </c>
      <c r="B16" s="974" t="s">
        <v>304</v>
      </c>
      <c r="C16" s="975">
        <f>SUM(C10:C15)</f>
        <v>6</v>
      </c>
      <c r="D16" s="975">
        <f>SUM(D10:D15)</f>
        <v>1</v>
      </c>
      <c r="E16" s="975">
        <f>SUM(E10:E15)</f>
        <v>6</v>
      </c>
      <c r="F16" s="975">
        <f>SUM(F10:F15)</f>
        <v>13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970" t="s">
        <v>55</v>
      </c>
      <c r="B17" s="973" t="s">
        <v>305</v>
      </c>
      <c r="C17" s="972">
        <v>14</v>
      </c>
      <c r="D17" s="972">
        <v>2</v>
      </c>
      <c r="E17" s="972"/>
      <c r="F17" s="972">
        <f>SUM(C17:E17)</f>
        <v>16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970" t="s">
        <v>57</v>
      </c>
      <c r="B18" s="973" t="s">
        <v>926</v>
      </c>
      <c r="C18" s="972">
        <v>17</v>
      </c>
      <c r="D18" s="972">
        <v>2</v>
      </c>
      <c r="E18" s="972"/>
      <c r="F18" s="972">
        <f>SUM(C18:E18)</f>
        <v>19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970" t="s">
        <v>86</v>
      </c>
      <c r="B19" s="973" t="s">
        <v>627</v>
      </c>
      <c r="C19" s="972">
        <v>23</v>
      </c>
      <c r="D19" s="972"/>
      <c r="E19" s="972"/>
      <c r="F19" s="972">
        <v>23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 s="970" t="s">
        <v>59</v>
      </c>
      <c r="B20" s="973" t="s">
        <v>927</v>
      </c>
      <c r="C20" s="972">
        <v>1</v>
      </c>
      <c r="D20" s="972">
        <v>2</v>
      </c>
      <c r="E20" s="972"/>
      <c r="F20" s="972">
        <f>SUM(C20:E20)</f>
        <v>3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>
      <c r="A21" s="970" t="s">
        <v>61</v>
      </c>
      <c r="B21" s="974" t="s">
        <v>630</v>
      </c>
      <c r="C21" s="975">
        <f>SUM(C16:C20)</f>
        <v>61</v>
      </c>
      <c r="D21" s="975">
        <f>SUM(D16:D20)</f>
        <v>7</v>
      </c>
      <c r="E21" s="975">
        <f>SUM(E16:E20)</f>
        <v>6</v>
      </c>
      <c r="F21" s="975">
        <f>SUM(F16:F20)</f>
        <v>74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" customHeight="1">
      <c r="A22" s="970" t="s">
        <v>63</v>
      </c>
      <c r="B22" s="973" t="s">
        <v>928</v>
      </c>
      <c r="C22" s="975">
        <v>12</v>
      </c>
      <c r="D22" s="975"/>
      <c r="E22" s="975"/>
      <c r="F22" s="975">
        <f>SUM(C22:E22)</f>
        <v>12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" customHeight="1">
      <c r="A23" s="970" t="s">
        <v>65</v>
      </c>
      <c r="B23" s="976" t="s">
        <v>929</v>
      </c>
      <c r="C23" s="536">
        <f>SUM(C21:C22)</f>
        <v>73</v>
      </c>
      <c r="D23" s="536">
        <f>SUM(D21:D22)</f>
        <v>7</v>
      </c>
      <c r="E23" s="536">
        <f>SUM(E21:E22)</f>
        <v>6</v>
      </c>
      <c r="F23" s="536">
        <f>SUM(F21:F22)</f>
        <v>86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selectLockedCells="1" selectUnlockedCells="1"/>
  <mergeCells count="5">
    <mergeCell ref="A1:F1"/>
    <mergeCell ref="B4:F4"/>
    <mergeCell ref="A8:A9"/>
    <mergeCell ref="A2:F2"/>
    <mergeCell ref="A3:F3"/>
  </mergeCells>
  <printOptions/>
  <pageMargins left="1.2902777777777779" right="0.2298611111111111" top="0.3902777777777778" bottom="0.15" header="0.5118055555555555" footer="0.5118055555555555"/>
  <pageSetup firstPageNumber="1" useFirstPageNumber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IV39"/>
  <sheetViews>
    <sheetView showGridLines="0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C8" sqref="C8"/>
    </sheetView>
  </sheetViews>
  <sheetFormatPr defaultColWidth="11.7109375" defaultRowHeight="12.75" customHeight="1"/>
  <cols>
    <col min="1" max="1" width="21.7109375" style="56" customWidth="1"/>
    <col min="2" max="2" width="13.57421875" style="56" customWidth="1"/>
    <col min="3" max="5" width="11.28125" style="56" customWidth="1"/>
    <col min="6" max="6" width="11.28125" style="216" customWidth="1"/>
    <col min="7" max="7" width="11.00390625" style="56" customWidth="1"/>
    <col min="8" max="13" width="11.28125" style="56" customWidth="1"/>
    <col min="14" max="14" width="15.57421875" style="56" customWidth="1"/>
    <col min="15" max="25" width="10.7109375" style="56" customWidth="1"/>
    <col min="26" max="16384" width="11.7109375" style="56" customWidth="1"/>
  </cols>
  <sheetData>
    <row r="1" spans="9:14" s="217" customFormat="1" ht="18" customHeight="1">
      <c r="I1" s="1565" t="s">
        <v>661</v>
      </c>
      <c r="J1" s="1565"/>
      <c r="K1" s="1565"/>
      <c r="L1" s="1565"/>
      <c r="M1" s="1565"/>
      <c r="N1" s="1565"/>
    </row>
    <row r="2" spans="1:14" ht="12.75" customHeight="1">
      <c r="A2" s="1547" t="s">
        <v>1330</v>
      </c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</row>
    <row r="3" spans="1:5" ht="6.75" customHeight="1">
      <c r="A3" s="460"/>
      <c r="B3" s="461"/>
      <c r="C3" s="461"/>
      <c r="D3" s="461"/>
      <c r="E3" s="461"/>
    </row>
    <row r="4" spans="1:13" ht="18.75" customHeight="1">
      <c r="A4" s="1700" t="s">
        <v>1331</v>
      </c>
      <c r="B4" s="1700"/>
      <c r="C4" s="1700"/>
      <c r="D4" s="1700"/>
      <c r="E4" s="1700"/>
      <c r="F4" s="1700"/>
      <c r="G4" s="1700"/>
      <c r="H4" s="1700"/>
      <c r="I4" s="1700"/>
      <c r="J4" s="1700"/>
      <c r="K4" s="1700"/>
      <c r="L4" s="1700"/>
      <c r="M4" s="1700"/>
    </row>
    <row r="5" spans="1:256" ht="12.75" customHeight="1">
      <c r="A5" s="1566" t="s">
        <v>662</v>
      </c>
      <c r="B5" s="1566"/>
      <c r="C5" s="1566"/>
      <c r="D5" s="1566"/>
      <c r="E5" s="1566"/>
      <c r="F5" s="1566"/>
      <c r="G5" s="1566"/>
      <c r="H5" s="1566"/>
      <c r="I5" s="1566"/>
      <c r="J5" s="1566"/>
      <c r="K5" s="1566"/>
      <c r="L5" s="1566"/>
      <c r="M5" s="1566"/>
      <c r="N5" s="156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566"/>
      <c r="B6" s="1566"/>
      <c r="C6" s="1566"/>
      <c r="D6" s="1566"/>
      <c r="E6" s="1566"/>
      <c r="F6" s="1566"/>
      <c r="G6" s="1566"/>
      <c r="H6" s="1566"/>
      <c r="I6" s="1566"/>
      <c r="J6" s="1566"/>
      <c r="K6" s="1566"/>
      <c r="L6" s="1566"/>
      <c r="M6" s="1566"/>
      <c r="N6" s="156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510"/>
      <c r="B7" s="510"/>
      <c r="C7" s="510"/>
      <c r="D7" s="510"/>
      <c r="E7" s="510"/>
      <c r="F7" s="510"/>
      <c r="G7" s="510"/>
      <c r="H7" s="510"/>
      <c r="I7" s="510"/>
      <c r="J7" s="510"/>
      <c r="K7" s="510"/>
      <c r="L7"/>
      <c r="M7" s="1567" t="s">
        <v>663</v>
      </c>
      <c r="N7" s="156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511" t="s">
        <v>24</v>
      </c>
      <c r="B8" s="512" t="s">
        <v>664</v>
      </c>
      <c r="C8" s="512" t="s">
        <v>665</v>
      </c>
      <c r="D8" s="512" t="s">
        <v>666</v>
      </c>
      <c r="E8" s="512" t="s">
        <v>667</v>
      </c>
      <c r="F8" s="512" t="s">
        <v>668</v>
      </c>
      <c r="G8" s="512" t="s">
        <v>669</v>
      </c>
      <c r="H8" s="512" t="s">
        <v>670</v>
      </c>
      <c r="I8" s="512" t="s">
        <v>671</v>
      </c>
      <c r="J8" s="512" t="s">
        <v>672</v>
      </c>
      <c r="K8" s="512" t="s">
        <v>673</v>
      </c>
      <c r="L8" s="512" t="s">
        <v>674</v>
      </c>
      <c r="M8" s="512" t="s">
        <v>675</v>
      </c>
      <c r="N8" s="513" t="s">
        <v>676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514" t="s">
        <v>157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6">
        <f aca="true" t="shared" si="0" ref="N9:N20">SUM(B9:M9)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517" t="s">
        <v>281</v>
      </c>
      <c r="B10" s="515">
        <v>3851</v>
      </c>
      <c r="C10" s="515">
        <v>3851</v>
      </c>
      <c r="D10" s="515">
        <v>3851</v>
      </c>
      <c r="E10" s="515">
        <v>3851</v>
      </c>
      <c r="F10" s="515">
        <v>3851</v>
      </c>
      <c r="G10" s="515">
        <v>3851</v>
      </c>
      <c r="H10" s="515">
        <v>3851</v>
      </c>
      <c r="I10" s="515">
        <v>3851</v>
      </c>
      <c r="J10" s="515">
        <v>3851</v>
      </c>
      <c r="K10" s="515">
        <v>3851</v>
      </c>
      <c r="L10" s="515">
        <v>3851</v>
      </c>
      <c r="M10" s="515">
        <v>3856</v>
      </c>
      <c r="N10" s="516">
        <f t="shared" si="0"/>
        <v>46217</v>
      </c>
      <c r="O10"/>
      <c r="P10" s="266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517" t="s">
        <v>677</v>
      </c>
      <c r="B11" s="515">
        <v>14054</v>
      </c>
      <c r="C11" s="515">
        <v>14054</v>
      </c>
      <c r="D11" s="515">
        <v>14054</v>
      </c>
      <c r="E11" s="515">
        <v>14054</v>
      </c>
      <c r="F11" s="515">
        <v>14054</v>
      </c>
      <c r="G11" s="515">
        <v>14054</v>
      </c>
      <c r="H11" s="515">
        <v>14054</v>
      </c>
      <c r="I11" s="515">
        <v>14054</v>
      </c>
      <c r="J11" s="515">
        <v>14054</v>
      </c>
      <c r="K11" s="515">
        <v>14054</v>
      </c>
      <c r="L11" s="515">
        <v>14054</v>
      </c>
      <c r="M11" s="515">
        <v>14050</v>
      </c>
      <c r="N11" s="516">
        <f t="shared" si="0"/>
        <v>168644</v>
      </c>
      <c r="O11"/>
      <c r="P11" s="26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517" t="s">
        <v>678</v>
      </c>
      <c r="B12" s="515">
        <v>4488</v>
      </c>
      <c r="C12" s="515">
        <v>4488</v>
      </c>
      <c r="D12" s="515">
        <v>4488</v>
      </c>
      <c r="E12" s="515">
        <v>4488</v>
      </c>
      <c r="F12" s="515">
        <v>4488</v>
      </c>
      <c r="G12" s="515">
        <v>4488</v>
      </c>
      <c r="H12" s="515">
        <v>4488</v>
      </c>
      <c r="I12" s="515">
        <v>4488</v>
      </c>
      <c r="J12" s="515">
        <v>4488</v>
      </c>
      <c r="K12" s="515">
        <v>4488</v>
      </c>
      <c r="L12" s="515">
        <v>4488</v>
      </c>
      <c r="M12" s="515">
        <v>4488</v>
      </c>
      <c r="N12" s="516">
        <f t="shared" si="0"/>
        <v>53856</v>
      </c>
      <c r="O12" s="518"/>
      <c r="P12" s="269"/>
      <c r="Q12" s="51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517" t="s">
        <v>229</v>
      </c>
      <c r="B13" s="515">
        <v>15448</v>
      </c>
      <c r="C13" s="515">
        <v>15448</v>
      </c>
      <c r="D13" s="515">
        <v>15448</v>
      </c>
      <c r="E13" s="515">
        <v>15448</v>
      </c>
      <c r="F13" s="515">
        <v>15448</v>
      </c>
      <c r="G13" s="515">
        <v>15448</v>
      </c>
      <c r="H13" s="515">
        <v>15448</v>
      </c>
      <c r="I13" s="515">
        <v>15448</v>
      </c>
      <c r="J13" s="515">
        <v>15448</v>
      </c>
      <c r="K13" s="515">
        <v>15448</v>
      </c>
      <c r="L13" s="515">
        <v>15448</v>
      </c>
      <c r="M13" s="515">
        <v>15449</v>
      </c>
      <c r="N13" s="516">
        <f t="shared" si="0"/>
        <v>185377</v>
      </c>
      <c r="O13" s="520"/>
      <c r="P13" s="26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517" t="s">
        <v>183</v>
      </c>
      <c r="B14" s="515">
        <v>72</v>
      </c>
      <c r="C14" s="515">
        <v>72</v>
      </c>
      <c r="D14" s="515">
        <v>72</v>
      </c>
      <c r="E14" s="515">
        <v>72</v>
      </c>
      <c r="F14" s="515">
        <v>72</v>
      </c>
      <c r="G14" s="515">
        <v>72</v>
      </c>
      <c r="H14" s="515">
        <v>72</v>
      </c>
      <c r="I14" s="515">
        <v>72</v>
      </c>
      <c r="J14" s="515">
        <v>72</v>
      </c>
      <c r="K14" s="515">
        <v>72</v>
      </c>
      <c r="L14" s="515">
        <v>72</v>
      </c>
      <c r="M14" s="515">
        <v>67</v>
      </c>
      <c r="N14" s="516">
        <f t="shared" si="0"/>
        <v>859</v>
      </c>
      <c r="O14" s="520"/>
      <c r="P14" s="26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517" t="s">
        <v>13</v>
      </c>
      <c r="B15" s="515">
        <v>0</v>
      </c>
      <c r="C15" s="515">
        <v>0</v>
      </c>
      <c r="D15" s="515">
        <v>7399</v>
      </c>
      <c r="E15" s="515">
        <v>0</v>
      </c>
      <c r="F15" s="515">
        <v>0</v>
      </c>
      <c r="G15" s="515">
        <v>0</v>
      </c>
      <c r="H15" s="515">
        <v>0</v>
      </c>
      <c r="I15" s="515">
        <v>0</v>
      </c>
      <c r="J15" s="515">
        <v>0</v>
      </c>
      <c r="K15" s="515">
        <v>0</v>
      </c>
      <c r="L15" s="515">
        <v>0</v>
      </c>
      <c r="M15" s="515">
        <v>0</v>
      </c>
      <c r="N15" s="516">
        <f t="shared" si="0"/>
        <v>7399</v>
      </c>
      <c r="O15" s="444"/>
      <c r="P15" s="26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8.5" customHeight="1">
      <c r="A16" s="517" t="s">
        <v>680</v>
      </c>
      <c r="B16" s="56">
        <v>6938</v>
      </c>
      <c r="C16" s="515">
        <v>6938</v>
      </c>
      <c r="D16" s="515">
        <v>6938</v>
      </c>
      <c r="E16" s="515">
        <v>6938</v>
      </c>
      <c r="F16" s="515">
        <v>6938</v>
      </c>
      <c r="G16" s="515">
        <v>6938</v>
      </c>
      <c r="H16" s="515">
        <v>6938</v>
      </c>
      <c r="I16" s="515">
        <v>6938</v>
      </c>
      <c r="J16" s="515">
        <v>6938</v>
      </c>
      <c r="K16" s="515">
        <v>6938</v>
      </c>
      <c r="L16" s="515">
        <v>6938</v>
      </c>
      <c r="M16" s="515">
        <v>8517</v>
      </c>
      <c r="N16" s="516">
        <f t="shared" si="0"/>
        <v>84835</v>
      </c>
      <c r="O16" s="444"/>
      <c r="P16" s="26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1.5" customHeight="1">
      <c r="A17" s="517" t="s">
        <v>679</v>
      </c>
      <c r="B17" s="515"/>
      <c r="C17" s="515"/>
      <c r="D17" s="515"/>
      <c r="E17" s="515"/>
      <c r="F17" s="515"/>
      <c r="G17" s="515">
        <v>80000</v>
      </c>
      <c r="H17" s="515"/>
      <c r="I17" s="515"/>
      <c r="J17" s="515"/>
      <c r="K17" s="515"/>
      <c r="L17" s="515"/>
      <c r="M17" s="515"/>
      <c r="N17" s="516">
        <f t="shared" si="0"/>
        <v>80000</v>
      </c>
      <c r="O17" s="444"/>
      <c r="P17" s="26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.75" customHeight="1">
      <c r="A18" s="517" t="s">
        <v>194</v>
      </c>
      <c r="B18" s="515">
        <v>995</v>
      </c>
      <c r="C18" s="515">
        <v>995</v>
      </c>
      <c r="D18" s="515">
        <v>995</v>
      </c>
      <c r="E18" s="515">
        <v>995</v>
      </c>
      <c r="F18" s="515">
        <v>995</v>
      </c>
      <c r="G18" s="515">
        <v>995</v>
      </c>
      <c r="H18" s="515">
        <v>995</v>
      </c>
      <c r="I18" s="515">
        <v>995</v>
      </c>
      <c r="J18" s="515">
        <v>995</v>
      </c>
      <c r="K18" s="515">
        <v>995</v>
      </c>
      <c r="L18" s="515">
        <v>995</v>
      </c>
      <c r="M18" s="515">
        <v>989</v>
      </c>
      <c r="N18" s="516">
        <f t="shared" si="0"/>
        <v>11934</v>
      </c>
      <c r="O18" s="444"/>
      <c r="P18" s="26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517" t="s">
        <v>230</v>
      </c>
      <c r="B19" s="515">
        <v>2792</v>
      </c>
      <c r="C19" s="515">
        <v>5014</v>
      </c>
      <c r="D19" s="515">
        <v>3683</v>
      </c>
      <c r="E19" s="515">
        <v>5259</v>
      </c>
      <c r="F19" s="515">
        <v>5456</v>
      </c>
      <c r="G19" s="515">
        <v>5259</v>
      </c>
      <c r="H19" s="515">
        <v>5259</v>
      </c>
      <c r="I19" s="515">
        <v>5259</v>
      </c>
      <c r="J19" s="515">
        <v>5259</v>
      </c>
      <c r="K19" s="515">
        <v>6392</v>
      </c>
      <c r="L19" s="515">
        <v>5261</v>
      </c>
      <c r="M19" s="515">
        <v>5266</v>
      </c>
      <c r="N19" s="516">
        <f t="shared" si="0"/>
        <v>60159</v>
      </c>
      <c r="O19" s="518"/>
      <c r="P19" s="26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517" t="s">
        <v>681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6">
        <f t="shared" si="0"/>
        <v>0</v>
      </c>
      <c r="O20" s="518"/>
      <c r="P20" s="269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customHeight="1">
      <c r="A21" s="521" t="s">
        <v>682</v>
      </c>
      <c r="B21" s="15">
        <f aca="true" t="shared" si="1" ref="B21:M21">SUM(B9:B19)</f>
        <v>48638</v>
      </c>
      <c r="C21" s="15">
        <f t="shared" si="1"/>
        <v>50860</v>
      </c>
      <c r="D21" s="15">
        <f t="shared" si="1"/>
        <v>56928</v>
      </c>
      <c r="E21" s="15">
        <f t="shared" si="1"/>
        <v>51105</v>
      </c>
      <c r="F21" s="15">
        <f t="shared" si="1"/>
        <v>51302</v>
      </c>
      <c r="G21" s="15">
        <f t="shared" si="1"/>
        <v>131105</v>
      </c>
      <c r="H21" s="15">
        <f t="shared" si="1"/>
        <v>51105</v>
      </c>
      <c r="I21" s="15">
        <f t="shared" si="1"/>
        <v>51105</v>
      </c>
      <c r="J21" s="15">
        <f t="shared" si="1"/>
        <v>51105</v>
      </c>
      <c r="K21" s="15">
        <f t="shared" si="1"/>
        <v>52238</v>
      </c>
      <c r="L21" s="15">
        <f t="shared" si="1"/>
        <v>51107</v>
      </c>
      <c r="M21" s="15">
        <f t="shared" si="1"/>
        <v>52682</v>
      </c>
      <c r="N21" s="522">
        <f>SUM(N9:N20)</f>
        <v>699280</v>
      </c>
      <c r="O21" s="523"/>
      <c r="P21" s="26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>
      <c r="A22" s="514" t="s">
        <v>119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468"/>
      <c r="O22" s="444"/>
      <c r="P22" s="26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>
      <c r="A23" s="517" t="s">
        <v>683</v>
      </c>
      <c r="B23" s="515">
        <v>35797</v>
      </c>
      <c r="C23" s="515">
        <v>35797</v>
      </c>
      <c r="D23" s="515">
        <v>35797</v>
      </c>
      <c r="E23" s="515">
        <v>35797</v>
      </c>
      <c r="F23" s="515">
        <v>35797</v>
      </c>
      <c r="G23" s="515">
        <v>35797</v>
      </c>
      <c r="H23" s="515">
        <v>35797</v>
      </c>
      <c r="I23" s="515">
        <v>35797</v>
      </c>
      <c r="J23" s="515">
        <v>35797</v>
      </c>
      <c r="K23" s="515">
        <v>35797</v>
      </c>
      <c r="L23" s="515">
        <v>35797</v>
      </c>
      <c r="M23" s="515">
        <v>35794</v>
      </c>
      <c r="N23" s="1118">
        <f aca="true" t="shared" si="2" ref="N23:N32">SUM(B23:M23)</f>
        <v>429561</v>
      </c>
      <c r="O23" s="520"/>
      <c r="P23" s="26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517" t="s">
        <v>684</v>
      </c>
      <c r="B24" s="515">
        <v>2531</v>
      </c>
      <c r="C24" s="515">
        <v>2531</v>
      </c>
      <c r="D24" s="515">
        <v>2531</v>
      </c>
      <c r="E24" s="515">
        <v>2531</v>
      </c>
      <c r="F24" s="515">
        <v>2531</v>
      </c>
      <c r="G24" s="515">
        <v>2531</v>
      </c>
      <c r="H24" s="515">
        <v>2531</v>
      </c>
      <c r="I24" s="515">
        <v>2531</v>
      </c>
      <c r="J24" s="515">
        <v>2531</v>
      </c>
      <c r="K24" s="515">
        <v>2531</v>
      </c>
      <c r="L24" s="515">
        <v>2531</v>
      </c>
      <c r="M24" s="515">
        <v>2533</v>
      </c>
      <c r="N24" s="1118">
        <f t="shared" si="2"/>
        <v>30374</v>
      </c>
      <c r="O24" s="444"/>
      <c r="P24" s="26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517" t="s">
        <v>685</v>
      </c>
      <c r="B25" s="515">
        <v>350</v>
      </c>
      <c r="C25" s="515">
        <v>350</v>
      </c>
      <c r="D25" s="515">
        <v>350</v>
      </c>
      <c r="E25" s="515">
        <v>350</v>
      </c>
      <c r="F25" s="515">
        <v>350</v>
      </c>
      <c r="G25" s="515">
        <v>350</v>
      </c>
      <c r="H25" s="515">
        <v>350</v>
      </c>
      <c r="I25" s="515">
        <v>350</v>
      </c>
      <c r="J25" s="515">
        <v>350</v>
      </c>
      <c r="K25" s="515">
        <v>350</v>
      </c>
      <c r="L25" s="515">
        <v>350</v>
      </c>
      <c r="M25" s="515">
        <v>350</v>
      </c>
      <c r="N25" s="1118">
        <f t="shared" si="2"/>
        <v>4200</v>
      </c>
      <c r="O25"/>
      <c r="P25" s="26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.75" customHeight="1">
      <c r="A26" s="517" t="s">
        <v>641</v>
      </c>
      <c r="B26" s="515">
        <v>269</v>
      </c>
      <c r="C26" s="515">
        <v>269</v>
      </c>
      <c r="D26" s="515">
        <v>269</v>
      </c>
      <c r="E26" s="515">
        <v>269</v>
      </c>
      <c r="F26" s="515">
        <v>269</v>
      </c>
      <c r="G26" s="515">
        <v>269</v>
      </c>
      <c r="H26" s="515">
        <v>269</v>
      </c>
      <c r="I26" s="515">
        <v>269</v>
      </c>
      <c r="J26" s="515">
        <v>269</v>
      </c>
      <c r="K26" s="515">
        <v>269</v>
      </c>
      <c r="L26" s="515">
        <v>269</v>
      </c>
      <c r="M26" s="515">
        <v>269</v>
      </c>
      <c r="N26" s="1118">
        <f t="shared" si="2"/>
        <v>3228</v>
      </c>
      <c r="O26"/>
      <c r="P26" s="26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517" t="s">
        <v>345</v>
      </c>
      <c r="B27" s="515">
        <v>5559</v>
      </c>
      <c r="C27" s="515">
        <v>7840</v>
      </c>
      <c r="D27" s="515">
        <v>13908</v>
      </c>
      <c r="E27" s="515">
        <v>8085</v>
      </c>
      <c r="F27" s="515">
        <v>8085</v>
      </c>
      <c r="G27" s="515">
        <v>8085</v>
      </c>
      <c r="H27" s="515">
        <v>8085</v>
      </c>
      <c r="I27" s="515">
        <v>8085</v>
      </c>
      <c r="J27" s="515">
        <v>8085</v>
      </c>
      <c r="K27" s="515">
        <v>9218</v>
      </c>
      <c r="L27" s="515">
        <v>8087</v>
      </c>
      <c r="M27" s="515">
        <v>9664</v>
      </c>
      <c r="N27" s="1118">
        <f t="shared" si="2"/>
        <v>102786</v>
      </c>
      <c r="O27"/>
      <c r="P27" s="266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517" t="s">
        <v>213</v>
      </c>
      <c r="B28" s="515">
        <v>965</v>
      </c>
      <c r="C28" s="515">
        <v>965</v>
      </c>
      <c r="D28" s="515">
        <v>965</v>
      </c>
      <c r="E28" s="515">
        <v>965</v>
      </c>
      <c r="F28" s="515">
        <v>965</v>
      </c>
      <c r="G28" s="515">
        <v>965</v>
      </c>
      <c r="H28" s="515">
        <v>965</v>
      </c>
      <c r="I28" s="515">
        <v>965</v>
      </c>
      <c r="J28" s="515">
        <v>965</v>
      </c>
      <c r="K28" s="515">
        <v>965</v>
      </c>
      <c r="L28" s="515">
        <v>965</v>
      </c>
      <c r="M28" s="515">
        <v>970</v>
      </c>
      <c r="N28" s="1118">
        <f t="shared" si="2"/>
        <v>11585</v>
      </c>
      <c r="O28"/>
      <c r="P28" s="266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8.25" customHeight="1">
      <c r="A29" s="517" t="s">
        <v>243</v>
      </c>
      <c r="B29" s="515"/>
      <c r="C29" s="515"/>
      <c r="D29" s="515"/>
      <c r="E29" s="515"/>
      <c r="F29" s="515"/>
      <c r="G29" s="515">
        <v>80000</v>
      </c>
      <c r="H29" s="515"/>
      <c r="I29" s="515"/>
      <c r="J29" s="515"/>
      <c r="K29" s="515"/>
      <c r="L29" s="515"/>
      <c r="M29" s="515"/>
      <c r="N29" s="1118">
        <f t="shared" si="2"/>
        <v>80000</v>
      </c>
      <c r="O29"/>
      <c r="P29" s="266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517" t="s">
        <v>150</v>
      </c>
      <c r="B30" s="524">
        <v>3108</v>
      </c>
      <c r="C30" s="524">
        <v>3108</v>
      </c>
      <c r="D30" s="524">
        <v>3108</v>
      </c>
      <c r="E30" s="524">
        <v>3108</v>
      </c>
      <c r="F30" s="524">
        <v>3108</v>
      </c>
      <c r="G30" s="524">
        <v>3108</v>
      </c>
      <c r="H30" s="524">
        <v>3108</v>
      </c>
      <c r="I30" s="524">
        <v>3108</v>
      </c>
      <c r="J30" s="524">
        <v>3108</v>
      </c>
      <c r="K30" s="524">
        <v>3108</v>
      </c>
      <c r="L30" s="524">
        <v>3108</v>
      </c>
      <c r="M30" s="524">
        <v>3102</v>
      </c>
      <c r="N30" s="1119">
        <f t="shared" si="2"/>
        <v>37290</v>
      </c>
      <c r="O30"/>
      <c r="P30" s="26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517" t="s">
        <v>686</v>
      </c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1118">
        <f t="shared" si="2"/>
        <v>0</v>
      </c>
      <c r="O31"/>
      <c r="P31" s="26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517" t="s">
        <v>238</v>
      </c>
      <c r="B32" s="515">
        <v>59</v>
      </c>
      <c r="C32" s="515"/>
      <c r="D32" s="515"/>
      <c r="E32" s="515"/>
      <c r="F32" s="515">
        <v>197</v>
      </c>
      <c r="G32" s="515"/>
      <c r="H32" s="515"/>
      <c r="I32" s="515"/>
      <c r="J32" s="515"/>
      <c r="K32" s="515"/>
      <c r="L32" s="515"/>
      <c r="M32" s="515"/>
      <c r="N32" s="1118">
        <f t="shared" si="2"/>
        <v>256</v>
      </c>
      <c r="O32"/>
      <c r="P32" s="26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521" t="s">
        <v>687</v>
      </c>
      <c r="B33" s="15">
        <f>SUM(B23:B32)</f>
        <v>48638</v>
      </c>
      <c r="C33" s="15">
        <f>SUM(C23:C30)</f>
        <v>50860</v>
      </c>
      <c r="D33" s="15">
        <f>SUM(D23:D30)</f>
        <v>56928</v>
      </c>
      <c r="E33" s="15">
        <f>SUM(E23:E30)</f>
        <v>51105</v>
      </c>
      <c r="F33" s="15">
        <f>SUM(F23:F32)</f>
        <v>51302</v>
      </c>
      <c r="G33" s="15">
        <f aca="true" t="shared" si="3" ref="G33:M33">SUM(G23:G30)</f>
        <v>131105</v>
      </c>
      <c r="H33" s="15">
        <f t="shared" si="3"/>
        <v>51105</v>
      </c>
      <c r="I33" s="15">
        <f t="shared" si="3"/>
        <v>51105</v>
      </c>
      <c r="J33" s="15">
        <f t="shared" si="3"/>
        <v>51105</v>
      </c>
      <c r="K33" s="15">
        <f t="shared" si="3"/>
        <v>52238</v>
      </c>
      <c r="L33" s="15">
        <f t="shared" si="3"/>
        <v>51107</v>
      </c>
      <c r="M33" s="15">
        <f t="shared" si="3"/>
        <v>52682</v>
      </c>
      <c r="N33" s="15">
        <f>SUM(N23:N32)</f>
        <v>699280</v>
      </c>
      <c r="O33" s="12"/>
      <c r="P33" s="266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517" t="s">
        <v>688</v>
      </c>
      <c r="B34" s="92">
        <f aca="true" t="shared" si="4" ref="B34:N34">SUM(B21-B33)</f>
        <v>0</v>
      </c>
      <c r="C34" s="92">
        <f t="shared" si="4"/>
        <v>0</v>
      </c>
      <c r="D34" s="92">
        <f t="shared" si="4"/>
        <v>0</v>
      </c>
      <c r="E34" s="92">
        <f t="shared" si="4"/>
        <v>0</v>
      </c>
      <c r="F34" s="92">
        <f t="shared" si="4"/>
        <v>0</v>
      </c>
      <c r="G34" s="92">
        <f t="shared" si="4"/>
        <v>0</v>
      </c>
      <c r="H34" s="92">
        <f t="shared" si="4"/>
        <v>0</v>
      </c>
      <c r="I34" s="92">
        <f t="shared" si="4"/>
        <v>0</v>
      </c>
      <c r="J34" s="92">
        <f t="shared" si="4"/>
        <v>0</v>
      </c>
      <c r="K34" s="92">
        <f t="shared" si="4"/>
        <v>0</v>
      </c>
      <c r="L34" s="92">
        <f t="shared" si="4"/>
        <v>0</v>
      </c>
      <c r="M34" s="92">
        <f t="shared" si="4"/>
        <v>0</v>
      </c>
      <c r="N34" s="92">
        <f t="shared" si="4"/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525" t="s">
        <v>689</v>
      </c>
      <c r="B35" s="526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7">
        <f>SUM(N33:N34)</f>
        <v>699280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/>
      <c r="B36"/>
      <c r="C36"/>
      <c r="D36" s="26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9" ht="12.75" customHeight="1">
      <c r="N39" s="56">
        <f>N21-N35</f>
        <v>0</v>
      </c>
    </row>
  </sheetData>
  <sheetProtection selectLockedCells="1" selectUnlockedCells="1"/>
  <mergeCells count="5">
    <mergeCell ref="I1:N1"/>
    <mergeCell ref="A2:N2"/>
    <mergeCell ref="A5:N6"/>
    <mergeCell ref="M7:N7"/>
    <mergeCell ref="A4:M4"/>
  </mergeCells>
  <printOptions/>
  <pageMargins left="0.5597222222222222" right="0.2298611111111111" top="0.5201388888888889" bottom="0.15" header="0.5118055555555555" footer="0.5118055555555555"/>
  <pageSetup firstPageNumber="1" useFirstPageNumber="1" horizontalDpi="300" verticalDpi="3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M97"/>
  <sheetViews>
    <sheetView view="pageBreakPreview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5.00390625" style="1135" customWidth="1"/>
    <col min="2" max="2" width="15.57421875" style="0" customWidth="1"/>
    <col min="3" max="3" width="76.140625" style="0" customWidth="1"/>
    <col min="4" max="4" width="10.00390625" style="0" customWidth="1"/>
    <col min="5" max="5" width="6.57421875" style="0" customWidth="1"/>
    <col min="6" max="6" width="11.00390625" style="0" customWidth="1"/>
    <col min="7" max="7" width="18.8515625" style="1134" customWidth="1"/>
    <col min="9" max="9" width="15.28125" style="1134" bestFit="1" customWidth="1"/>
    <col min="11" max="11" width="16.28125" style="0" bestFit="1" customWidth="1"/>
    <col min="13" max="13" width="15.7109375" style="0" customWidth="1"/>
  </cols>
  <sheetData>
    <row r="1" spans="1:9" s="12" customFormat="1" ht="15">
      <c r="A1" s="1133"/>
      <c r="F1" s="1571" t="s">
        <v>943</v>
      </c>
      <c r="G1" s="1571"/>
      <c r="I1" s="1134"/>
    </row>
    <row r="2" spans="1:7" ht="12.75">
      <c r="A2" s="1572" t="s">
        <v>1334</v>
      </c>
      <c r="B2" s="1572"/>
      <c r="C2" s="1572"/>
      <c r="D2" s="1572"/>
      <c r="E2" s="1572"/>
      <c r="F2" s="1572"/>
      <c r="G2" s="1572"/>
    </row>
    <row r="3" ht="12.75">
      <c r="C3" t="s">
        <v>1335</v>
      </c>
    </row>
    <row r="4" spans="1:9" s="12" customFormat="1" ht="15.75">
      <c r="A4" s="1573" t="s">
        <v>944</v>
      </c>
      <c r="B4" s="1573"/>
      <c r="C4" s="1573"/>
      <c r="D4" s="1573"/>
      <c r="E4" s="1573"/>
      <c r="F4" s="1573"/>
      <c r="G4" s="1573"/>
      <c r="I4" s="1134"/>
    </row>
    <row r="6" ht="13.5" thickBot="1"/>
    <row r="7" spans="1:9" s="12" customFormat="1" ht="16.5" thickBot="1">
      <c r="A7" s="1133"/>
      <c r="C7" s="12" t="s">
        <v>945</v>
      </c>
      <c r="G7" s="1136">
        <f>SUM(G34+G62+G85+G97)</f>
        <v>178325594</v>
      </c>
      <c r="I7" s="1134"/>
    </row>
    <row r="8" ht="12.75">
      <c r="A8" s="1135" t="s">
        <v>946</v>
      </c>
    </row>
    <row r="9" spans="1:9" s="1133" customFormat="1" ht="25.5">
      <c r="A9" s="1137" t="s">
        <v>33</v>
      </c>
      <c r="B9" s="1138" t="s">
        <v>947</v>
      </c>
      <c r="C9" s="1138" t="s">
        <v>948</v>
      </c>
      <c r="D9" s="1137" t="s">
        <v>949</v>
      </c>
      <c r="E9" s="1138" t="s">
        <v>950</v>
      </c>
      <c r="F9" s="1137" t="s">
        <v>951</v>
      </c>
      <c r="G9" s="1139" t="s">
        <v>952</v>
      </c>
      <c r="I9" s="1140"/>
    </row>
    <row r="10" spans="1:7" ht="12.75">
      <c r="A10" s="1141" t="s">
        <v>953</v>
      </c>
      <c r="B10" s="1142" t="s">
        <v>954</v>
      </c>
      <c r="C10" s="1142" t="s">
        <v>955</v>
      </c>
      <c r="D10" s="1142" t="s">
        <v>956</v>
      </c>
      <c r="E10" s="1143">
        <v>15.61</v>
      </c>
      <c r="F10" s="1144">
        <v>4580000</v>
      </c>
      <c r="G10" s="1145">
        <v>71493800</v>
      </c>
    </row>
    <row r="11" spans="1:7" ht="12.75">
      <c r="A11" s="1138" t="s">
        <v>957</v>
      </c>
      <c r="B11" s="1146" t="s">
        <v>958</v>
      </c>
      <c r="C11" s="1146" t="s">
        <v>959</v>
      </c>
      <c r="D11" s="1146" t="s">
        <v>960</v>
      </c>
      <c r="E11" s="1146"/>
      <c r="F11" s="1146"/>
      <c r="G11" s="1145">
        <v>57792517</v>
      </c>
    </row>
    <row r="12" spans="1:7" ht="12.75">
      <c r="A12" s="1574" t="s">
        <v>961</v>
      </c>
      <c r="B12" s="1574"/>
      <c r="C12" s="1574"/>
      <c r="D12" s="1574"/>
      <c r="E12" s="1574"/>
      <c r="F12" s="1574"/>
      <c r="G12" s="1574"/>
    </row>
    <row r="13" spans="1:7" ht="12.75">
      <c r="A13" s="1141" t="s">
        <v>962</v>
      </c>
      <c r="B13" s="1142" t="s">
        <v>963</v>
      </c>
      <c r="C13" s="1142" t="s">
        <v>964</v>
      </c>
      <c r="D13" s="1142" t="s">
        <v>960</v>
      </c>
      <c r="E13" s="1142"/>
      <c r="F13" s="1142"/>
      <c r="G13" s="1145">
        <v>14870770</v>
      </c>
    </row>
    <row r="14" spans="1:9" s="12" customFormat="1" ht="12.75">
      <c r="A14" s="1138" t="s">
        <v>965</v>
      </c>
      <c r="B14" s="1146" t="s">
        <v>966</v>
      </c>
      <c r="C14" s="1146" t="s">
        <v>967</v>
      </c>
      <c r="D14" s="1146" t="s">
        <v>960</v>
      </c>
      <c r="E14" s="1146"/>
      <c r="F14" s="1146"/>
      <c r="G14" s="1145">
        <v>0</v>
      </c>
      <c r="I14" s="1134"/>
    </row>
    <row r="15" spans="1:7" ht="12.75">
      <c r="A15" s="1141" t="s">
        <v>968</v>
      </c>
      <c r="B15" s="1142" t="s">
        <v>969</v>
      </c>
      <c r="C15" s="1142" t="s">
        <v>970</v>
      </c>
      <c r="D15" s="1142" t="s">
        <v>971</v>
      </c>
      <c r="E15" s="1142"/>
      <c r="F15" s="1144">
        <v>22300</v>
      </c>
      <c r="G15" s="1145">
        <v>4007310</v>
      </c>
    </row>
    <row r="16" spans="1:9" s="12" customFormat="1" ht="12.75">
      <c r="A16" s="1138" t="s">
        <v>972</v>
      </c>
      <c r="B16" s="1146" t="s">
        <v>973</v>
      </c>
      <c r="C16" s="1146" t="s">
        <v>974</v>
      </c>
      <c r="D16" s="1146" t="s">
        <v>960</v>
      </c>
      <c r="E16" s="1146"/>
      <c r="F16" s="1147">
        <v>22300</v>
      </c>
      <c r="G16" s="1145">
        <v>0</v>
      </c>
      <c r="I16" s="1134"/>
    </row>
    <row r="17" spans="1:7" ht="12.75">
      <c r="A17" s="1141" t="s">
        <v>975</v>
      </c>
      <c r="B17" s="1142" t="s">
        <v>976</v>
      </c>
      <c r="C17" s="1142" t="s">
        <v>977</v>
      </c>
      <c r="D17" s="1142" t="s">
        <v>978</v>
      </c>
      <c r="E17" s="1142"/>
      <c r="F17" s="1142"/>
      <c r="G17" s="1145">
        <v>7136000</v>
      </c>
    </row>
    <row r="18" spans="1:9" s="12" customFormat="1" ht="12.75">
      <c r="A18" s="1138" t="s">
        <v>979</v>
      </c>
      <c r="B18" s="1146" t="s">
        <v>980</v>
      </c>
      <c r="C18" s="1146" t="s">
        <v>981</v>
      </c>
      <c r="D18" s="1146" t="s">
        <v>960</v>
      </c>
      <c r="E18" s="1146"/>
      <c r="F18" s="1146"/>
      <c r="G18" s="1145">
        <v>0</v>
      </c>
      <c r="I18" s="1134"/>
    </row>
    <row r="19" spans="1:7" ht="12.75">
      <c r="A19" s="1141" t="s">
        <v>982</v>
      </c>
      <c r="B19" s="1142" t="s">
        <v>983</v>
      </c>
      <c r="C19" s="1142" t="s">
        <v>984</v>
      </c>
      <c r="D19" s="1142" t="s">
        <v>985</v>
      </c>
      <c r="E19" s="1142"/>
      <c r="F19" s="1142"/>
      <c r="G19" s="1145">
        <v>100000</v>
      </c>
    </row>
    <row r="20" spans="1:9" s="12" customFormat="1" ht="12.75">
      <c r="A20" s="1138" t="s">
        <v>986</v>
      </c>
      <c r="B20" s="1146" t="s">
        <v>987</v>
      </c>
      <c r="C20" s="1146" t="s">
        <v>988</v>
      </c>
      <c r="D20" s="1146" t="s">
        <v>960</v>
      </c>
      <c r="E20" s="1146"/>
      <c r="F20" s="1146"/>
      <c r="G20" s="1145">
        <v>0</v>
      </c>
      <c r="I20" s="1134"/>
    </row>
    <row r="21" spans="1:7" ht="12.75">
      <c r="A21" s="1141" t="s">
        <v>989</v>
      </c>
      <c r="B21" s="1142" t="s">
        <v>990</v>
      </c>
      <c r="C21" s="1142" t="s">
        <v>991</v>
      </c>
      <c r="D21" s="1142" t="s">
        <v>978</v>
      </c>
      <c r="E21" s="1142"/>
      <c r="F21" s="1142"/>
      <c r="G21" s="1145">
        <v>3627460</v>
      </c>
    </row>
    <row r="22" spans="1:9" s="12" customFormat="1" ht="12.75">
      <c r="A22" s="1138" t="s">
        <v>992</v>
      </c>
      <c r="B22" s="1146" t="s">
        <v>993</v>
      </c>
      <c r="C22" s="1146" t="s">
        <v>994</v>
      </c>
      <c r="D22" s="1146" t="s">
        <v>960</v>
      </c>
      <c r="E22" s="1146"/>
      <c r="F22" s="1146"/>
      <c r="G22" s="1145">
        <v>0</v>
      </c>
      <c r="I22" s="1134"/>
    </row>
    <row r="23" spans="1:7" ht="12.75">
      <c r="A23" s="1141" t="s">
        <v>995</v>
      </c>
      <c r="B23" s="1142" t="s">
        <v>996</v>
      </c>
      <c r="C23" s="1142" t="s">
        <v>997</v>
      </c>
      <c r="D23" s="1142" t="s">
        <v>998</v>
      </c>
      <c r="E23" s="1142"/>
      <c r="F23" s="1144">
        <v>2700</v>
      </c>
      <c r="G23" s="1145">
        <v>9539100</v>
      </c>
    </row>
    <row r="24" spans="1:9" s="12" customFormat="1" ht="12.75">
      <c r="A24" s="1138" t="s">
        <v>999</v>
      </c>
      <c r="B24" s="1146" t="s">
        <v>1000</v>
      </c>
      <c r="C24" s="1146" t="s">
        <v>1001</v>
      </c>
      <c r="D24" s="1146" t="s">
        <v>960</v>
      </c>
      <c r="E24" s="1146"/>
      <c r="F24" s="1147">
        <v>2700</v>
      </c>
      <c r="G24" s="1145">
        <v>0</v>
      </c>
      <c r="I24" s="1134"/>
    </row>
    <row r="25" spans="1:7" ht="25.5">
      <c r="A25" s="1141" t="s">
        <v>1002</v>
      </c>
      <c r="B25" s="1142" t="s">
        <v>1003</v>
      </c>
      <c r="C25" s="1142" t="s">
        <v>1004</v>
      </c>
      <c r="D25" s="1148" t="s">
        <v>1005</v>
      </c>
      <c r="E25" s="1142"/>
      <c r="F25" s="1144">
        <v>2550</v>
      </c>
      <c r="G25" s="1145">
        <v>359550</v>
      </c>
    </row>
    <row r="26" spans="1:9" s="12" customFormat="1" ht="12.75">
      <c r="A26" s="1138" t="s">
        <v>1006</v>
      </c>
      <c r="B26" s="1146" t="s">
        <v>1007</v>
      </c>
      <c r="C26" s="1146" t="s">
        <v>1008</v>
      </c>
      <c r="D26" s="1146" t="s">
        <v>960</v>
      </c>
      <c r="E26" s="1146"/>
      <c r="F26" s="1147">
        <v>2550</v>
      </c>
      <c r="G26" s="1145">
        <v>0</v>
      </c>
      <c r="I26" s="1134"/>
    </row>
    <row r="27" spans="1:7" ht="38.25">
      <c r="A27" s="1141" t="s">
        <v>1009</v>
      </c>
      <c r="B27" s="1142" t="s">
        <v>1010</v>
      </c>
      <c r="C27" s="1142" t="s">
        <v>1011</v>
      </c>
      <c r="D27" s="1148" t="s">
        <v>1012</v>
      </c>
      <c r="E27" s="1142"/>
      <c r="F27" s="1144">
        <v>1.55</v>
      </c>
      <c r="G27" s="1145">
        <v>0</v>
      </c>
    </row>
    <row r="28" spans="1:9" s="12" customFormat="1" ht="12.75">
      <c r="A28" s="1138" t="s">
        <v>1013</v>
      </c>
      <c r="B28" s="1146" t="s">
        <v>1014</v>
      </c>
      <c r="C28" s="1146" t="s">
        <v>1015</v>
      </c>
      <c r="D28" s="1146" t="s">
        <v>960</v>
      </c>
      <c r="E28" s="1146"/>
      <c r="F28" s="1149">
        <v>1.55</v>
      </c>
      <c r="G28" s="1145">
        <v>0</v>
      </c>
      <c r="I28" s="1134"/>
    </row>
    <row r="29" spans="1:7" ht="12.75">
      <c r="A29" s="1141" t="s">
        <v>1016</v>
      </c>
      <c r="B29" s="1142" t="s">
        <v>1017</v>
      </c>
      <c r="C29" s="1142" t="s">
        <v>1018</v>
      </c>
      <c r="D29" s="1142" t="s">
        <v>960</v>
      </c>
      <c r="E29" s="1142"/>
      <c r="F29" s="1142"/>
      <c r="G29" s="1145">
        <v>57792517</v>
      </c>
    </row>
    <row r="30" spans="1:7" ht="12.75">
      <c r="A30" s="1141" t="s">
        <v>1019</v>
      </c>
      <c r="B30" s="1142" t="s">
        <v>1020</v>
      </c>
      <c r="C30" s="1142" t="s">
        <v>1021</v>
      </c>
      <c r="D30" s="1142" t="s">
        <v>960</v>
      </c>
      <c r="E30" s="1142"/>
      <c r="F30" s="1142"/>
      <c r="G30" s="1145">
        <v>38470703</v>
      </c>
    </row>
    <row r="31" spans="1:7" ht="25.5">
      <c r="A31" s="1141" t="s">
        <v>1022</v>
      </c>
      <c r="B31" s="1148" t="s">
        <v>1023</v>
      </c>
      <c r="C31" s="1142" t="s">
        <v>1024</v>
      </c>
      <c r="D31" s="1142" t="s">
        <v>960</v>
      </c>
      <c r="E31" s="1142"/>
      <c r="F31" s="1142"/>
      <c r="G31" s="1145">
        <v>0</v>
      </c>
    </row>
    <row r="32" spans="1:7" ht="12.75">
      <c r="A32" s="1141" t="s">
        <v>1025</v>
      </c>
      <c r="B32" s="1142" t="s">
        <v>1026</v>
      </c>
      <c r="C32" s="1142" t="s">
        <v>1027</v>
      </c>
      <c r="D32" s="1142" t="s">
        <v>1028</v>
      </c>
      <c r="E32" s="1144">
        <v>355</v>
      </c>
      <c r="F32" s="1144">
        <v>100</v>
      </c>
      <c r="G32" s="1145">
        <v>35500</v>
      </c>
    </row>
    <row r="33" spans="1:7" ht="12.75">
      <c r="A33" s="1141">
        <v>23</v>
      </c>
      <c r="B33" s="1142" t="s">
        <v>1029</v>
      </c>
      <c r="C33" s="1142" t="s">
        <v>1030</v>
      </c>
      <c r="D33" s="1142"/>
      <c r="E33" s="1144"/>
      <c r="F33" s="1144"/>
      <c r="G33" s="1145">
        <v>180594</v>
      </c>
    </row>
    <row r="34" spans="1:9" s="12" customFormat="1" ht="31.5">
      <c r="A34" s="1150" t="s">
        <v>1031</v>
      </c>
      <c r="B34" s="1151" t="s">
        <v>1032</v>
      </c>
      <c r="C34" s="1152" t="s">
        <v>1033</v>
      </c>
      <c r="D34" s="1151" t="s">
        <v>960</v>
      </c>
      <c r="E34" s="1151"/>
      <c r="F34" s="1151"/>
      <c r="G34" s="1153">
        <v>58008611</v>
      </c>
      <c r="I34" s="1134"/>
    </row>
    <row r="35" spans="1:7" ht="12.75">
      <c r="A35" s="1568" t="s">
        <v>1034</v>
      </c>
      <c r="B35" s="1569"/>
      <c r="C35" s="1569"/>
      <c r="D35" s="1569"/>
      <c r="E35" s="1569"/>
      <c r="F35" s="1569"/>
      <c r="G35" s="1570"/>
    </row>
    <row r="36" spans="1:7" ht="12.75">
      <c r="A36" s="1141" t="s">
        <v>1035</v>
      </c>
      <c r="B36" s="1142" t="s">
        <v>1036</v>
      </c>
      <c r="C36" s="1142" t="s">
        <v>1037</v>
      </c>
      <c r="D36" s="1142" t="s">
        <v>998</v>
      </c>
      <c r="E36" s="1154">
        <v>9.1</v>
      </c>
      <c r="F36" s="1144">
        <v>4308000</v>
      </c>
      <c r="G36" s="1145">
        <v>28432800</v>
      </c>
    </row>
    <row r="37" spans="1:7" ht="12.75">
      <c r="A37" s="1141" t="s">
        <v>1038</v>
      </c>
      <c r="B37" s="1142" t="s">
        <v>1039</v>
      </c>
      <c r="C37" s="1142" t="s">
        <v>1040</v>
      </c>
      <c r="D37" s="1142" t="s">
        <v>998</v>
      </c>
      <c r="E37" s="1154">
        <v>6</v>
      </c>
      <c r="F37" s="1144">
        <v>1800000</v>
      </c>
      <c r="G37" s="1145">
        <v>7200000</v>
      </c>
    </row>
    <row r="38" spans="1:7" ht="12.75">
      <c r="A38" s="1141" t="s">
        <v>1041</v>
      </c>
      <c r="B38" s="1142" t="s">
        <v>1042</v>
      </c>
      <c r="C38" s="1142" t="s">
        <v>1043</v>
      </c>
      <c r="D38" s="1142" t="s">
        <v>998</v>
      </c>
      <c r="E38" s="1154">
        <v>1</v>
      </c>
      <c r="F38" s="1144">
        <v>4308000</v>
      </c>
      <c r="G38" s="1145">
        <v>2872000</v>
      </c>
    </row>
    <row r="39" spans="1:7" ht="12.75">
      <c r="A39" s="1141" t="s">
        <v>1044</v>
      </c>
      <c r="B39" s="1142" t="s">
        <v>1045</v>
      </c>
      <c r="C39" s="1142" t="s">
        <v>1037</v>
      </c>
      <c r="D39" s="1142" t="s">
        <v>998</v>
      </c>
      <c r="E39" s="1154">
        <v>9</v>
      </c>
      <c r="F39" s="1144">
        <v>4308000</v>
      </c>
      <c r="G39" s="1145">
        <v>14216400</v>
      </c>
    </row>
    <row r="40" spans="1:7" ht="12.75">
      <c r="A40" s="1141" t="s">
        <v>1046</v>
      </c>
      <c r="B40" s="1142" t="s">
        <v>1047</v>
      </c>
      <c r="C40" s="1142" t="s">
        <v>1040</v>
      </c>
      <c r="D40" s="1142" t="s">
        <v>998</v>
      </c>
      <c r="E40" s="1154">
        <v>6</v>
      </c>
      <c r="F40" s="1144">
        <v>1800000</v>
      </c>
      <c r="G40" s="1145">
        <v>3600000</v>
      </c>
    </row>
    <row r="41" spans="1:7" ht="12.75">
      <c r="A41" s="1141" t="s">
        <v>1048</v>
      </c>
      <c r="B41" s="1142" t="s">
        <v>1049</v>
      </c>
      <c r="C41" s="1142" t="s">
        <v>1043</v>
      </c>
      <c r="D41" s="1142" t="s">
        <v>998</v>
      </c>
      <c r="E41" s="1154">
        <v>1</v>
      </c>
      <c r="F41" s="1144">
        <v>4308000</v>
      </c>
      <c r="G41" s="1145">
        <v>1436000</v>
      </c>
    </row>
    <row r="42" spans="1:7" ht="12.75">
      <c r="A42" s="1141" t="s">
        <v>1050</v>
      </c>
      <c r="B42" s="1142" t="s">
        <v>1051</v>
      </c>
      <c r="C42" s="1142" t="s">
        <v>1052</v>
      </c>
      <c r="D42" s="1142" t="s">
        <v>998</v>
      </c>
      <c r="E42" s="1154">
        <v>9</v>
      </c>
      <c r="F42" s="1144">
        <v>35000</v>
      </c>
      <c r="G42" s="1145">
        <v>346500</v>
      </c>
    </row>
    <row r="43" spans="1:7" ht="12.75">
      <c r="A43" s="1141" t="s">
        <v>1053</v>
      </c>
      <c r="B43" s="1142" t="s">
        <v>1054</v>
      </c>
      <c r="C43" s="1142" t="s">
        <v>1055</v>
      </c>
      <c r="D43" s="1142" t="s">
        <v>998</v>
      </c>
      <c r="E43" s="1154">
        <v>1</v>
      </c>
      <c r="F43" s="1144">
        <v>35000</v>
      </c>
      <c r="G43" s="1145">
        <v>35000</v>
      </c>
    </row>
    <row r="44" spans="1:7" ht="12.75">
      <c r="A44" s="1575" t="s">
        <v>1056</v>
      </c>
      <c r="B44" s="1575"/>
      <c r="C44" s="1575"/>
      <c r="D44" s="1575"/>
      <c r="E44" s="1575"/>
      <c r="F44" s="1575"/>
      <c r="G44" s="1575"/>
    </row>
    <row r="45" spans="1:7" ht="12.75">
      <c r="A45" s="1141" t="s">
        <v>1057</v>
      </c>
      <c r="B45" s="1142" t="s">
        <v>1058</v>
      </c>
      <c r="C45" s="1142" t="s">
        <v>1059</v>
      </c>
      <c r="D45" s="1142" t="s">
        <v>998</v>
      </c>
      <c r="E45" s="1144">
        <v>0</v>
      </c>
      <c r="F45" s="1144">
        <v>80000</v>
      </c>
      <c r="G45" s="1145">
        <v>0</v>
      </c>
    </row>
    <row r="46" spans="1:7" ht="12.75">
      <c r="A46" s="1141" t="s">
        <v>1060</v>
      </c>
      <c r="B46" s="1142" t="s">
        <v>1061</v>
      </c>
      <c r="C46" s="1142" t="s">
        <v>1062</v>
      </c>
      <c r="D46" s="1142" t="s">
        <v>998</v>
      </c>
      <c r="E46" s="1144">
        <v>97</v>
      </c>
      <c r="F46" s="1144">
        <v>80000</v>
      </c>
      <c r="G46" s="1145">
        <v>5653333</v>
      </c>
    </row>
    <row r="47" spans="1:7" ht="12.75">
      <c r="A47" s="1141" t="s">
        <v>1063</v>
      </c>
      <c r="B47" s="1142" t="s">
        <v>1064</v>
      </c>
      <c r="C47" s="1142" t="s">
        <v>1059</v>
      </c>
      <c r="D47" s="1142" t="s">
        <v>998</v>
      </c>
      <c r="E47" s="1144">
        <v>0</v>
      </c>
      <c r="F47" s="1144">
        <v>80000</v>
      </c>
      <c r="G47" s="1145">
        <v>0</v>
      </c>
    </row>
    <row r="48" spans="1:7" ht="12.75">
      <c r="A48" s="1141" t="s">
        <v>1065</v>
      </c>
      <c r="B48" s="1142" t="s">
        <v>1066</v>
      </c>
      <c r="C48" s="1142" t="s">
        <v>1062</v>
      </c>
      <c r="D48" s="1142" t="s">
        <v>998</v>
      </c>
      <c r="E48" s="1142">
        <v>98</v>
      </c>
      <c r="F48" s="1142">
        <v>80000</v>
      </c>
      <c r="G48" s="1145">
        <v>2826667</v>
      </c>
    </row>
    <row r="49" spans="1:7" ht="12.75">
      <c r="A49" s="1568" t="s">
        <v>1067</v>
      </c>
      <c r="B49" s="1569"/>
      <c r="C49" s="1569"/>
      <c r="D49" s="1569"/>
      <c r="E49" s="1569"/>
      <c r="F49" s="1569"/>
      <c r="G49" s="1570"/>
    </row>
    <row r="50" spans="1:7" ht="12.75">
      <c r="A50" s="1141" t="s">
        <v>1068</v>
      </c>
      <c r="B50" s="1142" t="s">
        <v>1069</v>
      </c>
      <c r="C50" s="1142" t="s">
        <v>1070</v>
      </c>
      <c r="D50" s="1142" t="s">
        <v>998</v>
      </c>
      <c r="E50" s="1142">
        <v>0</v>
      </c>
      <c r="F50" s="1142">
        <v>181000</v>
      </c>
      <c r="G50" s="1145">
        <v>0</v>
      </c>
    </row>
    <row r="51" spans="1:7" ht="12.75">
      <c r="A51" s="1141" t="s">
        <v>1071</v>
      </c>
      <c r="B51" s="1142" t="s">
        <v>1072</v>
      </c>
      <c r="C51" s="1142" t="s">
        <v>1073</v>
      </c>
      <c r="D51" s="1142" t="s">
        <v>998</v>
      </c>
      <c r="E51" s="1142">
        <v>0</v>
      </c>
      <c r="F51" s="1142">
        <v>181000</v>
      </c>
      <c r="G51" s="1145">
        <v>0</v>
      </c>
    </row>
    <row r="52" spans="1:7" ht="12.75">
      <c r="A52" s="1141" t="s">
        <v>1074</v>
      </c>
      <c r="B52" s="1142" t="s">
        <v>1075</v>
      </c>
      <c r="C52" s="1142" t="s">
        <v>1076</v>
      </c>
      <c r="D52" s="1142" t="s">
        <v>960</v>
      </c>
      <c r="E52" s="1142"/>
      <c r="F52" s="1142"/>
      <c r="G52" s="1145">
        <v>770000</v>
      </c>
    </row>
    <row r="53" spans="1:7" ht="12.75">
      <c r="A53" s="1568" t="s">
        <v>1077</v>
      </c>
      <c r="B53" s="1569"/>
      <c r="C53" s="1569"/>
      <c r="D53" s="1569"/>
      <c r="E53" s="1569"/>
      <c r="F53" s="1569"/>
      <c r="G53" s="1570"/>
    </row>
    <row r="54" spans="1:7" ht="12.75">
      <c r="A54" s="1141" t="s">
        <v>1078</v>
      </c>
      <c r="B54" s="1142" t="s">
        <v>1079</v>
      </c>
      <c r="C54" s="1142" t="s">
        <v>1080</v>
      </c>
      <c r="D54" s="1142" t="s">
        <v>998</v>
      </c>
      <c r="E54" s="1142">
        <v>1</v>
      </c>
      <c r="F54" s="1142">
        <v>384000</v>
      </c>
      <c r="G54" s="1145">
        <v>384000</v>
      </c>
    </row>
    <row r="55" spans="1:7" ht="12.75">
      <c r="A55" s="1141" t="s">
        <v>1081</v>
      </c>
      <c r="B55" s="1142" t="s">
        <v>1082</v>
      </c>
      <c r="C55" s="1142" t="s">
        <v>1083</v>
      </c>
      <c r="D55" s="1142" t="s">
        <v>998</v>
      </c>
      <c r="E55" s="1142">
        <v>0</v>
      </c>
      <c r="F55" s="1142">
        <v>352000</v>
      </c>
      <c r="G55" s="1145">
        <v>0</v>
      </c>
    </row>
    <row r="56" spans="1:7" ht="12.75">
      <c r="A56" s="1141" t="s">
        <v>1084</v>
      </c>
      <c r="B56" s="1142" t="s">
        <v>1085</v>
      </c>
      <c r="C56" s="1142" t="s">
        <v>1086</v>
      </c>
      <c r="D56" s="1142" t="s">
        <v>998</v>
      </c>
      <c r="E56" s="1142">
        <v>0</v>
      </c>
      <c r="F56" s="1142">
        <v>1402910</v>
      </c>
      <c r="G56" s="1145">
        <v>0</v>
      </c>
    </row>
    <row r="57" spans="1:7" ht="12.75">
      <c r="A57" s="1141" t="s">
        <v>1087</v>
      </c>
      <c r="B57" s="1142" t="s">
        <v>1088</v>
      </c>
      <c r="C57" s="1142" t="s">
        <v>1089</v>
      </c>
      <c r="D57" s="1142" t="s">
        <v>998</v>
      </c>
      <c r="E57" s="1142">
        <v>0</v>
      </c>
      <c r="F57" s="1142">
        <v>1286000</v>
      </c>
      <c r="G57" s="1145">
        <v>0</v>
      </c>
    </row>
    <row r="58" spans="1:7" ht="12.75">
      <c r="A58" s="1141" t="s">
        <v>1090</v>
      </c>
      <c r="B58" s="1142" t="s">
        <v>1091</v>
      </c>
      <c r="C58" s="1142" t="s">
        <v>1092</v>
      </c>
      <c r="D58" s="1142" t="s">
        <v>998</v>
      </c>
      <c r="E58" s="1142">
        <v>0</v>
      </c>
      <c r="F58" s="1142">
        <v>421090</v>
      </c>
      <c r="G58" s="1145">
        <v>0</v>
      </c>
    </row>
    <row r="59" spans="1:7" ht="12.75">
      <c r="A59" s="1141" t="s">
        <v>1093</v>
      </c>
      <c r="B59" s="1142" t="s">
        <v>1094</v>
      </c>
      <c r="C59" s="1142" t="s">
        <v>1095</v>
      </c>
      <c r="D59" s="1142" t="s">
        <v>998</v>
      </c>
      <c r="E59" s="1142">
        <v>0</v>
      </c>
      <c r="F59" s="1142">
        <v>386000</v>
      </c>
      <c r="G59" s="1145">
        <v>0</v>
      </c>
    </row>
    <row r="60" spans="1:7" ht="12.75">
      <c r="A60" s="1141" t="s">
        <v>1096</v>
      </c>
      <c r="B60" s="1142" t="s">
        <v>1097</v>
      </c>
      <c r="C60" s="1142" t="s">
        <v>1098</v>
      </c>
      <c r="D60" s="1142" t="s">
        <v>998</v>
      </c>
      <c r="E60" s="1142">
        <v>0</v>
      </c>
      <c r="F60" s="1142">
        <v>1543640</v>
      </c>
      <c r="G60" s="1145">
        <v>0</v>
      </c>
    </row>
    <row r="61" spans="1:7" ht="12.75">
      <c r="A61" s="1141" t="s">
        <v>1099</v>
      </c>
      <c r="B61" s="1142" t="s">
        <v>1100</v>
      </c>
      <c r="C61" s="1142" t="s">
        <v>1101</v>
      </c>
      <c r="D61" s="1142" t="s">
        <v>998</v>
      </c>
      <c r="E61" s="1142">
        <v>0</v>
      </c>
      <c r="F61" s="1142">
        <v>1415000</v>
      </c>
      <c r="G61" s="1145">
        <v>0</v>
      </c>
    </row>
    <row r="62" spans="1:7" ht="31.5">
      <c r="A62" s="1150" t="s">
        <v>1102</v>
      </c>
      <c r="B62" s="1151" t="s">
        <v>1103</v>
      </c>
      <c r="C62" s="1152" t="s">
        <v>1104</v>
      </c>
      <c r="D62" s="1151" t="s">
        <v>960</v>
      </c>
      <c r="E62" s="1151"/>
      <c r="F62" s="1151"/>
      <c r="G62" s="1153">
        <v>67772700</v>
      </c>
    </row>
    <row r="63" spans="1:9" s="1159" customFormat="1" ht="12.75">
      <c r="A63" s="1155" t="s">
        <v>1105</v>
      </c>
      <c r="B63" s="1156" t="s">
        <v>1106</v>
      </c>
      <c r="C63" s="1157" t="s">
        <v>1107</v>
      </c>
      <c r="D63" s="1156" t="s">
        <v>960</v>
      </c>
      <c r="E63" s="1156"/>
      <c r="F63" s="1156"/>
      <c r="G63" s="1158">
        <v>5048558</v>
      </c>
      <c r="I63" s="1160"/>
    </row>
    <row r="64" spans="1:7" ht="12.75">
      <c r="A64" s="1568" t="s">
        <v>1108</v>
      </c>
      <c r="B64" s="1569"/>
      <c r="C64" s="1569"/>
      <c r="D64" s="1569"/>
      <c r="E64" s="1569"/>
      <c r="F64" s="1569"/>
      <c r="G64" s="1570"/>
    </row>
    <row r="65" spans="1:7" ht="12.75">
      <c r="A65" s="1141" t="s">
        <v>1109</v>
      </c>
      <c r="B65" s="1142" t="s">
        <v>1110</v>
      </c>
      <c r="C65" s="1142" t="s">
        <v>1111</v>
      </c>
      <c r="D65" s="1142" t="s">
        <v>1112</v>
      </c>
      <c r="E65" s="1142"/>
      <c r="F65" s="1142">
        <v>3000000</v>
      </c>
      <c r="G65" s="1145">
        <v>15000000</v>
      </c>
    </row>
    <row r="66" spans="1:7" ht="12.75">
      <c r="A66" s="1141" t="s">
        <v>1113</v>
      </c>
      <c r="B66" s="1142" t="s">
        <v>1114</v>
      </c>
      <c r="C66" s="1142" t="s">
        <v>1115</v>
      </c>
      <c r="D66" s="1142" t="s">
        <v>1112</v>
      </c>
      <c r="E66" s="1142"/>
      <c r="F66" s="1142">
        <v>3000000</v>
      </c>
      <c r="G66" s="1145">
        <v>0</v>
      </c>
    </row>
    <row r="67" spans="1:7" ht="12.75">
      <c r="A67" s="1141" t="s">
        <v>1116</v>
      </c>
      <c r="B67" s="1142" t="s">
        <v>1117</v>
      </c>
      <c r="C67" s="1142" t="s">
        <v>1118</v>
      </c>
      <c r="D67" s="1142" t="s">
        <v>998</v>
      </c>
      <c r="E67" s="1142">
        <v>0</v>
      </c>
      <c r="F67" s="1142">
        <v>55360</v>
      </c>
      <c r="G67" s="1145">
        <v>0</v>
      </c>
    </row>
    <row r="68" spans="1:7" ht="12.75">
      <c r="A68" s="1141" t="s">
        <v>1119</v>
      </c>
      <c r="B68" s="1142" t="s">
        <v>1120</v>
      </c>
      <c r="C68" s="1142" t="s">
        <v>1121</v>
      </c>
      <c r="D68" s="1142" t="s">
        <v>998</v>
      </c>
      <c r="E68" s="1142">
        <v>0</v>
      </c>
      <c r="F68" s="1142">
        <v>60896</v>
      </c>
      <c r="G68" s="1145">
        <v>0</v>
      </c>
    </row>
    <row r="69" spans="1:7" ht="12.75">
      <c r="A69" s="1141" t="s">
        <v>1122</v>
      </c>
      <c r="B69" s="1142" t="s">
        <v>1123</v>
      </c>
      <c r="C69" s="1142" t="s">
        <v>1124</v>
      </c>
      <c r="D69" s="1142" t="s">
        <v>998</v>
      </c>
      <c r="E69" s="1142">
        <v>0</v>
      </c>
      <c r="F69" s="1142">
        <v>145000</v>
      </c>
      <c r="G69" s="1145">
        <v>0</v>
      </c>
    </row>
    <row r="70" spans="1:7" ht="12.75">
      <c r="A70" s="1141" t="s">
        <v>1125</v>
      </c>
      <c r="B70" s="1142" t="s">
        <v>1126</v>
      </c>
      <c r="C70" s="1142" t="s">
        <v>1127</v>
      </c>
      <c r="D70" s="1142" t="s">
        <v>998</v>
      </c>
      <c r="E70" s="1142">
        <v>0</v>
      </c>
      <c r="F70" s="1142">
        <v>188500</v>
      </c>
      <c r="G70" s="1145">
        <v>0</v>
      </c>
    </row>
    <row r="71" spans="1:7" ht="12.75">
      <c r="A71" s="1141" t="s">
        <v>1128</v>
      </c>
      <c r="B71" s="1142" t="s">
        <v>1129</v>
      </c>
      <c r="C71" s="1142" t="s">
        <v>1130</v>
      </c>
      <c r="D71" s="1142" t="s">
        <v>1131</v>
      </c>
      <c r="E71" s="1142">
        <v>0</v>
      </c>
      <c r="F71" s="1142">
        <v>2500000</v>
      </c>
      <c r="G71" s="1145">
        <v>0</v>
      </c>
    </row>
    <row r="72" spans="1:7" ht="12.75">
      <c r="A72" s="1568" t="s">
        <v>1132</v>
      </c>
      <c r="B72" s="1569"/>
      <c r="C72" s="1569"/>
      <c r="D72" s="1569"/>
      <c r="E72" s="1569"/>
      <c r="F72" s="1569"/>
      <c r="G72" s="1570"/>
    </row>
    <row r="73" spans="1:7" ht="12.75">
      <c r="A73" s="1141">
        <v>58</v>
      </c>
      <c r="B73" s="1142" t="s">
        <v>1133</v>
      </c>
      <c r="C73" s="1142" t="s">
        <v>1134</v>
      </c>
      <c r="D73" s="1142" t="s">
        <v>998</v>
      </c>
      <c r="E73" s="1142">
        <v>10</v>
      </c>
      <c r="F73" s="1142">
        <v>494100</v>
      </c>
      <c r="G73" s="1145">
        <v>4941000</v>
      </c>
    </row>
    <row r="74" spans="1:7" ht="12.75">
      <c r="A74" s="1141">
        <v>59</v>
      </c>
      <c r="B74" s="1142" t="s">
        <v>1135</v>
      </c>
      <c r="C74" s="1142" t="s">
        <v>1136</v>
      </c>
      <c r="D74" s="1142" t="s">
        <v>998</v>
      </c>
      <c r="E74" s="1142">
        <v>0</v>
      </c>
      <c r="F74" s="1142">
        <v>518805</v>
      </c>
      <c r="G74" s="1145">
        <v>0</v>
      </c>
    </row>
    <row r="75" spans="1:7" ht="12.75">
      <c r="A75" s="1141">
        <v>60</v>
      </c>
      <c r="B75" s="1142" t="s">
        <v>1137</v>
      </c>
      <c r="C75" s="1142" t="s">
        <v>1138</v>
      </c>
      <c r="D75" s="1142" t="s">
        <v>998</v>
      </c>
      <c r="E75" s="1142">
        <v>0</v>
      </c>
      <c r="F75" s="1142">
        <v>543510</v>
      </c>
      <c r="G75" s="1145">
        <v>0</v>
      </c>
    </row>
    <row r="76" spans="1:7" ht="12.75">
      <c r="A76" s="1141">
        <v>61</v>
      </c>
      <c r="B76" s="1142" t="s">
        <v>1139</v>
      </c>
      <c r="C76" s="1142" t="s">
        <v>1140</v>
      </c>
      <c r="D76" s="1142" t="s">
        <v>998</v>
      </c>
      <c r="E76" s="1142">
        <v>0</v>
      </c>
      <c r="F76" s="1142">
        <v>741150</v>
      </c>
      <c r="G76" s="1145">
        <v>0</v>
      </c>
    </row>
    <row r="77" spans="1:7" ht="12.75">
      <c r="A77" s="1141">
        <v>62</v>
      </c>
      <c r="B77" s="1142" t="s">
        <v>1141</v>
      </c>
      <c r="C77" s="1142" t="s">
        <v>1142</v>
      </c>
      <c r="D77" s="1142" t="s">
        <v>998</v>
      </c>
      <c r="E77" s="1142">
        <v>0</v>
      </c>
      <c r="F77" s="1142">
        <v>268200</v>
      </c>
      <c r="G77" s="1145">
        <v>0</v>
      </c>
    </row>
    <row r="78" spans="1:7" ht="12.75">
      <c r="A78" s="1141">
        <v>63</v>
      </c>
      <c r="B78" s="1142" t="s">
        <v>1143</v>
      </c>
      <c r="C78" s="1142" t="s">
        <v>1144</v>
      </c>
      <c r="D78" s="1142" t="s">
        <v>998</v>
      </c>
      <c r="E78" s="1142">
        <v>0</v>
      </c>
      <c r="F78" s="1142">
        <v>134100</v>
      </c>
      <c r="G78" s="1145">
        <v>0</v>
      </c>
    </row>
    <row r="79" spans="1:7" ht="12.75">
      <c r="A79" s="1141">
        <v>64</v>
      </c>
      <c r="B79" s="1142" t="s">
        <v>1145</v>
      </c>
      <c r="C79" s="1142" t="s">
        <v>1146</v>
      </c>
      <c r="D79" s="1142" t="s">
        <v>998</v>
      </c>
      <c r="E79" s="1142">
        <v>0</v>
      </c>
      <c r="F79" s="1142">
        <v>348660</v>
      </c>
      <c r="G79" s="1145">
        <v>0</v>
      </c>
    </row>
    <row r="80" spans="1:7" ht="12.75">
      <c r="A80" s="1141">
        <v>65</v>
      </c>
      <c r="B80" s="1142" t="s">
        <v>1147</v>
      </c>
      <c r="C80" s="1142" t="s">
        <v>1148</v>
      </c>
      <c r="D80" s="1142" t="s">
        <v>998</v>
      </c>
      <c r="E80" s="1142">
        <v>0</v>
      </c>
      <c r="F80" s="1142">
        <v>174330</v>
      </c>
      <c r="G80" s="1145">
        <v>0</v>
      </c>
    </row>
    <row r="81" spans="1:7" ht="12.75">
      <c r="A81" s="1568" t="s">
        <v>1149</v>
      </c>
      <c r="B81" s="1569"/>
      <c r="C81" s="1569"/>
      <c r="D81" s="1569"/>
      <c r="E81" s="1569"/>
      <c r="F81" s="1569"/>
      <c r="G81" s="1570"/>
    </row>
    <row r="82" spans="1:13" ht="12.75">
      <c r="A82" s="1141">
        <v>66</v>
      </c>
      <c r="B82" s="1142" t="s">
        <v>1150</v>
      </c>
      <c r="C82" s="1142" t="s">
        <v>1151</v>
      </c>
      <c r="D82" s="1142" t="s">
        <v>998</v>
      </c>
      <c r="E82" s="1142">
        <v>8.71</v>
      </c>
      <c r="F82" s="1142">
        <v>1632000</v>
      </c>
      <c r="G82" s="1145">
        <v>13561923</v>
      </c>
      <c r="H82" t="s">
        <v>627</v>
      </c>
      <c r="I82" s="1134">
        <v>2500819</v>
      </c>
      <c r="J82" t="s">
        <v>1207</v>
      </c>
      <c r="K82" s="1161">
        <v>211566</v>
      </c>
      <c r="L82" t="s">
        <v>629</v>
      </c>
      <c r="M82" s="1161">
        <f>SUM(G82-I82)-K82</f>
        <v>10849538</v>
      </c>
    </row>
    <row r="83" spans="1:13" ht="12.75">
      <c r="A83" s="1141">
        <v>67</v>
      </c>
      <c r="B83" s="1142" t="s">
        <v>1152</v>
      </c>
      <c r="C83" s="1142" t="s">
        <v>1153</v>
      </c>
      <c r="D83" s="1142" t="s">
        <v>960</v>
      </c>
      <c r="E83" s="1142" t="s">
        <v>946</v>
      </c>
      <c r="F83" s="1142"/>
      <c r="G83" s="1145">
        <v>9961078</v>
      </c>
      <c r="H83" t="s">
        <v>627</v>
      </c>
      <c r="I83" s="1134">
        <v>2673261</v>
      </c>
      <c r="J83" t="s">
        <v>1207</v>
      </c>
      <c r="K83" s="1134">
        <v>159123</v>
      </c>
      <c r="L83" t="s">
        <v>629</v>
      </c>
      <c r="M83" s="1134">
        <f>SUM(G83-I83)-K83</f>
        <v>7128694</v>
      </c>
    </row>
    <row r="84" spans="1:8" ht="12.75">
      <c r="A84" s="1141">
        <v>68</v>
      </c>
      <c r="B84" s="1142" t="s">
        <v>1154</v>
      </c>
      <c r="C84" s="1142" t="s">
        <v>1155</v>
      </c>
      <c r="D84" s="1142" t="s">
        <v>960</v>
      </c>
      <c r="E84" s="1142">
        <v>300</v>
      </c>
      <c r="F84" s="1142">
        <v>456</v>
      </c>
      <c r="G84" s="1145">
        <v>4104</v>
      </c>
      <c r="H84" t="s">
        <v>629</v>
      </c>
    </row>
    <row r="85" spans="1:9" s="1162" customFormat="1" ht="31.5">
      <c r="A85" s="1150">
        <v>69</v>
      </c>
      <c r="B85" s="1151" t="s">
        <v>177</v>
      </c>
      <c r="C85" s="1152" t="s">
        <v>1156</v>
      </c>
      <c r="D85" s="1151" t="s">
        <v>960</v>
      </c>
      <c r="E85" s="1151"/>
      <c r="F85" s="1151"/>
      <c r="G85" s="1153">
        <f>SUM(G63+G65+G73+G82+G83)+G84</f>
        <v>48516663</v>
      </c>
      <c r="I85" s="1134"/>
    </row>
    <row r="86" spans="1:7" ht="12.75">
      <c r="A86" s="1568" t="s">
        <v>1157</v>
      </c>
      <c r="B86" s="1569"/>
      <c r="C86" s="1569"/>
      <c r="D86" s="1569"/>
      <c r="E86" s="1569"/>
      <c r="F86" s="1569"/>
      <c r="G86" s="1570"/>
    </row>
    <row r="87" spans="1:7" ht="12.75">
      <c r="A87" s="1141">
        <v>69</v>
      </c>
      <c r="B87" s="1142" t="s">
        <v>1158</v>
      </c>
      <c r="C87" s="1142" t="s">
        <v>1159</v>
      </c>
      <c r="D87" s="1142" t="s">
        <v>1160</v>
      </c>
      <c r="E87" s="1142" t="s">
        <v>946</v>
      </c>
      <c r="F87" s="1142" t="s">
        <v>946</v>
      </c>
      <c r="G87" s="1145">
        <v>0</v>
      </c>
    </row>
    <row r="88" spans="1:7" ht="12.75">
      <c r="A88" s="1141">
        <v>70</v>
      </c>
      <c r="B88" s="1142" t="s">
        <v>1161</v>
      </c>
      <c r="C88" s="1142" t="s">
        <v>1162</v>
      </c>
      <c r="D88" s="1142" t="s">
        <v>1160</v>
      </c>
      <c r="E88" s="1142"/>
      <c r="F88" s="1142"/>
      <c r="G88" s="1145">
        <v>0</v>
      </c>
    </row>
    <row r="89" spans="1:7" ht="12.75">
      <c r="A89" s="1141">
        <v>71</v>
      </c>
      <c r="B89" s="1142" t="s">
        <v>1163</v>
      </c>
      <c r="C89" s="1142" t="s">
        <v>1164</v>
      </c>
      <c r="D89" s="1142" t="s">
        <v>1160</v>
      </c>
      <c r="E89" s="1142"/>
      <c r="F89" s="1142"/>
      <c r="G89" s="1145">
        <v>0</v>
      </c>
    </row>
    <row r="90" spans="1:7" ht="12.75">
      <c r="A90" s="1141">
        <v>72</v>
      </c>
      <c r="B90" s="1142" t="s">
        <v>1165</v>
      </c>
      <c r="C90" s="1142" t="s">
        <v>1166</v>
      </c>
      <c r="D90" s="1142" t="s">
        <v>1160</v>
      </c>
      <c r="E90" s="1142"/>
      <c r="F90" s="1142">
        <v>1140</v>
      </c>
      <c r="G90" s="1145">
        <v>4027620</v>
      </c>
    </row>
    <row r="91" spans="1:7" ht="12.75">
      <c r="A91" s="1141">
        <v>73</v>
      </c>
      <c r="B91" s="1142" t="s">
        <v>1167</v>
      </c>
      <c r="C91" s="1142" t="s">
        <v>1168</v>
      </c>
      <c r="D91" s="1142" t="s">
        <v>1160</v>
      </c>
      <c r="E91" s="1142"/>
      <c r="F91" s="1142"/>
      <c r="G91" s="1145">
        <v>0</v>
      </c>
    </row>
    <row r="92" spans="1:7" ht="12.75">
      <c r="A92" s="1141">
        <v>74</v>
      </c>
      <c r="B92" s="1142" t="s">
        <v>1169</v>
      </c>
      <c r="C92" s="1142" t="s">
        <v>1170</v>
      </c>
      <c r="D92" s="1142" t="s">
        <v>1160</v>
      </c>
      <c r="E92" s="1142"/>
      <c r="F92" s="1142">
        <v>679400000</v>
      </c>
      <c r="G92" s="1145">
        <v>0</v>
      </c>
    </row>
    <row r="93" spans="1:7" ht="12.75">
      <c r="A93" s="1141">
        <v>75</v>
      </c>
      <c r="B93" s="1142" t="s">
        <v>1171</v>
      </c>
      <c r="C93" s="1142" t="s">
        <v>1172</v>
      </c>
      <c r="D93" s="1142" t="s">
        <v>1160</v>
      </c>
      <c r="E93" s="1142"/>
      <c r="F93" s="1142">
        <v>400</v>
      </c>
      <c r="G93" s="1145">
        <v>0</v>
      </c>
    </row>
    <row r="94" spans="1:7" ht="12.75">
      <c r="A94" s="1141">
        <v>76</v>
      </c>
      <c r="B94" s="1142" t="s">
        <v>1173</v>
      </c>
      <c r="C94" s="1142" t="s">
        <v>1174</v>
      </c>
      <c r="D94" s="1142" t="s">
        <v>1160</v>
      </c>
      <c r="E94" s="1142"/>
      <c r="F94" s="1142"/>
      <c r="G94" s="1145">
        <v>0</v>
      </c>
    </row>
    <row r="95" spans="1:7" ht="12.75">
      <c r="A95" s="1141">
        <v>77</v>
      </c>
      <c r="B95" s="1142" t="s">
        <v>1175</v>
      </c>
      <c r="C95" s="1142" t="s">
        <v>1176</v>
      </c>
      <c r="D95" s="1142" t="s">
        <v>1160</v>
      </c>
      <c r="E95" s="1142"/>
      <c r="F95" s="1142"/>
      <c r="G95" s="1145">
        <v>0</v>
      </c>
    </row>
    <row r="96" spans="1:7" ht="12.75">
      <c r="A96" s="1141">
        <v>78</v>
      </c>
      <c r="B96" s="1142" t="s">
        <v>1177</v>
      </c>
      <c r="C96" s="1142" t="s">
        <v>1178</v>
      </c>
      <c r="D96" s="1142" t="s">
        <v>1160</v>
      </c>
      <c r="E96" s="1142"/>
      <c r="F96" s="1142"/>
      <c r="G96" s="1145">
        <v>4027620</v>
      </c>
    </row>
    <row r="97" spans="1:7" ht="15.75">
      <c r="A97" s="1150">
        <v>79</v>
      </c>
      <c r="B97" s="1151" t="s">
        <v>179</v>
      </c>
      <c r="C97" s="1151" t="s">
        <v>1179</v>
      </c>
      <c r="D97" s="1151" t="s">
        <v>1160</v>
      </c>
      <c r="E97" s="1151"/>
      <c r="F97" s="1151"/>
      <c r="G97" s="1153">
        <v>4027620</v>
      </c>
    </row>
  </sheetData>
  <sheetProtection/>
  <mergeCells count="12">
    <mergeCell ref="F1:G1"/>
    <mergeCell ref="A2:G2"/>
    <mergeCell ref="A4:G4"/>
    <mergeCell ref="A12:G12"/>
    <mergeCell ref="A35:G35"/>
    <mergeCell ref="A44:G44"/>
    <mergeCell ref="A49:G49"/>
    <mergeCell ref="A53:G53"/>
    <mergeCell ref="A64:G64"/>
    <mergeCell ref="A72:G72"/>
    <mergeCell ref="A81:G81"/>
    <mergeCell ref="A86:G86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8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O27"/>
  <sheetViews>
    <sheetView view="pageBreakPreview" zoomScale="90" zoomScaleSheetLayoutView="90" zoomScalePageLayoutView="0" workbookViewId="0" topLeftCell="A1">
      <selection activeCell="A4" sqref="A4:O4"/>
    </sheetView>
  </sheetViews>
  <sheetFormatPr defaultColWidth="9.140625" defaultRowHeight="12.75"/>
  <cols>
    <col min="1" max="1" width="7.28125" style="0" customWidth="1"/>
    <col min="2" max="2" width="17.140625" style="0" customWidth="1"/>
    <col min="3" max="3" width="27.28125" style="0" customWidth="1"/>
    <col min="4" max="4" width="14.00390625" style="0" customWidth="1"/>
    <col min="5" max="5" width="13.140625" style="0" customWidth="1"/>
    <col min="6" max="6" width="12.140625" style="0" customWidth="1"/>
    <col min="7" max="15" width="11.00390625" style="0" customWidth="1"/>
  </cols>
  <sheetData>
    <row r="1" spans="1:15" ht="15.75" customHeight="1">
      <c r="A1" s="1551" t="s">
        <v>1180</v>
      </c>
      <c r="B1" s="1551"/>
      <c r="C1" s="1551"/>
      <c r="D1" s="1551"/>
      <c r="E1" s="1551"/>
      <c r="F1" s="1551"/>
      <c r="G1" s="1551"/>
      <c r="H1" s="1551"/>
      <c r="I1" s="1551"/>
      <c r="J1" s="1551"/>
      <c r="K1" s="1551"/>
      <c r="L1" s="1551"/>
      <c r="M1" s="1551"/>
      <c r="N1" s="1551"/>
      <c r="O1" s="1551"/>
    </row>
    <row r="2" spans="1:15" ht="15.75" customHeight="1">
      <c r="A2" s="1577"/>
      <c r="B2" s="1577"/>
      <c r="C2" s="1577"/>
      <c r="D2" s="1577"/>
      <c r="E2" s="1577"/>
      <c r="F2" s="1163"/>
      <c r="G2" s="1163"/>
      <c r="H2" s="1163"/>
      <c r="I2" s="1163"/>
      <c r="J2" s="1163"/>
      <c r="K2" s="1163"/>
      <c r="L2" s="1163"/>
      <c r="M2" s="1163"/>
      <c r="N2" s="1163"/>
      <c r="O2" s="1163"/>
    </row>
    <row r="3" spans="1:15" ht="18" customHeight="1">
      <c r="A3" s="1576" t="s">
        <v>1336</v>
      </c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  <c r="O3" s="1576"/>
    </row>
    <row r="4" spans="1:15" ht="18" customHeight="1">
      <c r="A4" s="1701" t="s">
        <v>1337</v>
      </c>
      <c r="B4" s="1701"/>
      <c r="C4" s="1701"/>
      <c r="D4" s="1701"/>
      <c r="E4" s="1701"/>
      <c r="F4" s="1701"/>
      <c r="G4" s="1701"/>
      <c r="H4" s="1701"/>
      <c r="I4" s="1701"/>
      <c r="J4" s="1701"/>
      <c r="K4" s="1701"/>
      <c r="L4" s="1701"/>
      <c r="M4" s="1701"/>
      <c r="N4" s="1701"/>
      <c r="O4" s="1701"/>
    </row>
    <row r="5" spans="2:15" ht="37.5" customHeight="1">
      <c r="B5" s="1489" t="s">
        <v>1181</v>
      </c>
      <c r="C5" s="1489"/>
      <c r="D5" s="1489"/>
      <c r="E5" s="1489"/>
      <c r="F5" s="1489"/>
      <c r="G5" s="1489"/>
      <c r="H5" s="1489"/>
      <c r="I5" s="1489"/>
      <c r="J5" s="1489"/>
      <c r="K5" s="1489"/>
      <c r="L5" s="1489"/>
      <c r="M5" s="1489"/>
      <c r="N5" s="1489"/>
      <c r="O5" s="1489"/>
    </row>
    <row r="6" spans="2:15" ht="12.75"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</row>
    <row r="8" spans="14:15" ht="12.75">
      <c r="N8" s="1555" t="s">
        <v>1250</v>
      </c>
      <c r="O8" s="1555"/>
    </row>
    <row r="9" spans="1:15" ht="14.25" customHeight="1">
      <c r="A9" s="1578" t="s">
        <v>33</v>
      </c>
      <c r="B9" s="1563" t="s">
        <v>1182</v>
      </c>
      <c r="C9" s="1579" t="s">
        <v>1183</v>
      </c>
      <c r="D9" s="1563" t="s">
        <v>1184</v>
      </c>
      <c r="E9" s="1579" t="s">
        <v>1185</v>
      </c>
      <c r="F9" s="1580"/>
      <c r="G9" s="1580"/>
      <c r="H9" s="1580"/>
      <c r="I9" s="1580"/>
      <c r="J9" s="1580"/>
      <c r="K9" s="1580"/>
      <c r="L9" s="1580"/>
      <c r="M9" s="1580"/>
      <c r="N9" s="1580"/>
      <c r="O9" s="1580"/>
    </row>
    <row r="10" spans="1:15" ht="12.75">
      <c r="A10" s="1578"/>
      <c r="B10" s="1563"/>
      <c r="C10" s="1579"/>
      <c r="D10" s="1563"/>
      <c r="E10" s="1579"/>
      <c r="F10" s="492" t="s">
        <v>1186</v>
      </c>
      <c r="G10" s="492">
        <v>2017</v>
      </c>
      <c r="H10" s="492">
        <v>2018</v>
      </c>
      <c r="I10" s="492">
        <v>2019</v>
      </c>
      <c r="J10" s="492">
        <v>2020</v>
      </c>
      <c r="K10" s="492">
        <v>2021</v>
      </c>
      <c r="L10" s="492">
        <v>2022</v>
      </c>
      <c r="M10" s="492">
        <v>2023</v>
      </c>
      <c r="N10" s="492">
        <v>2024</v>
      </c>
      <c r="O10" s="492">
        <v>2025</v>
      </c>
    </row>
    <row r="11" spans="1:15" ht="12.75">
      <c r="A11" s="1578"/>
      <c r="B11" s="1282" t="s">
        <v>163</v>
      </c>
      <c r="C11" s="1283" t="s">
        <v>164</v>
      </c>
      <c r="D11" s="1282" t="s">
        <v>165</v>
      </c>
      <c r="E11" s="1283" t="s">
        <v>166</v>
      </c>
      <c r="F11" s="1283" t="s">
        <v>167</v>
      </c>
      <c r="G11" s="1283" t="s">
        <v>168</v>
      </c>
      <c r="H11" s="1283" t="s">
        <v>226</v>
      </c>
      <c r="I11" s="1283" t="s">
        <v>690</v>
      </c>
      <c r="J11" s="1283" t="s">
        <v>942</v>
      </c>
      <c r="K11" s="1283" t="s">
        <v>1187</v>
      </c>
      <c r="L11" s="1283" t="s">
        <v>1188</v>
      </c>
      <c r="M11" s="1283" t="s">
        <v>1189</v>
      </c>
      <c r="N11" s="1283" t="s">
        <v>1190</v>
      </c>
      <c r="O11" s="1283" t="s">
        <v>1191</v>
      </c>
    </row>
    <row r="12" spans="1:15" ht="12.75">
      <c r="A12" s="530" t="s">
        <v>38</v>
      </c>
      <c r="B12" s="531" t="s">
        <v>1192</v>
      </c>
      <c r="C12" s="373" t="s">
        <v>1193</v>
      </c>
      <c r="D12" s="168">
        <v>80000</v>
      </c>
      <c r="E12" s="373" t="s">
        <v>1194</v>
      </c>
      <c r="F12" s="168">
        <v>80000</v>
      </c>
      <c r="G12" s="168"/>
      <c r="H12" s="168"/>
      <c r="I12" s="168"/>
      <c r="J12" s="168"/>
      <c r="K12" s="168"/>
      <c r="L12" s="168"/>
      <c r="M12" s="168"/>
      <c r="N12" s="168"/>
      <c r="O12" s="168"/>
    </row>
    <row r="15" ht="12.75">
      <c r="B15" t="s">
        <v>1195</v>
      </c>
    </row>
    <row r="16" spans="1:15" ht="14.25" customHeight="1">
      <c r="A16" s="1581" t="s">
        <v>33</v>
      </c>
      <c r="B16" s="1582" t="s">
        <v>223</v>
      </c>
      <c r="C16" s="1582"/>
      <c r="D16" s="1582"/>
      <c r="E16" s="1582"/>
      <c r="F16" s="1583" t="s">
        <v>1195</v>
      </c>
      <c r="G16" s="1583"/>
      <c r="H16" s="1583"/>
      <c r="I16" s="1583"/>
      <c r="J16" s="1583"/>
      <c r="K16" s="1583"/>
      <c r="L16" s="1583"/>
      <c r="M16" s="1583"/>
      <c r="N16" s="1583"/>
      <c r="O16" s="1583"/>
    </row>
    <row r="17" spans="1:15" ht="12.75">
      <c r="A17" s="1581"/>
      <c r="B17" s="1582"/>
      <c r="C17" s="1582"/>
      <c r="D17" s="1582"/>
      <c r="E17" s="1582"/>
      <c r="F17" s="1165" t="s">
        <v>1196</v>
      </c>
      <c r="G17" s="1165">
        <v>2017</v>
      </c>
      <c r="H17" s="1165" t="s">
        <v>1197</v>
      </c>
      <c r="I17" s="1165">
        <v>2019</v>
      </c>
      <c r="J17" s="1165">
        <v>2020</v>
      </c>
      <c r="K17" s="1165">
        <v>2021</v>
      </c>
      <c r="L17" s="1165">
        <v>2022</v>
      </c>
      <c r="M17" s="1165">
        <v>2023</v>
      </c>
      <c r="N17" s="1165">
        <v>2024</v>
      </c>
      <c r="O17" s="1165">
        <v>2025</v>
      </c>
    </row>
    <row r="18" spans="1:15" ht="14.25" customHeight="1">
      <c r="A18" s="1581"/>
      <c r="B18" s="1563" t="s">
        <v>163</v>
      </c>
      <c r="C18" s="1563"/>
      <c r="D18" s="1563"/>
      <c r="E18" s="1563"/>
      <c r="F18" s="528" t="s">
        <v>164</v>
      </c>
      <c r="G18" s="528" t="s">
        <v>165</v>
      </c>
      <c r="H18" s="528" t="s">
        <v>166</v>
      </c>
      <c r="I18" s="528" t="s">
        <v>167</v>
      </c>
      <c r="J18" s="528" t="s">
        <v>168</v>
      </c>
      <c r="K18" s="528" t="s">
        <v>226</v>
      </c>
      <c r="L18" s="528" t="s">
        <v>690</v>
      </c>
      <c r="M18" s="528" t="s">
        <v>942</v>
      </c>
      <c r="N18" s="528" t="s">
        <v>1187</v>
      </c>
      <c r="O18" s="528" t="s">
        <v>1188</v>
      </c>
    </row>
    <row r="19" spans="1:15" ht="14.25" customHeight="1">
      <c r="A19" s="1166" t="s">
        <v>38</v>
      </c>
      <c r="B19" s="1584" t="s">
        <v>39</v>
      </c>
      <c r="C19" s="1584"/>
      <c r="D19" s="1584"/>
      <c r="E19" s="1584"/>
      <c r="F19" s="1284">
        <v>159486</v>
      </c>
      <c r="G19" s="1284"/>
      <c r="H19" s="1284"/>
      <c r="I19" s="1284"/>
      <c r="J19" s="1284"/>
      <c r="K19" s="1284"/>
      <c r="L19" s="1284"/>
      <c r="M19" s="1284"/>
      <c r="N19" s="1284"/>
      <c r="O19" s="1284"/>
    </row>
    <row r="20" spans="1:15" ht="14.25" customHeight="1">
      <c r="A20" s="1166" t="s">
        <v>40</v>
      </c>
      <c r="B20" s="1586" t="s">
        <v>1198</v>
      </c>
      <c r="C20" s="1586"/>
      <c r="D20" s="1586"/>
      <c r="E20" s="1586"/>
      <c r="F20" s="498"/>
      <c r="G20" s="498"/>
      <c r="H20" s="498"/>
      <c r="I20" s="498"/>
      <c r="J20" s="498"/>
      <c r="K20" s="498"/>
      <c r="L20" s="498"/>
      <c r="M20" s="498"/>
      <c r="N20" s="498"/>
      <c r="O20" s="498"/>
    </row>
    <row r="21" spans="1:15" ht="14.25" customHeight="1">
      <c r="A21" s="1166" t="s">
        <v>47</v>
      </c>
      <c r="B21" s="1586" t="s">
        <v>1199</v>
      </c>
      <c r="C21" s="1586"/>
      <c r="D21" s="1586"/>
      <c r="E21" s="1586"/>
      <c r="F21" s="498">
        <v>459</v>
      </c>
      <c r="G21" s="498"/>
      <c r="H21" s="498"/>
      <c r="I21" s="498"/>
      <c r="J21" s="498"/>
      <c r="K21" s="498"/>
      <c r="L21" s="498"/>
      <c r="M21" s="498"/>
      <c r="N21" s="498"/>
      <c r="O21" s="498"/>
    </row>
    <row r="22" spans="1:15" ht="26.25" customHeight="1">
      <c r="A22" s="1166" t="s">
        <v>49</v>
      </c>
      <c r="B22" s="1586" t="s">
        <v>1200</v>
      </c>
      <c r="C22" s="1586"/>
      <c r="D22" s="1586"/>
      <c r="E22" s="1586"/>
      <c r="F22" s="498">
        <v>7399</v>
      </c>
      <c r="G22" s="498"/>
      <c r="H22" s="498"/>
      <c r="I22" s="498"/>
      <c r="J22" s="498"/>
      <c r="K22" s="498"/>
      <c r="L22" s="498"/>
      <c r="M22" s="498"/>
      <c r="N22" s="498"/>
      <c r="O22" s="498"/>
    </row>
    <row r="23" spans="1:15" ht="14.25" customHeight="1">
      <c r="A23" s="1166" t="s">
        <v>51</v>
      </c>
      <c r="B23" s="1586" t="s">
        <v>1201</v>
      </c>
      <c r="C23" s="1586"/>
      <c r="D23" s="1586"/>
      <c r="E23" s="1586"/>
      <c r="F23" s="498"/>
      <c r="G23" s="498"/>
      <c r="H23" s="498"/>
      <c r="I23" s="498"/>
      <c r="J23" s="498"/>
      <c r="K23" s="498"/>
      <c r="L23" s="498"/>
      <c r="M23" s="498"/>
      <c r="N23" s="498"/>
      <c r="O23" s="498"/>
    </row>
    <row r="24" spans="1:15" ht="14.25" customHeight="1">
      <c r="A24" s="1166" t="s">
        <v>53</v>
      </c>
      <c r="B24" s="1586" t="s">
        <v>1202</v>
      </c>
      <c r="C24" s="1586"/>
      <c r="D24" s="1586"/>
      <c r="E24" s="1586"/>
      <c r="F24" s="498"/>
      <c r="G24" s="498"/>
      <c r="H24" s="498"/>
      <c r="I24" s="498"/>
      <c r="J24" s="498"/>
      <c r="K24" s="498"/>
      <c r="L24" s="498"/>
      <c r="M24" s="498"/>
      <c r="N24" s="498"/>
      <c r="O24" s="498"/>
    </row>
    <row r="25" spans="1:15" ht="14.25" customHeight="1">
      <c r="A25" s="1166" t="s">
        <v>55</v>
      </c>
      <c r="B25" s="1586" t="s">
        <v>1203</v>
      </c>
      <c r="C25" s="1586"/>
      <c r="D25" s="1586"/>
      <c r="E25" s="1586"/>
      <c r="F25" s="498"/>
      <c r="G25" s="498"/>
      <c r="H25" s="498"/>
      <c r="I25" s="498"/>
      <c r="J25" s="498"/>
      <c r="K25" s="498"/>
      <c r="L25" s="498"/>
      <c r="M25" s="498"/>
      <c r="N25" s="498"/>
      <c r="O25" s="498"/>
    </row>
    <row r="26" spans="1:15" ht="14.25" customHeight="1">
      <c r="A26" s="1166" t="s">
        <v>57</v>
      </c>
      <c r="B26" s="1585" t="s">
        <v>1204</v>
      </c>
      <c r="C26" s="1585"/>
      <c r="D26" s="1585"/>
      <c r="E26" s="1585"/>
      <c r="F26" s="532">
        <f>SUM(F19:F25)</f>
        <v>167344</v>
      </c>
      <c r="G26" s="498"/>
      <c r="H26" s="498"/>
      <c r="I26" s="498"/>
      <c r="J26" s="498"/>
      <c r="K26" s="498"/>
      <c r="L26" s="498"/>
      <c r="M26" s="498"/>
      <c r="N26" s="498"/>
      <c r="O26" s="498"/>
    </row>
    <row r="27" spans="1:15" ht="14.25" customHeight="1">
      <c r="A27" s="1166" t="s">
        <v>86</v>
      </c>
      <c r="B27" s="1585" t="s">
        <v>1205</v>
      </c>
      <c r="C27" s="1585"/>
      <c r="D27" s="1585"/>
      <c r="E27" s="1585"/>
      <c r="F27" s="532">
        <f>F26/2</f>
        <v>83672</v>
      </c>
      <c r="G27" s="498"/>
      <c r="H27" s="498"/>
      <c r="I27" s="498"/>
      <c r="J27" s="498"/>
      <c r="K27" s="498"/>
      <c r="L27" s="498"/>
      <c r="M27" s="498"/>
      <c r="N27" s="498"/>
      <c r="O27" s="498"/>
    </row>
  </sheetData>
  <sheetProtection selectLockedCells="1" selectUnlockedCells="1"/>
  <mergeCells count="25">
    <mergeCell ref="A4:O4"/>
    <mergeCell ref="B26:E26"/>
    <mergeCell ref="B27:E27"/>
    <mergeCell ref="B20:E20"/>
    <mergeCell ref="B21:E21"/>
    <mergeCell ref="B22:E22"/>
    <mergeCell ref="B23:E23"/>
    <mergeCell ref="B24:E24"/>
    <mergeCell ref="B25:E25"/>
    <mergeCell ref="F9:O9"/>
    <mergeCell ref="A16:A18"/>
    <mergeCell ref="B16:E17"/>
    <mergeCell ref="F16:O16"/>
    <mergeCell ref="B18:E18"/>
    <mergeCell ref="B19:E19"/>
    <mergeCell ref="A3:O3"/>
    <mergeCell ref="A1:O1"/>
    <mergeCell ref="A2:E2"/>
    <mergeCell ref="B5:O5"/>
    <mergeCell ref="N8:O8"/>
    <mergeCell ref="A9:A11"/>
    <mergeCell ref="B9:B10"/>
    <mergeCell ref="C9:C10"/>
    <mergeCell ref="D9:D10"/>
    <mergeCell ref="E9:E10"/>
  </mergeCells>
  <printOptions/>
  <pageMargins left="0.7" right="0.7" top="0.75" bottom="0.75" header="0.5118055555555555" footer="0.5118055555555555"/>
  <pageSetup horizontalDpi="300" verticalDpi="3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IV54"/>
  <sheetViews>
    <sheetView view="pageBreakPreview" zoomScale="120" zoomScaleSheetLayoutView="120" zoomScalePageLayoutView="0" workbookViewId="0" topLeftCell="A2">
      <selection activeCell="B22" sqref="B22"/>
    </sheetView>
  </sheetViews>
  <sheetFormatPr defaultColWidth="11.7109375" defaultRowHeight="12.75" customHeight="1"/>
  <cols>
    <col min="1" max="1" width="7.57421875" style="215" customWidth="1"/>
    <col min="2" max="2" width="36.8515625" style="56" customWidth="1"/>
    <col min="3" max="3" width="18.7109375" style="56" customWidth="1"/>
    <col min="4" max="6" width="15.7109375" style="56" customWidth="1"/>
    <col min="7" max="16384" width="11.7109375" style="56" customWidth="1"/>
  </cols>
  <sheetData>
    <row r="1" spans="1:6" s="217" customFormat="1" ht="25.5" customHeight="1">
      <c r="A1" s="1562" t="s">
        <v>691</v>
      </c>
      <c r="B1" s="1562"/>
      <c r="C1" s="1562"/>
      <c r="D1" s="1562"/>
      <c r="E1" s="1562"/>
      <c r="F1" s="1562"/>
    </row>
    <row r="2" spans="1:6" ht="12.75" customHeight="1">
      <c r="A2" s="1547" t="s">
        <v>1338</v>
      </c>
      <c r="B2" s="1547"/>
      <c r="C2" s="1547"/>
      <c r="D2" s="1547"/>
      <c r="E2" s="1547"/>
      <c r="F2" s="1547"/>
    </row>
    <row r="3" spans="1:6" ht="12.75" customHeight="1">
      <c r="A3" s="1587" t="s">
        <v>1339</v>
      </c>
      <c r="B3" s="1587"/>
      <c r="C3" s="1587"/>
      <c r="D3" s="1587"/>
      <c r="E3" s="1587"/>
      <c r="F3" s="216"/>
    </row>
    <row r="4" spans="1:6" ht="12.75" customHeight="1">
      <c r="A4" s="1587"/>
      <c r="B4" s="1587"/>
      <c r="C4" s="1587"/>
      <c r="D4" s="1587"/>
      <c r="E4" s="1587"/>
      <c r="F4" s="216"/>
    </row>
    <row r="5" spans="1:256" ht="12.75" customHeight="1">
      <c r="A5" s="1521" t="s">
        <v>73</v>
      </c>
      <c r="B5" s="1521"/>
      <c r="C5" s="1521"/>
      <c r="D5" s="1521"/>
      <c r="E5" s="1521"/>
      <c r="F5" s="152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521" t="s">
        <v>692</v>
      </c>
      <c r="B6" s="1521"/>
      <c r="C6" s="1521"/>
      <c r="D6" s="1521"/>
      <c r="E6" s="1521"/>
      <c r="F6" s="152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533"/>
      <c r="B7" s="533"/>
      <c r="C7" s="534"/>
      <c r="D7" s="534"/>
      <c r="E7" s="534"/>
      <c r="F7" s="53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535"/>
      <c r="B8"/>
      <c r="C8"/>
      <c r="D8" s="1561" t="s">
        <v>693</v>
      </c>
      <c r="E8" s="1561"/>
      <c r="F8" s="156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563" t="s">
        <v>33</v>
      </c>
      <c r="B9" s="529" t="s">
        <v>24</v>
      </c>
      <c r="C9" s="536" t="s">
        <v>694</v>
      </c>
      <c r="D9" s="536" t="s">
        <v>695</v>
      </c>
      <c r="E9" s="536" t="s">
        <v>696</v>
      </c>
      <c r="F9" s="536" t="s">
        <v>697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563"/>
      <c r="B10" s="529" t="s">
        <v>163</v>
      </c>
      <c r="C10" s="536" t="s">
        <v>164</v>
      </c>
      <c r="D10" s="536" t="s">
        <v>165</v>
      </c>
      <c r="E10" s="536" t="s">
        <v>166</v>
      </c>
      <c r="F10" s="536" t="s">
        <v>167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537" t="s">
        <v>38</v>
      </c>
      <c r="B11" s="538" t="s">
        <v>78</v>
      </c>
      <c r="C11" s="532">
        <f>SUM(C12:C14)</f>
        <v>46217</v>
      </c>
      <c r="D11" s="532">
        <f>SUM(D12:D14)</f>
        <v>40700</v>
      </c>
      <c r="E11" s="532">
        <f>SUM(E12:E14)</f>
        <v>40700</v>
      </c>
      <c r="F11" s="532">
        <f>SUM(F12:F14)</f>
        <v>40700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530" t="s">
        <v>40</v>
      </c>
      <c r="B12" s="539" t="s">
        <v>79</v>
      </c>
      <c r="C12" s="498">
        <v>36156</v>
      </c>
      <c r="D12" s="498">
        <v>40000</v>
      </c>
      <c r="E12" s="498">
        <v>40000</v>
      </c>
      <c r="F12" s="498">
        <v>40000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540" t="s">
        <v>47</v>
      </c>
      <c r="B13" s="539" t="s">
        <v>82</v>
      </c>
      <c r="C13" s="498">
        <v>10038</v>
      </c>
      <c r="D13" s="498"/>
      <c r="E13" s="498"/>
      <c r="F13" s="49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530" t="s">
        <v>49</v>
      </c>
      <c r="B14" s="539" t="s">
        <v>83</v>
      </c>
      <c r="C14" s="498">
        <v>23</v>
      </c>
      <c r="D14" s="498">
        <v>700</v>
      </c>
      <c r="E14" s="498">
        <v>700</v>
      </c>
      <c r="F14" s="498">
        <v>700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537" t="s">
        <v>51</v>
      </c>
      <c r="B15" s="541" t="s">
        <v>84</v>
      </c>
      <c r="C15" s="532">
        <f>SUM(C16:C19)</f>
        <v>239233</v>
      </c>
      <c r="D15" s="532">
        <f>SUM(D16:D19)</f>
        <v>219300</v>
      </c>
      <c r="E15" s="532">
        <f>SUM(E16:E19)</f>
        <v>219300</v>
      </c>
      <c r="F15" s="532">
        <f>SUM(F16:F19)</f>
        <v>265600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530" t="s">
        <v>53</v>
      </c>
      <c r="B16" s="539" t="s">
        <v>85</v>
      </c>
      <c r="C16" s="498">
        <v>53856</v>
      </c>
      <c r="D16" s="498">
        <v>46300</v>
      </c>
      <c r="E16" s="498">
        <v>46300</v>
      </c>
      <c r="F16" s="498">
        <v>46300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540" t="s">
        <v>55</v>
      </c>
      <c r="B17" s="539" t="s">
        <v>87</v>
      </c>
      <c r="C17" s="498"/>
      <c r="D17" s="498"/>
      <c r="E17" s="498"/>
      <c r="F17" s="498">
        <v>46300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530" t="s">
        <v>57</v>
      </c>
      <c r="B18" s="539" t="s">
        <v>88</v>
      </c>
      <c r="C18" s="498"/>
      <c r="D18" s="498"/>
      <c r="E18" s="498"/>
      <c r="F18" s="49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540" t="s">
        <v>86</v>
      </c>
      <c r="B19" s="539" t="s">
        <v>89</v>
      </c>
      <c r="C19" s="498">
        <v>185377</v>
      </c>
      <c r="D19" s="498">
        <v>173000</v>
      </c>
      <c r="E19" s="498">
        <v>173000</v>
      </c>
      <c r="F19" s="498">
        <v>173000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542" t="s">
        <v>59</v>
      </c>
      <c r="B20" s="541" t="s">
        <v>90</v>
      </c>
      <c r="C20" s="532">
        <f>SUM(C22:C26)</f>
        <v>168644</v>
      </c>
      <c r="D20" s="532">
        <f>SUM(D21:D26)</f>
        <v>136000</v>
      </c>
      <c r="E20" s="532">
        <f>SUM(E21:E26)</f>
        <v>136000</v>
      </c>
      <c r="F20" s="532">
        <f>SUM(F21:F26)</f>
        <v>136000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540" t="s">
        <v>61</v>
      </c>
      <c r="B21" s="539" t="s">
        <v>91</v>
      </c>
      <c r="C21" s="498"/>
      <c r="D21" s="498"/>
      <c r="E21" s="498"/>
      <c r="F21" s="498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530" t="s">
        <v>63</v>
      </c>
      <c r="B22" s="539" t="s">
        <v>39</v>
      </c>
      <c r="C22" s="498">
        <v>159027</v>
      </c>
      <c r="D22" s="498">
        <v>135000</v>
      </c>
      <c r="E22" s="498">
        <v>135000</v>
      </c>
      <c r="F22" s="498">
        <v>135000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540" t="s">
        <v>65</v>
      </c>
      <c r="B23" s="539" t="s">
        <v>93</v>
      </c>
      <c r="C23" s="498"/>
      <c r="D23" s="498"/>
      <c r="E23" s="498"/>
      <c r="F23" s="498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530" t="s">
        <v>92</v>
      </c>
      <c r="B24" s="539" t="s">
        <v>94</v>
      </c>
      <c r="C24" s="498">
        <v>9158</v>
      </c>
      <c r="D24" s="498"/>
      <c r="E24" s="498"/>
      <c r="F24" s="498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540" t="s">
        <v>66</v>
      </c>
      <c r="B25" s="539" t="s">
        <v>95</v>
      </c>
      <c r="C25" s="498">
        <v>459</v>
      </c>
      <c r="D25" s="498">
        <v>1000</v>
      </c>
      <c r="E25" s="498">
        <v>1000</v>
      </c>
      <c r="F25" s="498">
        <v>1000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530" t="s">
        <v>67</v>
      </c>
      <c r="B26" s="539" t="s">
        <v>96</v>
      </c>
      <c r="C26" s="498">
        <v>0</v>
      </c>
      <c r="D26" s="498"/>
      <c r="E26" s="498"/>
      <c r="F26" s="498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537" t="s">
        <v>68</v>
      </c>
      <c r="B27" s="541" t="s">
        <v>98</v>
      </c>
      <c r="C27" s="532">
        <f>SUM(C28)</f>
        <v>80000</v>
      </c>
      <c r="D27" s="532">
        <f>SUM(D28)</f>
        <v>0</v>
      </c>
      <c r="E27" s="532">
        <f>SUM(E28)</f>
        <v>0</v>
      </c>
      <c r="F27" s="532">
        <f>SUM(F28)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530" t="s">
        <v>70</v>
      </c>
      <c r="B28" s="539" t="s">
        <v>100</v>
      </c>
      <c r="C28" s="498">
        <v>80000</v>
      </c>
      <c r="D28" s="498">
        <f>SUM(D29:D30)</f>
        <v>0</v>
      </c>
      <c r="E28" s="498">
        <f>SUM(E29:E30)</f>
        <v>0</v>
      </c>
      <c r="F28" s="498">
        <f>SUM(F29:F30)</f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540" t="s">
        <v>97</v>
      </c>
      <c r="B29" s="539" t="s">
        <v>102</v>
      </c>
      <c r="C29" s="498"/>
      <c r="D29" s="498"/>
      <c r="E29" s="498"/>
      <c r="F29" s="498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530" t="s">
        <v>99</v>
      </c>
      <c r="B30" s="539" t="s">
        <v>104</v>
      </c>
      <c r="C30" s="498">
        <v>80000</v>
      </c>
      <c r="D30" s="498">
        <v>0</v>
      </c>
      <c r="E30" s="498">
        <v>0</v>
      </c>
      <c r="F30" s="498"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537" t="s">
        <v>101</v>
      </c>
      <c r="B31" s="541" t="s">
        <v>301</v>
      </c>
      <c r="C31" s="532">
        <v>83258</v>
      </c>
      <c r="D31" s="532">
        <v>0</v>
      </c>
      <c r="E31" s="532">
        <v>0</v>
      </c>
      <c r="F31" s="532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537" t="s">
        <v>103</v>
      </c>
      <c r="B32" s="541" t="s">
        <v>106</v>
      </c>
      <c r="C32" s="532">
        <f>SUM(C33:C35)</f>
        <v>9835</v>
      </c>
      <c r="D32" s="532">
        <f>SUM(D33:D35)</f>
        <v>15000</v>
      </c>
      <c r="E32" s="532">
        <f>SUM(E33:E35)</f>
        <v>15000</v>
      </c>
      <c r="F32" s="532">
        <f>SUM(F33:F35)</f>
        <v>15000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530" t="s">
        <v>105</v>
      </c>
      <c r="B33" s="539" t="s">
        <v>108</v>
      </c>
      <c r="C33" s="498">
        <v>7399</v>
      </c>
      <c r="D33" s="498">
        <v>15000</v>
      </c>
      <c r="E33" s="498">
        <v>15000</v>
      </c>
      <c r="F33" s="498">
        <v>15000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540" t="s">
        <v>107</v>
      </c>
      <c r="B34" s="539" t="s">
        <v>698</v>
      </c>
      <c r="C34" s="498">
        <v>1577</v>
      </c>
      <c r="D34" s="498"/>
      <c r="E34" s="498"/>
      <c r="F34" s="498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540" t="s">
        <v>109</v>
      </c>
      <c r="B35" s="539" t="s">
        <v>183</v>
      </c>
      <c r="C35" s="498">
        <v>859</v>
      </c>
      <c r="D35" s="498">
        <v>0</v>
      </c>
      <c r="E35" s="498">
        <v>0</v>
      </c>
      <c r="F35" s="498"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530" t="s">
        <v>111</v>
      </c>
      <c r="B36" s="539" t="s">
        <v>112</v>
      </c>
      <c r="C36" s="498"/>
      <c r="D36" s="498"/>
      <c r="E36" s="498"/>
      <c r="F36" s="49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6" s="12" customFormat="1" ht="12.75" customHeight="1">
      <c r="A37" s="542" t="s">
        <v>113</v>
      </c>
      <c r="B37" s="541" t="s">
        <v>194</v>
      </c>
      <c r="C37" s="532">
        <v>11934</v>
      </c>
      <c r="D37" s="532">
        <v>0</v>
      </c>
      <c r="E37" s="532">
        <v>0</v>
      </c>
      <c r="F37" s="532">
        <v>0</v>
      </c>
    </row>
    <row r="38" spans="1:6" s="12" customFormat="1" ht="12.75" customHeight="1">
      <c r="A38" s="542" t="s">
        <v>115</v>
      </c>
      <c r="B38" s="541" t="s">
        <v>273</v>
      </c>
      <c r="C38" s="532">
        <v>0</v>
      </c>
      <c r="D38" s="532"/>
      <c r="E38" s="532"/>
      <c r="F38" s="532"/>
    </row>
    <row r="39" spans="1:256" ht="12.75" customHeight="1">
      <c r="A39" s="542" t="s">
        <v>117</v>
      </c>
      <c r="B39" s="541" t="s">
        <v>114</v>
      </c>
      <c r="C39" s="498">
        <v>60159</v>
      </c>
      <c r="D39" s="498"/>
      <c r="E39" s="498"/>
      <c r="F39" s="49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543" t="s">
        <v>118</v>
      </c>
      <c r="B40" s="544" t="s">
        <v>116</v>
      </c>
      <c r="C40" s="545">
        <f>C39+C32+C20+C15+C11+C37+C28+C31</f>
        <v>699280</v>
      </c>
      <c r="D40" s="545">
        <f>D39+D32+D20+D15+D11+D37+D28</f>
        <v>411000</v>
      </c>
      <c r="E40" s="545">
        <f>E39+E32+E20+E15+E11+E37+E28</f>
        <v>411000</v>
      </c>
      <c r="F40" s="545">
        <f>F39+F32+F20+F15+F11+F37+F28</f>
        <v>457300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530" t="s">
        <v>120</v>
      </c>
      <c r="B41" s="541" t="s">
        <v>119</v>
      </c>
      <c r="C41" s="532">
        <f>SUM(C42,C43,C44,C45,C46,)</f>
        <v>467363</v>
      </c>
      <c r="D41" s="532">
        <f>SUM(D42,D43,D44,D45,D46,)</f>
        <v>411000</v>
      </c>
      <c r="E41" s="532">
        <f>SUM(E42,E43,E44,E45,E46,)</f>
        <v>411000</v>
      </c>
      <c r="F41" s="532">
        <f>SUM(F42,F43,F44,F45,F46,)</f>
        <v>411000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530" t="s">
        <v>122</v>
      </c>
      <c r="B42" s="539" t="s">
        <v>121</v>
      </c>
      <c r="C42" s="498">
        <v>208760</v>
      </c>
      <c r="D42" s="498">
        <v>210000</v>
      </c>
      <c r="E42" s="498">
        <v>210000</v>
      </c>
      <c r="F42" s="498">
        <v>210000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530" t="s">
        <v>124</v>
      </c>
      <c r="B43" s="539" t="s">
        <v>123</v>
      </c>
      <c r="C43" s="498">
        <v>54406</v>
      </c>
      <c r="D43" s="498">
        <v>54000</v>
      </c>
      <c r="E43" s="498">
        <v>54000</v>
      </c>
      <c r="F43" s="498">
        <v>54000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530" t="s">
        <v>126</v>
      </c>
      <c r="B44" s="539" t="s">
        <v>125</v>
      </c>
      <c r="C44" s="498">
        <v>166395</v>
      </c>
      <c r="D44" s="498">
        <v>114000</v>
      </c>
      <c r="E44" s="498">
        <v>114000</v>
      </c>
      <c r="F44" s="498">
        <v>114000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530" t="s">
        <v>128</v>
      </c>
      <c r="B45" s="539" t="s">
        <v>127</v>
      </c>
      <c r="C45" s="498">
        <v>34574</v>
      </c>
      <c r="D45" s="498">
        <v>30000</v>
      </c>
      <c r="E45" s="498">
        <v>30000</v>
      </c>
      <c r="F45" s="498">
        <v>30000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530" t="s">
        <v>130</v>
      </c>
      <c r="B46" s="539" t="s">
        <v>129</v>
      </c>
      <c r="C46" s="498">
        <v>3228</v>
      </c>
      <c r="D46" s="498">
        <v>3000</v>
      </c>
      <c r="E46" s="498">
        <v>3000</v>
      </c>
      <c r="F46" s="498">
        <v>3000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6" s="12" customFormat="1" ht="28.5" customHeight="1">
      <c r="A47" s="542" t="s">
        <v>131</v>
      </c>
      <c r="B47" s="546" t="s">
        <v>213</v>
      </c>
      <c r="C47" s="532">
        <v>11585</v>
      </c>
      <c r="D47" s="532">
        <v>0</v>
      </c>
      <c r="E47" s="532">
        <v>0</v>
      </c>
      <c r="F47" s="532">
        <v>0</v>
      </c>
    </row>
    <row r="48" spans="1:6" s="12" customFormat="1" ht="28.5" customHeight="1">
      <c r="A48" s="542" t="s">
        <v>133</v>
      </c>
      <c r="B48" s="546" t="s">
        <v>699</v>
      </c>
      <c r="C48" s="532">
        <v>256</v>
      </c>
      <c r="D48" s="532"/>
      <c r="E48" s="532"/>
      <c r="F48" s="532"/>
    </row>
    <row r="49" spans="1:6" s="12" customFormat="1" ht="28.5" customHeight="1">
      <c r="A49" s="542" t="s">
        <v>135</v>
      </c>
      <c r="B49" s="546" t="s">
        <v>273</v>
      </c>
      <c r="C49" s="532">
        <v>0</v>
      </c>
      <c r="D49" s="532">
        <v>0</v>
      </c>
      <c r="E49" s="532">
        <v>0</v>
      </c>
      <c r="F49" s="532">
        <v>0</v>
      </c>
    </row>
    <row r="50" spans="1:256" ht="12.75" customHeight="1">
      <c r="A50" s="542" t="s">
        <v>137</v>
      </c>
      <c r="B50" s="541" t="s">
        <v>15</v>
      </c>
      <c r="C50" s="532">
        <v>102786</v>
      </c>
      <c r="D50" s="532">
        <v>0</v>
      </c>
      <c r="E50" s="532">
        <v>0</v>
      </c>
      <c r="F50" s="532"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 s="542" t="s">
        <v>139</v>
      </c>
      <c r="B51" s="541" t="s">
        <v>700</v>
      </c>
      <c r="C51" s="532">
        <v>80000</v>
      </c>
      <c r="D51" s="532"/>
      <c r="E51" s="532"/>
      <c r="F51" s="532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 s="542" t="s">
        <v>141</v>
      </c>
      <c r="B52" s="541" t="s">
        <v>381</v>
      </c>
      <c r="C52" s="532">
        <v>0</v>
      </c>
      <c r="D52" s="532">
        <v>0</v>
      </c>
      <c r="E52" s="532">
        <v>0</v>
      </c>
      <c r="F52" s="532"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542" t="s">
        <v>143</v>
      </c>
      <c r="B53" s="541" t="s">
        <v>150</v>
      </c>
      <c r="C53" s="547">
        <v>37290</v>
      </c>
      <c r="D53" s="532">
        <v>0</v>
      </c>
      <c r="E53" s="532">
        <v>0</v>
      </c>
      <c r="F53" s="532"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543" t="s">
        <v>145</v>
      </c>
      <c r="B54" s="544" t="s">
        <v>152</v>
      </c>
      <c r="C54" s="545">
        <f>SUM(C41+C47+C50+C53)+C51+C48</f>
        <v>699280</v>
      </c>
      <c r="D54" s="545">
        <f>SUM(D41+D47+D50+D53)</f>
        <v>411000</v>
      </c>
      <c r="E54" s="545">
        <f>SUM(E41+E47+E50+E53)</f>
        <v>411000</v>
      </c>
      <c r="F54" s="545">
        <f>SUM(F41+F47+F50+F53)</f>
        <v>411000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</sheetData>
  <sheetProtection selectLockedCells="1" selectUnlockedCells="1"/>
  <mergeCells count="7">
    <mergeCell ref="A9:A10"/>
    <mergeCell ref="A1:F1"/>
    <mergeCell ref="A2:F2"/>
    <mergeCell ref="A3:E4"/>
    <mergeCell ref="A5:F5"/>
    <mergeCell ref="A6:F6"/>
    <mergeCell ref="D8:F8"/>
  </mergeCells>
  <printOptions/>
  <pageMargins left="0.7875" right="0.7875" top="1.0631944444444446" bottom="1.0631944444444446" header="0.5118055555555555" footer="0.7875"/>
  <pageSetup horizontalDpi="300" verticalDpi="300" orientation="portrait" paperSize="9" scale="77" r:id="rId1"/>
  <headerFooter alignWithMargins="0"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J45"/>
  <sheetViews>
    <sheetView zoomScalePageLayoutView="0" workbookViewId="0" topLeftCell="A1">
      <selection activeCell="M20" sqref="M20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5" width="10.8515625" style="57" customWidth="1"/>
    <col min="6" max="6" width="11.28125" style="57" customWidth="1"/>
    <col min="7" max="7" width="10.8515625" style="57" customWidth="1"/>
    <col min="8" max="8" width="12.8515625" style="57" customWidth="1"/>
    <col min="9" max="10" width="12.140625" style="57" customWidth="1"/>
    <col min="11" max="11" width="9.8515625" style="0" customWidth="1"/>
  </cols>
  <sheetData>
    <row r="1" spans="1:10" s="625" customFormat="1" ht="18" customHeight="1">
      <c r="A1" s="1592" t="s">
        <v>722</v>
      </c>
      <c r="B1" s="1592"/>
      <c r="C1" s="1592"/>
      <c r="D1" s="1592"/>
      <c r="E1" s="1592"/>
      <c r="F1" s="1592"/>
      <c r="G1" s="1592"/>
      <c r="H1" s="1592"/>
      <c r="I1" s="1592"/>
      <c r="J1" s="1592"/>
    </row>
    <row r="2" spans="1:10" ht="15" customHeight="1">
      <c r="A2" s="1591" t="s">
        <v>1340</v>
      </c>
      <c r="B2" s="1591"/>
      <c r="C2" s="1591"/>
      <c r="D2" s="1591"/>
      <c r="E2" s="1591"/>
      <c r="F2" s="1591"/>
      <c r="G2" s="1591"/>
      <c r="H2" s="1591"/>
      <c r="I2" s="1591"/>
      <c r="J2" s="1591"/>
    </row>
    <row r="3" spans="1:10" ht="12.75" customHeight="1">
      <c r="A3" s="1701" t="s">
        <v>1341</v>
      </c>
      <c r="B3" s="1701"/>
      <c r="C3" s="1701"/>
      <c r="D3" s="1701"/>
      <c r="E3" s="1701"/>
      <c r="F3" s="1701"/>
      <c r="G3" s="1701"/>
      <c r="H3" s="1701"/>
      <c r="I3" s="1701"/>
      <c r="J3" s="1701"/>
    </row>
    <row r="4" spans="3:10" ht="12.75" customHeight="1">
      <c r="C4" s="2"/>
      <c r="D4" s="2"/>
      <c r="E4" s="626"/>
      <c r="F4" s="626"/>
      <c r="G4" s="626"/>
      <c r="H4" s="626"/>
      <c r="I4" s="626"/>
      <c r="J4" s="626"/>
    </row>
    <row r="5" spans="1:10" ht="21" customHeight="1">
      <c r="A5" s="1590" t="s">
        <v>723</v>
      </c>
      <c r="B5" s="1590"/>
      <c r="C5" s="1590"/>
      <c r="D5" s="1590"/>
      <c r="E5" s="1590"/>
      <c r="F5" s="1590"/>
      <c r="G5" s="1590"/>
      <c r="H5" s="1590"/>
      <c r="I5" s="1590"/>
      <c r="J5" s="1590"/>
    </row>
    <row r="6" spans="3:4" ht="21" customHeight="1">
      <c r="C6" s="627"/>
      <c r="D6" s="627"/>
    </row>
    <row r="7" spans="6:10" ht="12.75" customHeight="1" thickBot="1">
      <c r="F7" s="1519" t="s">
        <v>155</v>
      </c>
      <c r="G7" s="1519"/>
      <c r="H7" s="1519"/>
      <c r="I7" s="1519"/>
      <c r="J7" s="1519"/>
    </row>
    <row r="8" spans="1:10" ht="38.25" customHeight="1" thickBot="1">
      <c r="A8" s="1588" t="s">
        <v>156</v>
      </c>
      <c r="B8" s="1588"/>
      <c r="C8" s="1589" t="s">
        <v>157</v>
      </c>
      <c r="D8" s="1589"/>
      <c r="E8" s="628" t="s">
        <v>158</v>
      </c>
      <c r="F8" s="629" t="s">
        <v>159</v>
      </c>
      <c r="G8" s="629" t="s">
        <v>201</v>
      </c>
      <c r="H8" s="629" t="s">
        <v>162</v>
      </c>
      <c r="I8" s="629" t="s">
        <v>908</v>
      </c>
      <c r="J8" s="629" t="s">
        <v>941</v>
      </c>
    </row>
    <row r="9" spans="1:10" ht="12.75" customHeight="1">
      <c r="A9" s="1588"/>
      <c r="B9" s="1588"/>
      <c r="C9" s="630" t="s">
        <v>163</v>
      </c>
      <c r="D9" s="631"/>
      <c r="E9" s="632" t="s">
        <v>164</v>
      </c>
      <c r="F9" s="633" t="s">
        <v>165</v>
      </c>
      <c r="G9" s="633" t="s">
        <v>166</v>
      </c>
      <c r="H9" s="633" t="s">
        <v>167</v>
      </c>
      <c r="I9" s="633" t="s">
        <v>168</v>
      </c>
      <c r="J9" s="633" t="s">
        <v>226</v>
      </c>
    </row>
    <row r="10" spans="1:10" ht="12.75" customHeight="1">
      <c r="A10" s="1593" t="s">
        <v>38</v>
      </c>
      <c r="B10" s="1593"/>
      <c r="C10" s="369" t="s">
        <v>321</v>
      </c>
      <c r="D10" s="634"/>
      <c r="E10" s="635">
        <v>465</v>
      </c>
      <c r="F10" s="355">
        <v>600</v>
      </c>
      <c r="G10" s="355">
        <v>600</v>
      </c>
      <c r="H10" s="355">
        <v>600</v>
      </c>
      <c r="I10" s="355">
        <v>300</v>
      </c>
      <c r="J10" s="355">
        <v>314</v>
      </c>
    </row>
    <row r="11" spans="1:10" ht="12.75" customHeight="1">
      <c r="A11" s="1594" t="s">
        <v>40</v>
      </c>
      <c r="B11" s="1594"/>
      <c r="C11" s="636" t="s">
        <v>680</v>
      </c>
      <c r="D11" s="637"/>
      <c r="E11" s="409">
        <v>10</v>
      </c>
      <c r="F11" s="410">
        <v>0</v>
      </c>
      <c r="G11" s="410">
        <v>0</v>
      </c>
      <c r="H11" s="410">
        <v>0</v>
      </c>
      <c r="I11" s="410">
        <v>0</v>
      </c>
      <c r="J11" s="410">
        <v>0</v>
      </c>
    </row>
    <row r="12" spans="1:10" ht="12.75" customHeight="1">
      <c r="A12" s="1594" t="s">
        <v>47</v>
      </c>
      <c r="B12" s="1594"/>
      <c r="C12" s="636" t="s">
        <v>708</v>
      </c>
      <c r="D12" s="637"/>
      <c r="E12" s="409">
        <f>SUM(E10)+E11</f>
        <v>475</v>
      </c>
      <c r="F12" s="410">
        <f>SUM(F10)</f>
        <v>600</v>
      </c>
      <c r="G12" s="410">
        <f>SUM(G10)</f>
        <v>600</v>
      </c>
      <c r="H12" s="410">
        <f>SUM(H10)</f>
        <v>600</v>
      </c>
      <c r="I12" s="410">
        <f>SUM(I10)</f>
        <v>300</v>
      </c>
      <c r="J12" s="410">
        <f>SUM(J10)</f>
        <v>314</v>
      </c>
    </row>
    <row r="13" spans="1:10" ht="12.75" customHeight="1">
      <c r="A13" s="1593" t="s">
        <v>49</v>
      </c>
      <c r="B13" s="1593"/>
      <c r="C13" s="344" t="s">
        <v>724</v>
      </c>
      <c r="D13" s="565"/>
      <c r="E13" s="635">
        <f aca="true" t="shared" si="0" ref="E13:J13">SUM(E14:E15)</f>
        <v>11904</v>
      </c>
      <c r="F13" s="355">
        <f t="shared" si="0"/>
        <v>10624</v>
      </c>
      <c r="G13" s="355">
        <f t="shared" si="0"/>
        <v>11578</v>
      </c>
      <c r="H13" s="355">
        <f t="shared" si="0"/>
        <v>13728</v>
      </c>
      <c r="I13" s="355">
        <f t="shared" si="0"/>
        <v>14819</v>
      </c>
      <c r="J13" s="355">
        <f t="shared" si="0"/>
        <v>14218</v>
      </c>
    </row>
    <row r="14" spans="1:10" ht="12.75" customHeight="1">
      <c r="A14" s="1593" t="s">
        <v>51</v>
      </c>
      <c r="B14" s="1593"/>
      <c r="C14" s="638" t="s">
        <v>710</v>
      </c>
      <c r="D14" s="639"/>
      <c r="E14" s="640">
        <v>4044</v>
      </c>
      <c r="F14" s="641">
        <v>4028</v>
      </c>
      <c r="G14" s="641">
        <v>4036</v>
      </c>
      <c r="H14" s="641">
        <v>4036</v>
      </c>
      <c r="I14" s="641">
        <v>4146</v>
      </c>
      <c r="J14" s="641">
        <v>4146</v>
      </c>
    </row>
    <row r="15" spans="1:10" ht="12.75" customHeight="1">
      <c r="A15" s="1595" t="s">
        <v>53</v>
      </c>
      <c r="B15" s="1595"/>
      <c r="C15" s="642" t="s">
        <v>711</v>
      </c>
      <c r="D15" s="585"/>
      <c r="E15" s="643">
        <v>7860</v>
      </c>
      <c r="F15" s="644">
        <v>6596</v>
      </c>
      <c r="G15" s="644">
        <v>7542</v>
      </c>
      <c r="H15" s="644">
        <v>9692</v>
      </c>
      <c r="I15" s="644">
        <v>10673</v>
      </c>
      <c r="J15" s="644">
        <v>10072</v>
      </c>
    </row>
    <row r="16" spans="1:10" s="1" customFormat="1" ht="12.75" customHeight="1">
      <c r="A16" s="1593" t="s">
        <v>55</v>
      </c>
      <c r="B16" s="1593"/>
      <c r="C16" s="1596" t="s">
        <v>230</v>
      </c>
      <c r="D16" s="1596"/>
      <c r="E16" s="635">
        <v>129</v>
      </c>
      <c r="F16" s="355">
        <v>330</v>
      </c>
      <c r="G16" s="355">
        <v>330</v>
      </c>
      <c r="H16" s="355">
        <v>330</v>
      </c>
      <c r="I16" s="355">
        <v>330</v>
      </c>
      <c r="J16" s="355">
        <v>330</v>
      </c>
    </row>
    <row r="17" spans="1:10" s="1" customFormat="1" ht="12.75" customHeight="1" thickBot="1">
      <c r="A17" s="1597" t="s">
        <v>57</v>
      </c>
      <c r="B17" s="1597"/>
      <c r="C17" s="1598" t="s">
        <v>192</v>
      </c>
      <c r="D17" s="1598"/>
      <c r="E17" s="646">
        <f aca="true" t="shared" si="1" ref="E17:J17">SUM(E13+E16)</f>
        <v>12033</v>
      </c>
      <c r="F17" s="647">
        <f t="shared" si="1"/>
        <v>10954</v>
      </c>
      <c r="G17" s="647">
        <f t="shared" si="1"/>
        <v>11908</v>
      </c>
      <c r="H17" s="647">
        <f t="shared" si="1"/>
        <v>14058</v>
      </c>
      <c r="I17" s="647">
        <f t="shared" si="1"/>
        <v>15149</v>
      </c>
      <c r="J17" s="647">
        <f t="shared" si="1"/>
        <v>14548</v>
      </c>
    </row>
    <row r="18" spans="1:10" ht="12.75" customHeight="1" thickBot="1">
      <c r="A18" s="1599" t="s">
        <v>86</v>
      </c>
      <c r="B18" s="1599"/>
      <c r="C18" s="648" t="s">
        <v>116</v>
      </c>
      <c r="D18" s="649"/>
      <c r="E18" s="650">
        <f>SUM(E10+E13+E16)+E11</f>
        <v>12508</v>
      </c>
      <c r="F18" s="651">
        <f>SUM(F10+F13+F16)</f>
        <v>11554</v>
      </c>
      <c r="G18" s="651">
        <f>SUM(G10+G13+G16)</f>
        <v>12508</v>
      </c>
      <c r="H18" s="651">
        <f>SUM(H10+H13+H16)</f>
        <v>14658</v>
      </c>
      <c r="I18" s="651">
        <f>SUM(I10+I13+I16)</f>
        <v>15449</v>
      </c>
      <c r="J18" s="651">
        <f>SUM(J10+J13+J16)</f>
        <v>14862</v>
      </c>
    </row>
    <row r="19" spans="1:10" s="241" customFormat="1" ht="12.75" customHeight="1" thickBot="1">
      <c r="A19" s="383"/>
      <c r="B19" s="383"/>
      <c r="C19" s="384"/>
      <c r="D19" s="384"/>
      <c r="E19" s="652"/>
      <c r="F19" s="652"/>
      <c r="G19" s="652"/>
      <c r="H19" s="652"/>
      <c r="I19" s="652"/>
      <c r="J19" s="652"/>
    </row>
    <row r="20" spans="1:10" ht="49.5" customHeight="1" thickBot="1">
      <c r="A20" s="1600" t="s">
        <v>156</v>
      </c>
      <c r="B20" s="1600"/>
      <c r="C20" s="653" t="s">
        <v>119</v>
      </c>
      <c r="D20" s="654" t="s">
        <v>725</v>
      </c>
      <c r="E20" s="401" t="s">
        <v>158</v>
      </c>
      <c r="F20" s="655" t="s">
        <v>159</v>
      </c>
      <c r="G20" s="656" t="s">
        <v>201</v>
      </c>
      <c r="H20" s="656" t="s">
        <v>162</v>
      </c>
      <c r="I20" s="656" t="s">
        <v>908</v>
      </c>
      <c r="J20" s="656" t="s">
        <v>941</v>
      </c>
    </row>
    <row r="21" spans="1:10" ht="12.75" customHeight="1">
      <c r="A21" s="1600"/>
      <c r="B21" s="1600"/>
      <c r="C21" s="657" t="s">
        <v>163</v>
      </c>
      <c r="D21" s="8" t="s">
        <v>164</v>
      </c>
      <c r="E21" s="658" t="s">
        <v>165</v>
      </c>
      <c r="F21" s="658" t="s">
        <v>166</v>
      </c>
      <c r="G21" s="164" t="s">
        <v>167</v>
      </c>
      <c r="H21" s="164" t="s">
        <v>168</v>
      </c>
      <c r="I21" s="164" t="s">
        <v>226</v>
      </c>
      <c r="J21" s="164" t="s">
        <v>690</v>
      </c>
    </row>
    <row r="22" spans="1:10" ht="12.75" customHeight="1">
      <c r="A22" s="659" t="s">
        <v>59</v>
      </c>
      <c r="B22" s="343" t="s">
        <v>169</v>
      </c>
      <c r="C22" s="435" t="s">
        <v>490</v>
      </c>
      <c r="D22" s="408">
        <v>2.5</v>
      </c>
      <c r="E22" s="660">
        <f aca="true" t="shared" si="2" ref="E22:J22">SUM(E23:E26)</f>
        <v>10610</v>
      </c>
      <c r="F22" s="660">
        <f t="shared" si="2"/>
        <v>9553</v>
      </c>
      <c r="G22" s="76">
        <f t="shared" si="2"/>
        <v>10507</v>
      </c>
      <c r="H22" s="76">
        <f t="shared" si="2"/>
        <v>10507</v>
      </c>
      <c r="I22" s="76">
        <f t="shared" si="2"/>
        <v>12086</v>
      </c>
      <c r="J22" s="76">
        <f t="shared" si="2"/>
        <v>12304</v>
      </c>
    </row>
    <row r="23" spans="1:10" ht="12.75" customHeight="1">
      <c r="A23" s="661" t="s">
        <v>61</v>
      </c>
      <c r="B23" s="349"/>
      <c r="C23" s="302" t="s">
        <v>203</v>
      </c>
      <c r="D23" s="413"/>
      <c r="E23" s="354">
        <v>5460</v>
      </c>
      <c r="F23" s="354">
        <v>5766</v>
      </c>
      <c r="G23" s="662">
        <v>5803</v>
      </c>
      <c r="H23" s="662">
        <v>5803</v>
      </c>
      <c r="I23" s="662">
        <v>5803</v>
      </c>
      <c r="J23" s="662">
        <v>6392</v>
      </c>
    </row>
    <row r="24" spans="1:10" ht="12.75" customHeight="1">
      <c r="A24" s="661" t="s">
        <v>63</v>
      </c>
      <c r="B24" s="349"/>
      <c r="C24" s="302" t="s">
        <v>204</v>
      </c>
      <c r="D24" s="413"/>
      <c r="E24" s="354">
        <v>1485</v>
      </c>
      <c r="F24" s="354">
        <v>1577</v>
      </c>
      <c r="G24" s="662">
        <v>1730</v>
      </c>
      <c r="H24" s="662">
        <v>1730</v>
      </c>
      <c r="I24" s="662">
        <v>1730</v>
      </c>
      <c r="J24" s="662">
        <v>1726</v>
      </c>
    </row>
    <row r="25" spans="1:10" ht="12.75" customHeight="1">
      <c r="A25" s="661" t="s">
        <v>65</v>
      </c>
      <c r="B25" s="349"/>
      <c r="C25" s="302" t="s">
        <v>338</v>
      </c>
      <c r="D25" s="413"/>
      <c r="E25" s="354">
        <v>3172</v>
      </c>
      <c r="F25" s="354">
        <v>2210</v>
      </c>
      <c r="G25" s="662">
        <v>2974</v>
      </c>
      <c r="H25" s="662">
        <v>2974</v>
      </c>
      <c r="I25" s="662">
        <v>4155</v>
      </c>
      <c r="J25" s="662">
        <v>3823</v>
      </c>
    </row>
    <row r="26" spans="1:10" ht="12.75" customHeight="1">
      <c r="A26" s="661" t="s">
        <v>92</v>
      </c>
      <c r="B26" s="349"/>
      <c r="C26" s="302" t="s">
        <v>336</v>
      </c>
      <c r="D26" s="413"/>
      <c r="E26" s="354">
        <v>493</v>
      </c>
      <c r="F26" s="354">
        <v>0</v>
      </c>
      <c r="G26" s="662">
        <v>0</v>
      </c>
      <c r="H26" s="662">
        <v>0</v>
      </c>
      <c r="I26" s="662">
        <v>398</v>
      </c>
      <c r="J26" s="662">
        <v>363</v>
      </c>
    </row>
    <row r="27" spans="1:10" ht="12.75" customHeight="1">
      <c r="A27" s="659" t="s">
        <v>66</v>
      </c>
      <c r="B27" s="343" t="s">
        <v>173</v>
      </c>
      <c r="C27" s="13" t="s">
        <v>496</v>
      </c>
      <c r="D27" s="408">
        <v>0.5</v>
      </c>
      <c r="E27" s="372">
        <f>SUM(E28:E31)</f>
        <v>1898</v>
      </c>
      <c r="F27" s="372">
        <f>SUM(F28:F30)</f>
        <v>2001</v>
      </c>
      <c r="G27" s="167">
        <f>SUM(G28:G30)</f>
        <v>2001</v>
      </c>
      <c r="H27" s="167">
        <f>SUM(H28:H30)</f>
        <v>2001</v>
      </c>
      <c r="I27" s="167">
        <f>SUM(I28:I30)</f>
        <v>2001</v>
      </c>
      <c r="J27" s="167">
        <f>SUM(J28:J30)</f>
        <v>1379</v>
      </c>
    </row>
    <row r="28" spans="1:10" ht="12.75" customHeight="1">
      <c r="A28" s="661" t="s">
        <v>67</v>
      </c>
      <c r="B28" s="349"/>
      <c r="C28" s="302" t="s">
        <v>203</v>
      </c>
      <c r="D28" s="413"/>
      <c r="E28" s="354">
        <v>462</v>
      </c>
      <c r="F28" s="354">
        <v>786</v>
      </c>
      <c r="G28" s="662">
        <v>786</v>
      </c>
      <c r="H28" s="662">
        <v>786</v>
      </c>
      <c r="I28" s="662">
        <v>786</v>
      </c>
      <c r="J28" s="662">
        <v>362</v>
      </c>
    </row>
    <row r="29" spans="1:10" ht="12.75" customHeight="1">
      <c r="A29" s="661" t="s">
        <v>68</v>
      </c>
      <c r="B29" s="349"/>
      <c r="C29" s="302" t="s">
        <v>204</v>
      </c>
      <c r="D29" s="413"/>
      <c r="E29" s="354">
        <v>106</v>
      </c>
      <c r="F29" s="354">
        <v>215</v>
      </c>
      <c r="G29" s="662">
        <v>215</v>
      </c>
      <c r="H29" s="662">
        <v>215</v>
      </c>
      <c r="I29" s="662">
        <v>215</v>
      </c>
      <c r="J29" s="662">
        <v>98</v>
      </c>
    </row>
    <row r="30" spans="1:10" ht="12.75" customHeight="1">
      <c r="A30" s="663" t="s">
        <v>70</v>
      </c>
      <c r="B30" s="439"/>
      <c r="C30" s="440" t="s">
        <v>338</v>
      </c>
      <c r="D30" s="441"/>
      <c r="E30" s="664">
        <v>1263</v>
      </c>
      <c r="F30" s="664">
        <v>1000</v>
      </c>
      <c r="G30" s="187">
        <v>1000</v>
      </c>
      <c r="H30" s="187">
        <v>1000</v>
      </c>
      <c r="I30" s="187">
        <v>1000</v>
      </c>
      <c r="J30" s="187">
        <v>919</v>
      </c>
    </row>
    <row r="31" spans="1:10" ht="12.75" customHeight="1">
      <c r="A31" s="129" t="s">
        <v>97</v>
      </c>
      <c r="B31" s="439"/>
      <c r="C31" s="440" t="s">
        <v>336</v>
      </c>
      <c r="D31" s="441"/>
      <c r="E31" s="186">
        <v>67</v>
      </c>
      <c r="F31" s="664">
        <v>0</v>
      </c>
      <c r="G31" s="187">
        <v>0</v>
      </c>
      <c r="H31" s="187">
        <v>0</v>
      </c>
      <c r="I31" s="187">
        <v>0</v>
      </c>
      <c r="J31" s="187">
        <v>0</v>
      </c>
    </row>
    <row r="32" spans="1:10" ht="12.75" customHeight="1">
      <c r="A32" s="956" t="s">
        <v>99</v>
      </c>
      <c r="B32" s="959" t="s">
        <v>177</v>
      </c>
      <c r="C32" s="13" t="s">
        <v>913</v>
      </c>
      <c r="D32" s="408">
        <v>0</v>
      </c>
      <c r="E32" s="372"/>
      <c r="F32" s="372">
        <f>SUM(F33:F35)</f>
        <v>0</v>
      </c>
      <c r="G32" s="167">
        <f>SUM(G33:G35)</f>
        <v>0</v>
      </c>
      <c r="H32" s="167">
        <f>SUM(H33:H35)</f>
        <v>2150</v>
      </c>
      <c r="I32" s="167">
        <f>SUM(I33:I35)</f>
        <v>669</v>
      </c>
      <c r="J32" s="167">
        <f>SUM(J33:J35)</f>
        <v>678</v>
      </c>
    </row>
    <row r="33" spans="1:10" ht="12.75" customHeight="1">
      <c r="A33" s="956" t="s">
        <v>101</v>
      </c>
      <c r="B33" s="959"/>
      <c r="C33" s="302" t="s">
        <v>203</v>
      </c>
      <c r="D33" s="413"/>
      <c r="E33" s="354"/>
      <c r="F33" s="354">
        <v>0</v>
      </c>
      <c r="G33" s="662">
        <v>0</v>
      </c>
      <c r="H33" s="662">
        <v>0</v>
      </c>
      <c r="I33" s="662">
        <v>0</v>
      </c>
      <c r="J33" s="662">
        <v>0</v>
      </c>
    </row>
    <row r="34" spans="1:10" ht="12.75" customHeight="1">
      <c r="A34" s="956" t="s">
        <v>103</v>
      </c>
      <c r="B34" s="959"/>
      <c r="C34" s="302" t="s">
        <v>204</v>
      </c>
      <c r="D34" s="413"/>
      <c r="E34" s="354"/>
      <c r="F34" s="354">
        <v>0</v>
      </c>
      <c r="G34" s="662">
        <v>0</v>
      </c>
      <c r="H34" s="662">
        <v>0</v>
      </c>
      <c r="I34" s="662">
        <v>0</v>
      </c>
      <c r="J34" s="662">
        <v>0</v>
      </c>
    </row>
    <row r="35" spans="1:10" ht="12.75" customHeight="1">
      <c r="A35" s="956" t="s">
        <v>105</v>
      </c>
      <c r="B35" s="959"/>
      <c r="C35" s="440" t="s">
        <v>338</v>
      </c>
      <c r="D35" s="441"/>
      <c r="E35" s="664"/>
      <c r="F35" s="664">
        <v>0</v>
      </c>
      <c r="G35" s="187">
        <v>0</v>
      </c>
      <c r="H35" s="187">
        <v>2150</v>
      </c>
      <c r="I35" s="187">
        <v>669</v>
      </c>
      <c r="J35" s="187">
        <v>678</v>
      </c>
    </row>
    <row r="36" spans="1:10" ht="12.75" customHeight="1">
      <c r="A36" s="956" t="s">
        <v>107</v>
      </c>
      <c r="B36" s="959" t="s">
        <v>179</v>
      </c>
      <c r="C36" s="13" t="s">
        <v>914</v>
      </c>
      <c r="D36" s="408">
        <v>0</v>
      </c>
      <c r="E36" s="372"/>
      <c r="F36" s="372">
        <v>0</v>
      </c>
      <c r="G36" s="167">
        <v>0</v>
      </c>
      <c r="H36" s="167">
        <v>0</v>
      </c>
      <c r="I36" s="167">
        <f>SUM(I37:I39)</f>
        <v>693</v>
      </c>
      <c r="J36" s="167">
        <f>SUM(J37:J39)</f>
        <v>501</v>
      </c>
    </row>
    <row r="37" spans="1:10" ht="12.75" customHeight="1">
      <c r="A37" s="956" t="s">
        <v>109</v>
      </c>
      <c r="B37" s="959"/>
      <c r="C37" s="302" t="s">
        <v>203</v>
      </c>
      <c r="D37" s="413"/>
      <c r="E37" s="354"/>
      <c r="F37" s="354">
        <v>0</v>
      </c>
      <c r="G37" s="662">
        <v>0</v>
      </c>
      <c r="H37" s="662">
        <v>0</v>
      </c>
      <c r="I37" s="662">
        <v>0</v>
      </c>
      <c r="J37" s="662">
        <v>0</v>
      </c>
    </row>
    <row r="38" spans="1:10" ht="12.75" customHeight="1">
      <c r="A38" s="956" t="s">
        <v>111</v>
      </c>
      <c r="B38" s="959"/>
      <c r="C38" s="302" t="s">
        <v>204</v>
      </c>
      <c r="D38" s="413"/>
      <c r="E38" s="354"/>
      <c r="F38" s="354">
        <v>0</v>
      </c>
      <c r="G38" s="662"/>
      <c r="H38" s="662">
        <v>0</v>
      </c>
      <c r="I38" s="662">
        <v>0</v>
      </c>
      <c r="J38" s="662">
        <v>0</v>
      </c>
    </row>
    <row r="39" spans="1:10" ht="12.75" customHeight="1">
      <c r="A39" s="956" t="s">
        <v>113</v>
      </c>
      <c r="B39" s="959"/>
      <c r="C39" s="440" t="s">
        <v>338</v>
      </c>
      <c r="D39" s="441"/>
      <c r="E39" s="664"/>
      <c r="F39" s="664">
        <v>0</v>
      </c>
      <c r="G39" s="187"/>
      <c r="H39" s="187">
        <v>0</v>
      </c>
      <c r="I39" s="187">
        <v>693</v>
      </c>
      <c r="J39" s="187">
        <v>501</v>
      </c>
    </row>
    <row r="40" spans="1:10" ht="26.25" customHeight="1" thickBot="1">
      <c r="A40" s="666" t="s">
        <v>115</v>
      </c>
      <c r="B40" s="667" t="s">
        <v>180</v>
      </c>
      <c r="C40" s="668" t="s">
        <v>726</v>
      </c>
      <c r="D40" s="669">
        <f>SUM(D21:D30)</f>
        <v>3</v>
      </c>
      <c r="E40" s="670">
        <f aca="true" t="shared" si="3" ref="E40:J40">SUM(E41:E44)</f>
        <v>12508</v>
      </c>
      <c r="F40" s="670">
        <f t="shared" si="3"/>
        <v>11554</v>
      </c>
      <c r="G40" s="671">
        <f t="shared" si="3"/>
        <v>12508</v>
      </c>
      <c r="H40" s="671">
        <f t="shared" si="3"/>
        <v>14658</v>
      </c>
      <c r="I40" s="671">
        <f t="shared" si="3"/>
        <v>15449</v>
      </c>
      <c r="J40" s="671">
        <f t="shared" si="3"/>
        <v>14862</v>
      </c>
    </row>
    <row r="41" spans="1:10" ht="12.75" customHeight="1">
      <c r="A41" s="957" t="s">
        <v>117</v>
      </c>
      <c r="B41" s="610"/>
      <c r="C41" s="611" t="s">
        <v>203</v>
      </c>
      <c r="D41" s="612">
        <f>D40</f>
        <v>3</v>
      </c>
      <c r="E41" s="613">
        <f aca="true" t="shared" si="4" ref="E41:H42">E23+E28</f>
        <v>5922</v>
      </c>
      <c r="F41" s="613">
        <f t="shared" si="4"/>
        <v>6552</v>
      </c>
      <c r="G41" s="672">
        <f t="shared" si="4"/>
        <v>6589</v>
      </c>
      <c r="H41" s="672">
        <f t="shared" si="4"/>
        <v>6589</v>
      </c>
      <c r="I41" s="672">
        <f aca="true" t="shared" si="5" ref="I41:J43">I23+I28+I33+I37</f>
        <v>6589</v>
      </c>
      <c r="J41" s="672">
        <f t="shared" si="5"/>
        <v>6754</v>
      </c>
    </row>
    <row r="42" spans="1:10" ht="12.75" customHeight="1">
      <c r="A42" s="957" t="s">
        <v>118</v>
      </c>
      <c r="B42" s="469"/>
      <c r="C42" s="472" t="s">
        <v>204</v>
      </c>
      <c r="D42" s="614"/>
      <c r="E42" s="601">
        <f t="shared" si="4"/>
        <v>1591</v>
      </c>
      <c r="F42" s="601">
        <f t="shared" si="4"/>
        <v>1792</v>
      </c>
      <c r="G42" s="83">
        <f t="shared" si="4"/>
        <v>1945</v>
      </c>
      <c r="H42" s="83">
        <f t="shared" si="4"/>
        <v>1945</v>
      </c>
      <c r="I42" s="83">
        <f t="shared" si="5"/>
        <v>1945</v>
      </c>
      <c r="J42" s="83">
        <f t="shared" si="5"/>
        <v>1824</v>
      </c>
    </row>
    <row r="43" spans="1:10" ht="12.75" customHeight="1">
      <c r="A43" s="957" t="s">
        <v>120</v>
      </c>
      <c r="B43" s="469"/>
      <c r="C43" s="472" t="s">
        <v>338</v>
      </c>
      <c r="D43" s="614"/>
      <c r="E43" s="601">
        <f>E25+E30</f>
        <v>4435</v>
      </c>
      <c r="F43" s="601">
        <f>F25+F30</f>
        <v>3210</v>
      </c>
      <c r="G43" s="83">
        <f>G25+G30</f>
        <v>3974</v>
      </c>
      <c r="H43" s="83">
        <f>H25+H30+H35</f>
        <v>6124</v>
      </c>
      <c r="I43" s="83">
        <f t="shared" si="5"/>
        <v>6517</v>
      </c>
      <c r="J43" s="83">
        <f t="shared" si="5"/>
        <v>5921</v>
      </c>
    </row>
    <row r="44" spans="1:10" ht="12.75" customHeight="1" thickBot="1">
      <c r="A44" s="958" t="s">
        <v>122</v>
      </c>
      <c r="B44" s="616"/>
      <c r="C44" s="617" t="s">
        <v>345</v>
      </c>
      <c r="D44" s="618"/>
      <c r="E44" s="673">
        <f>SUM(E26)+E31</f>
        <v>560</v>
      </c>
      <c r="F44" s="674">
        <f>SUM(F26)</f>
        <v>0</v>
      </c>
      <c r="G44" s="675">
        <f>SUM(G26)</f>
        <v>0</v>
      </c>
      <c r="H44" s="675">
        <f>SUM(H26)</f>
        <v>0</v>
      </c>
      <c r="I44" s="675">
        <f>SUM(I26)</f>
        <v>398</v>
      </c>
      <c r="J44" s="675">
        <f>SUM(J26)</f>
        <v>363</v>
      </c>
    </row>
    <row r="45" spans="5:10" s="622" customFormat="1" ht="12.75" customHeight="1">
      <c r="E45" s="624"/>
      <c r="F45" s="624"/>
      <c r="G45" s="624"/>
      <c r="H45" s="624"/>
      <c r="I45" s="624"/>
      <c r="J45" s="624"/>
    </row>
  </sheetData>
  <sheetProtection selectLockedCells="1" selectUnlockedCells="1"/>
  <mergeCells count="19">
    <mergeCell ref="A16:B16"/>
    <mergeCell ref="C16:D16"/>
    <mergeCell ref="A17:B17"/>
    <mergeCell ref="C17:D17"/>
    <mergeCell ref="A18:B18"/>
    <mergeCell ref="A20:B21"/>
    <mergeCell ref="A10:B10"/>
    <mergeCell ref="A11:B11"/>
    <mergeCell ref="A12:B12"/>
    <mergeCell ref="A13:B13"/>
    <mergeCell ref="A14:B14"/>
    <mergeCell ref="A15:B15"/>
    <mergeCell ref="A8:B9"/>
    <mergeCell ref="C8:D8"/>
    <mergeCell ref="F7:J7"/>
    <mergeCell ref="A5:J5"/>
    <mergeCell ref="A2:J2"/>
    <mergeCell ref="A1:J1"/>
    <mergeCell ref="A3:J3"/>
  </mergeCells>
  <printOptions horizontalCentered="1"/>
  <pageMargins left="0.3937007874015748" right="0.15748031496062992" top="0.984251968503937" bottom="0.984251968503937" header="0.5118110236220472" footer="0.5118110236220472"/>
  <pageSetup horizontalDpi="300" verticalDpi="3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N65"/>
  <sheetViews>
    <sheetView zoomScalePageLayoutView="0" workbookViewId="0" topLeftCell="A1">
      <selection activeCell="K21" sqref="K21"/>
    </sheetView>
  </sheetViews>
  <sheetFormatPr defaultColWidth="11.57421875" defaultRowHeight="12.75" customHeight="1"/>
  <cols>
    <col min="1" max="1" width="3.7109375" style="241" customWidth="1"/>
    <col min="2" max="2" width="4.140625" style="241" customWidth="1"/>
    <col min="3" max="3" width="30.00390625" style="241" customWidth="1"/>
    <col min="4" max="4" width="4.8515625" style="241" customWidth="1"/>
    <col min="5" max="5" width="14.00390625" style="57" customWidth="1"/>
    <col min="6" max="6" width="13.28125" style="57" customWidth="1"/>
    <col min="7" max="7" width="12.57421875" style="57" customWidth="1"/>
    <col min="8" max="8" width="12.140625" style="57" customWidth="1"/>
    <col min="9" max="9" width="12.57421875" style="57" customWidth="1"/>
    <col min="10" max="10" width="14.00390625" style="57" customWidth="1"/>
    <col min="11" max="11" width="9.8515625" style="241" customWidth="1"/>
    <col min="12" max="16384" width="11.57421875" style="241" customWidth="1"/>
  </cols>
  <sheetData>
    <row r="1" spans="1:10" s="549" customFormat="1" ht="18" customHeight="1">
      <c r="A1" s="1615" t="s">
        <v>701</v>
      </c>
      <c r="B1" s="1615"/>
      <c r="C1" s="1615"/>
      <c r="D1" s="1615"/>
      <c r="E1" s="1615"/>
      <c r="F1" s="1615"/>
      <c r="G1" s="1615"/>
      <c r="H1" s="1615"/>
      <c r="I1" s="1615"/>
      <c r="J1" s="1615"/>
    </row>
    <row r="2" spans="1:10" ht="12.75" customHeight="1">
      <c r="A2" s="1614" t="s">
        <v>1342</v>
      </c>
      <c r="B2" s="1614"/>
      <c r="C2" s="1614"/>
      <c r="D2" s="1614"/>
      <c r="E2" s="1614"/>
      <c r="F2" s="1614"/>
      <c r="G2" s="1614"/>
      <c r="H2" s="1614"/>
      <c r="I2" s="1614"/>
      <c r="J2" s="1614"/>
    </row>
    <row r="3" spans="3:4" ht="12.75" customHeight="1">
      <c r="C3" s="550"/>
      <c r="D3" s="550"/>
    </row>
    <row r="4" spans="1:10" ht="12.75" customHeight="1">
      <c r="A4" s="1702" t="s">
        <v>1343</v>
      </c>
      <c r="B4" s="1702"/>
      <c r="C4" s="1702"/>
      <c r="D4" s="1702"/>
      <c r="E4" s="1702"/>
      <c r="F4" s="1702"/>
      <c r="G4" s="1702"/>
      <c r="H4" s="1702"/>
      <c r="I4" s="1702"/>
      <c r="J4" s="1702"/>
    </row>
    <row r="5" spans="1:10" ht="41.25" customHeight="1">
      <c r="A5" s="1613" t="s">
        <v>702</v>
      </c>
      <c r="B5" s="1613"/>
      <c r="C5" s="1613"/>
      <c r="D5" s="1613"/>
      <c r="E5" s="1613"/>
      <c r="F5" s="1613"/>
      <c r="G5" s="1613"/>
      <c r="H5" s="1613"/>
      <c r="I5" s="1613"/>
      <c r="J5" s="1613"/>
    </row>
    <row r="6" spans="1:10" ht="23.25" customHeight="1">
      <c r="A6" s="551"/>
      <c r="B6" s="551"/>
      <c r="C6" s="551"/>
      <c r="D6" s="551"/>
      <c r="E6" s="551"/>
      <c r="F6" s="551"/>
      <c r="G6" s="551"/>
      <c r="H6" s="551"/>
      <c r="I6" s="551"/>
      <c r="J6" s="551"/>
    </row>
    <row r="7" spans="5:10" ht="12.75" customHeight="1" thickBot="1">
      <c r="E7" s="552"/>
      <c r="F7" s="1612" t="s">
        <v>155</v>
      </c>
      <c r="G7" s="1612"/>
      <c r="H7" s="1612"/>
      <c r="I7" s="1612"/>
      <c r="J7" s="1612"/>
    </row>
    <row r="8" spans="1:10" ht="49.5" customHeight="1" thickBot="1">
      <c r="A8" s="1601" t="s">
        <v>156</v>
      </c>
      <c r="B8" s="1601"/>
      <c r="C8" s="553" t="s">
        <v>157</v>
      </c>
      <c r="D8" s="554"/>
      <c r="E8" s="555" t="s">
        <v>158</v>
      </c>
      <c r="F8" s="556" t="s">
        <v>159</v>
      </c>
      <c r="G8" s="556" t="s">
        <v>703</v>
      </c>
      <c r="H8" s="556" t="s">
        <v>704</v>
      </c>
      <c r="I8" s="556" t="s">
        <v>911</v>
      </c>
      <c r="J8" s="556" t="s">
        <v>1206</v>
      </c>
    </row>
    <row r="9" spans="1:10" ht="12.75" customHeight="1">
      <c r="A9" s="1601"/>
      <c r="B9" s="1601"/>
      <c r="C9" s="557" t="s">
        <v>163</v>
      </c>
      <c r="D9" s="558"/>
      <c r="E9" s="559" t="s">
        <v>164</v>
      </c>
      <c r="F9" s="560" t="s">
        <v>165</v>
      </c>
      <c r="G9" s="560" t="s">
        <v>166</v>
      </c>
      <c r="H9" s="560" t="s">
        <v>167</v>
      </c>
      <c r="I9" s="560" t="s">
        <v>168</v>
      </c>
      <c r="J9" s="560" t="s">
        <v>226</v>
      </c>
    </row>
    <row r="10" spans="1:10" ht="12.75" customHeight="1">
      <c r="A10" s="1602" t="s">
        <v>38</v>
      </c>
      <c r="B10" s="1602"/>
      <c r="C10" s="79" t="s">
        <v>311</v>
      </c>
      <c r="D10" s="561"/>
      <c r="E10" s="168">
        <v>3579</v>
      </c>
      <c r="F10" s="345">
        <v>2000</v>
      </c>
      <c r="G10" s="345">
        <v>2000</v>
      </c>
      <c r="H10" s="345">
        <v>2000</v>
      </c>
      <c r="I10" s="345">
        <v>1340</v>
      </c>
      <c r="J10" s="345">
        <v>1166</v>
      </c>
    </row>
    <row r="11" spans="1:10" ht="12.75" customHeight="1">
      <c r="A11" s="1602" t="s">
        <v>40</v>
      </c>
      <c r="B11" s="1602"/>
      <c r="C11" s="79" t="s">
        <v>312</v>
      </c>
      <c r="D11" s="562"/>
      <c r="E11" s="168">
        <v>481</v>
      </c>
      <c r="F11" s="345">
        <v>200</v>
      </c>
      <c r="G11" s="345">
        <v>200</v>
      </c>
      <c r="H11" s="345">
        <v>200</v>
      </c>
      <c r="I11" s="345">
        <v>100</v>
      </c>
      <c r="J11" s="345">
        <v>190</v>
      </c>
    </row>
    <row r="12" spans="1:10" ht="12.75" customHeight="1">
      <c r="A12" s="1602" t="s">
        <v>47</v>
      </c>
      <c r="B12" s="1602"/>
      <c r="C12" s="563" t="s">
        <v>705</v>
      </c>
      <c r="D12" s="562"/>
      <c r="E12" s="168">
        <v>8</v>
      </c>
      <c r="F12" s="345"/>
      <c r="G12" s="345"/>
      <c r="H12" s="345">
        <v>0</v>
      </c>
      <c r="I12" s="345">
        <v>0</v>
      </c>
      <c r="J12" s="345">
        <v>8</v>
      </c>
    </row>
    <row r="13" spans="1:10" ht="12.75" customHeight="1">
      <c r="A13" s="1602" t="s">
        <v>49</v>
      </c>
      <c r="B13" s="1602"/>
      <c r="C13" s="564" t="s">
        <v>706</v>
      </c>
      <c r="D13" s="565"/>
      <c r="E13" s="168">
        <v>21</v>
      </c>
      <c r="F13" s="345">
        <v>0</v>
      </c>
      <c r="G13" s="345">
        <v>0</v>
      </c>
      <c r="H13" s="345">
        <v>1</v>
      </c>
      <c r="I13" s="345">
        <v>0</v>
      </c>
      <c r="J13" s="345">
        <v>0</v>
      </c>
    </row>
    <row r="14" spans="1:10" ht="12.75" customHeight="1">
      <c r="A14" s="1602" t="s">
        <v>51</v>
      </c>
      <c r="B14" s="1602"/>
      <c r="C14" s="344" t="s">
        <v>314</v>
      </c>
      <c r="D14" s="565"/>
      <c r="E14" s="168">
        <v>1098</v>
      </c>
      <c r="F14" s="345">
        <v>1100</v>
      </c>
      <c r="G14" s="345">
        <v>1100</v>
      </c>
      <c r="H14" s="345">
        <v>1099</v>
      </c>
      <c r="I14" s="345">
        <v>400</v>
      </c>
      <c r="J14" s="345">
        <v>369</v>
      </c>
    </row>
    <row r="15" spans="1:10" s="394" customFormat="1" ht="12.75" customHeight="1">
      <c r="A15" s="1611" t="s">
        <v>53</v>
      </c>
      <c r="B15" s="1611"/>
      <c r="C15" s="566" t="s">
        <v>315</v>
      </c>
      <c r="D15" s="567"/>
      <c r="E15" s="568">
        <f aca="true" t="shared" si="0" ref="E15:J15">SUM(E10:E14)</f>
        <v>5187</v>
      </c>
      <c r="F15" s="569">
        <f t="shared" si="0"/>
        <v>3300</v>
      </c>
      <c r="G15" s="569">
        <f t="shared" si="0"/>
        <v>3300</v>
      </c>
      <c r="H15" s="569">
        <f t="shared" si="0"/>
        <v>3300</v>
      </c>
      <c r="I15" s="569">
        <f t="shared" si="0"/>
        <v>1840</v>
      </c>
      <c r="J15" s="569">
        <f t="shared" si="0"/>
        <v>1733</v>
      </c>
    </row>
    <row r="16" spans="1:10" ht="12.75" customHeight="1" thickBot="1">
      <c r="A16" s="1602" t="s">
        <v>55</v>
      </c>
      <c r="B16" s="1602"/>
      <c r="C16" s="570" t="s">
        <v>707</v>
      </c>
      <c r="D16" s="571"/>
      <c r="E16" s="572">
        <v>790</v>
      </c>
      <c r="F16" s="573"/>
      <c r="G16" s="573">
        <v>0</v>
      </c>
      <c r="H16" s="573">
        <v>20</v>
      </c>
      <c r="I16" s="573">
        <v>20</v>
      </c>
      <c r="J16" s="573">
        <v>1119</v>
      </c>
    </row>
    <row r="17" spans="1:10" s="394" customFormat="1" ht="12.75" customHeight="1" thickBot="1">
      <c r="A17" s="1609" t="s">
        <v>57</v>
      </c>
      <c r="B17" s="1609"/>
      <c r="C17" s="574" t="s">
        <v>708</v>
      </c>
      <c r="D17" s="575"/>
      <c r="E17" s="576">
        <f aca="true" t="shared" si="1" ref="E17:J17">SUM(E15:E16)</f>
        <v>5977</v>
      </c>
      <c r="F17" s="576">
        <f t="shared" si="1"/>
        <v>3300</v>
      </c>
      <c r="G17" s="576">
        <f t="shared" si="1"/>
        <v>3300</v>
      </c>
      <c r="H17" s="576">
        <f t="shared" si="1"/>
        <v>3320</v>
      </c>
      <c r="I17" s="576">
        <f t="shared" si="1"/>
        <v>1860</v>
      </c>
      <c r="J17" s="576">
        <f t="shared" si="1"/>
        <v>2852</v>
      </c>
    </row>
    <row r="18" spans="1:10" ht="12.75" customHeight="1">
      <c r="A18" s="1610" t="s">
        <v>86</v>
      </c>
      <c r="B18" s="1610"/>
      <c r="C18" s="339" t="s">
        <v>709</v>
      </c>
      <c r="D18" s="577"/>
      <c r="E18" s="578">
        <f aca="true" t="shared" si="2" ref="E18:J18">SUM(E19:E20)</f>
        <v>98574</v>
      </c>
      <c r="F18" s="340">
        <f t="shared" si="2"/>
        <v>98357</v>
      </c>
      <c r="G18" s="340">
        <f t="shared" si="2"/>
        <v>99003</v>
      </c>
      <c r="H18" s="340">
        <f t="shared" si="2"/>
        <v>100866</v>
      </c>
      <c r="I18" s="340">
        <f t="shared" si="2"/>
        <v>103649</v>
      </c>
      <c r="J18" s="340">
        <f t="shared" si="2"/>
        <v>100637</v>
      </c>
    </row>
    <row r="19" spans="1:10" s="583" customFormat="1" ht="12.75" customHeight="1">
      <c r="A19" s="1603" t="s">
        <v>59</v>
      </c>
      <c r="B19" s="1603"/>
      <c r="C19" s="579" t="s">
        <v>710</v>
      </c>
      <c r="D19" s="580"/>
      <c r="E19" s="581">
        <v>68534</v>
      </c>
      <c r="F19" s="582">
        <v>73101</v>
      </c>
      <c r="G19" s="582">
        <v>73747</v>
      </c>
      <c r="H19" s="582">
        <v>74044</v>
      </c>
      <c r="I19" s="582">
        <v>76898</v>
      </c>
      <c r="J19" s="582">
        <v>78258</v>
      </c>
    </row>
    <row r="20" spans="1:10" ht="12.75" customHeight="1">
      <c r="A20" s="1602" t="s">
        <v>61</v>
      </c>
      <c r="B20" s="1602"/>
      <c r="C20" s="579" t="s">
        <v>711</v>
      </c>
      <c r="D20" s="565"/>
      <c r="E20" s="581">
        <v>30040</v>
      </c>
      <c r="F20" s="582">
        <v>25256</v>
      </c>
      <c r="G20" s="582">
        <v>25256</v>
      </c>
      <c r="H20" s="582">
        <v>26822</v>
      </c>
      <c r="I20" s="582">
        <v>26751</v>
      </c>
      <c r="J20" s="582">
        <v>22379</v>
      </c>
    </row>
    <row r="21" spans="1:10" s="583" customFormat="1" ht="12.75" customHeight="1" thickBot="1">
      <c r="A21" s="1604" t="s">
        <v>63</v>
      </c>
      <c r="B21" s="1604"/>
      <c r="C21" s="584" t="s">
        <v>712</v>
      </c>
      <c r="D21" s="585"/>
      <c r="E21" s="146">
        <v>722</v>
      </c>
      <c r="F21" s="586">
        <v>3309</v>
      </c>
      <c r="G21" s="586">
        <v>3309</v>
      </c>
      <c r="H21" s="586">
        <v>3309</v>
      </c>
      <c r="I21" s="586">
        <v>3309</v>
      </c>
      <c r="J21" s="586">
        <v>3309</v>
      </c>
    </row>
    <row r="22" spans="1:10" s="394" customFormat="1" ht="12.75" customHeight="1" thickBot="1">
      <c r="A22" s="1605" t="s">
        <v>65</v>
      </c>
      <c r="B22" s="1605"/>
      <c r="C22" s="1606" t="s">
        <v>713</v>
      </c>
      <c r="D22" s="1606"/>
      <c r="E22" s="587">
        <f aca="true" t="shared" si="3" ref="E22:J22">SUM(E18)+E21</f>
        <v>99296</v>
      </c>
      <c r="F22" s="587">
        <f t="shared" si="3"/>
        <v>101666</v>
      </c>
      <c r="G22" s="587">
        <f t="shared" si="3"/>
        <v>102312</v>
      </c>
      <c r="H22" s="587">
        <f t="shared" si="3"/>
        <v>104175</v>
      </c>
      <c r="I22" s="587">
        <f t="shared" si="3"/>
        <v>106958</v>
      </c>
      <c r="J22" s="587">
        <f t="shared" si="3"/>
        <v>103946</v>
      </c>
    </row>
    <row r="23" spans="1:10" ht="12.75" customHeight="1" thickBot="1">
      <c r="A23" s="1607" t="s">
        <v>92</v>
      </c>
      <c r="B23" s="1607"/>
      <c r="C23" s="1608" t="s">
        <v>319</v>
      </c>
      <c r="D23" s="1608"/>
      <c r="E23" s="588">
        <f aca="true" t="shared" si="4" ref="E23:J23">SUM(E17+E22)</f>
        <v>105273</v>
      </c>
      <c r="F23" s="588">
        <f t="shared" si="4"/>
        <v>104966</v>
      </c>
      <c r="G23" s="588">
        <f t="shared" si="4"/>
        <v>105612</v>
      </c>
      <c r="H23" s="588">
        <f t="shared" si="4"/>
        <v>107495</v>
      </c>
      <c r="I23" s="588">
        <f t="shared" si="4"/>
        <v>108818</v>
      </c>
      <c r="J23" s="588">
        <f t="shared" si="4"/>
        <v>106798</v>
      </c>
    </row>
    <row r="24" spans="1:4" ht="12.75" customHeight="1" thickBot="1">
      <c r="A24" s="383"/>
      <c r="B24" s="383"/>
      <c r="C24" s="384"/>
      <c r="D24" s="384"/>
    </row>
    <row r="25" spans="1:10" ht="49.5" customHeight="1" thickBot="1">
      <c r="A25" s="1601" t="s">
        <v>156</v>
      </c>
      <c r="B25" s="1601"/>
      <c r="C25" s="589" t="s">
        <v>119</v>
      </c>
      <c r="D25" s="590" t="s">
        <v>714</v>
      </c>
      <c r="E25" s="555" t="s">
        <v>158</v>
      </c>
      <c r="F25" s="556" t="s">
        <v>159</v>
      </c>
      <c r="G25" s="556" t="s">
        <v>703</v>
      </c>
      <c r="H25" s="556" t="s">
        <v>704</v>
      </c>
      <c r="I25" s="556" t="s">
        <v>911</v>
      </c>
      <c r="J25" s="556" t="s">
        <v>1206</v>
      </c>
    </row>
    <row r="26" spans="1:10" ht="12.75" customHeight="1">
      <c r="A26" s="1601"/>
      <c r="B26" s="1601"/>
      <c r="C26" s="591" t="s">
        <v>163</v>
      </c>
      <c r="D26" s="592" t="s">
        <v>164</v>
      </c>
      <c r="E26" s="593" t="s">
        <v>165</v>
      </c>
      <c r="F26" s="594" t="s">
        <v>166</v>
      </c>
      <c r="G26" s="594" t="s">
        <v>167</v>
      </c>
      <c r="H26" s="594" t="s">
        <v>168</v>
      </c>
      <c r="I26" s="594" t="s">
        <v>226</v>
      </c>
      <c r="J26" s="594" t="s">
        <v>690</v>
      </c>
    </row>
    <row r="27" spans="1:10" ht="12.75" customHeight="1">
      <c r="A27" s="595" t="s">
        <v>38</v>
      </c>
      <c r="B27" s="596" t="s">
        <v>169</v>
      </c>
      <c r="C27" s="597" t="s">
        <v>441</v>
      </c>
      <c r="D27" s="598">
        <v>1</v>
      </c>
      <c r="E27" s="165">
        <f aca="true" t="shared" si="5" ref="E27:J27">SUM(E28:E30)</f>
        <v>14452</v>
      </c>
      <c r="F27" s="372">
        <f t="shared" si="5"/>
        <v>14541</v>
      </c>
      <c r="G27" s="372">
        <f t="shared" si="5"/>
        <v>14541</v>
      </c>
      <c r="H27" s="372">
        <f t="shared" si="5"/>
        <v>14541</v>
      </c>
      <c r="I27" s="372">
        <f t="shared" si="5"/>
        <v>14541</v>
      </c>
      <c r="J27" s="372">
        <f t="shared" si="5"/>
        <v>17247</v>
      </c>
    </row>
    <row r="28" spans="1:10" ht="12.75" customHeight="1">
      <c r="A28" s="599" t="s">
        <v>40</v>
      </c>
      <c r="B28" s="600"/>
      <c r="C28" s="92" t="s">
        <v>203</v>
      </c>
      <c r="D28" s="420"/>
      <c r="E28" s="168">
        <v>1642</v>
      </c>
      <c r="F28" s="601">
        <v>1505</v>
      </c>
      <c r="G28" s="601">
        <v>1505</v>
      </c>
      <c r="H28" s="601">
        <v>1505</v>
      </c>
      <c r="I28" s="601">
        <v>1505</v>
      </c>
      <c r="J28" s="601">
        <v>1582</v>
      </c>
    </row>
    <row r="29" spans="1:10" ht="12.75" customHeight="1">
      <c r="A29" s="599" t="s">
        <v>47</v>
      </c>
      <c r="B29" s="600"/>
      <c r="C29" s="92" t="s">
        <v>204</v>
      </c>
      <c r="D29" s="420"/>
      <c r="E29" s="168">
        <v>427</v>
      </c>
      <c r="F29" s="601">
        <v>416</v>
      </c>
      <c r="G29" s="601">
        <v>416</v>
      </c>
      <c r="H29" s="601">
        <v>416</v>
      </c>
      <c r="I29" s="601">
        <v>416</v>
      </c>
      <c r="J29" s="601">
        <v>447</v>
      </c>
    </row>
    <row r="30" spans="1:10" ht="12.75" customHeight="1">
      <c r="A30" s="599" t="s">
        <v>49</v>
      </c>
      <c r="B30" s="600"/>
      <c r="C30" s="92" t="s">
        <v>338</v>
      </c>
      <c r="D30" s="420"/>
      <c r="E30" s="81">
        <v>12383</v>
      </c>
      <c r="F30" s="601">
        <v>12620</v>
      </c>
      <c r="G30" s="601">
        <v>12620</v>
      </c>
      <c r="H30" s="601">
        <v>12620</v>
      </c>
      <c r="I30" s="601">
        <v>12620</v>
      </c>
      <c r="J30" s="601">
        <v>15218</v>
      </c>
    </row>
    <row r="31" spans="1:10" ht="12.75" customHeight="1">
      <c r="A31" s="595" t="s">
        <v>51</v>
      </c>
      <c r="B31" s="602" t="s">
        <v>173</v>
      </c>
      <c r="C31" s="10" t="s">
        <v>715</v>
      </c>
      <c r="D31" s="421"/>
      <c r="E31" s="165">
        <f aca="true" t="shared" si="6" ref="E31:J31">SUM(E32:E34)</f>
        <v>1778</v>
      </c>
      <c r="F31" s="603">
        <f t="shared" si="6"/>
        <v>1845</v>
      </c>
      <c r="G31" s="603">
        <f t="shared" si="6"/>
        <v>1845</v>
      </c>
      <c r="H31" s="603">
        <f t="shared" si="6"/>
        <v>1845</v>
      </c>
      <c r="I31" s="603">
        <f t="shared" si="6"/>
        <v>1845</v>
      </c>
      <c r="J31" s="603">
        <f t="shared" si="6"/>
        <v>1644</v>
      </c>
    </row>
    <row r="32" spans="1:10" ht="12.75" customHeight="1">
      <c r="A32" s="599" t="s">
        <v>53</v>
      </c>
      <c r="B32" s="600"/>
      <c r="C32" s="92" t="s">
        <v>203</v>
      </c>
      <c r="D32" s="420"/>
      <c r="E32" s="168">
        <v>95</v>
      </c>
      <c r="F32" s="601">
        <v>192</v>
      </c>
      <c r="G32" s="601">
        <v>192</v>
      </c>
      <c r="H32" s="601">
        <v>192</v>
      </c>
      <c r="I32" s="601">
        <v>192</v>
      </c>
      <c r="J32" s="601">
        <v>110</v>
      </c>
    </row>
    <row r="33" spans="1:10" ht="12.75" customHeight="1">
      <c r="A33" s="599" t="s">
        <v>55</v>
      </c>
      <c r="B33" s="600"/>
      <c r="C33" s="92" t="s">
        <v>204</v>
      </c>
      <c r="D33" s="421"/>
      <c r="E33" s="168">
        <v>31</v>
      </c>
      <c r="F33" s="601">
        <v>53</v>
      </c>
      <c r="G33" s="601">
        <v>53</v>
      </c>
      <c r="H33" s="601">
        <v>53</v>
      </c>
      <c r="I33" s="601">
        <v>53</v>
      </c>
      <c r="J33" s="601">
        <v>31</v>
      </c>
    </row>
    <row r="34" spans="1:10" ht="12.75" customHeight="1">
      <c r="A34" s="599" t="s">
        <v>57</v>
      </c>
      <c r="B34" s="600"/>
      <c r="C34" s="92" t="s">
        <v>338</v>
      </c>
      <c r="D34" s="421"/>
      <c r="E34" s="168">
        <v>1652</v>
      </c>
      <c r="F34" s="601">
        <v>1600</v>
      </c>
      <c r="G34" s="601">
        <v>1600</v>
      </c>
      <c r="H34" s="601">
        <v>1600</v>
      </c>
      <c r="I34" s="601">
        <v>1600</v>
      </c>
      <c r="J34" s="601">
        <v>1503</v>
      </c>
    </row>
    <row r="35" spans="1:10" s="394" customFormat="1" ht="12.75" customHeight="1">
      <c r="A35" s="595" t="s">
        <v>86</v>
      </c>
      <c r="B35" s="602" t="s">
        <v>177</v>
      </c>
      <c r="C35" s="10" t="s">
        <v>716</v>
      </c>
      <c r="D35" s="421"/>
      <c r="E35" s="165">
        <v>10</v>
      </c>
      <c r="F35" s="603">
        <v>0</v>
      </c>
      <c r="G35" s="603">
        <v>0</v>
      </c>
      <c r="H35" s="603">
        <v>0</v>
      </c>
      <c r="I35" s="603">
        <v>0</v>
      </c>
      <c r="J35" s="603">
        <v>11</v>
      </c>
    </row>
    <row r="36" spans="1:10" ht="12.75" customHeight="1">
      <c r="A36" s="599" t="s">
        <v>59</v>
      </c>
      <c r="B36" s="600"/>
      <c r="C36" s="92" t="s">
        <v>338</v>
      </c>
      <c r="D36" s="421"/>
      <c r="E36" s="168">
        <v>10</v>
      </c>
      <c r="F36" s="601">
        <v>0</v>
      </c>
      <c r="G36" s="601">
        <v>0</v>
      </c>
      <c r="H36" s="601">
        <v>0</v>
      </c>
      <c r="I36" s="601">
        <v>0</v>
      </c>
      <c r="J36" s="601">
        <v>11</v>
      </c>
    </row>
    <row r="37" spans="1:10" ht="12.75" customHeight="1">
      <c r="A37" s="595" t="s">
        <v>61</v>
      </c>
      <c r="B37" s="602" t="s">
        <v>179</v>
      </c>
      <c r="C37" s="10" t="s">
        <v>451</v>
      </c>
      <c r="D37" s="421">
        <v>15</v>
      </c>
      <c r="E37" s="165">
        <f aca="true" t="shared" si="7" ref="E37:J37">SUM(E38:E41)</f>
        <v>59429</v>
      </c>
      <c r="F37" s="603">
        <f t="shared" si="7"/>
        <v>64293</v>
      </c>
      <c r="G37" s="603">
        <f t="shared" si="7"/>
        <v>60748</v>
      </c>
      <c r="H37" s="603">
        <f t="shared" si="7"/>
        <v>61938</v>
      </c>
      <c r="I37" s="603">
        <f t="shared" si="7"/>
        <v>61938</v>
      </c>
      <c r="J37" s="603">
        <f t="shared" si="7"/>
        <v>58952</v>
      </c>
    </row>
    <row r="38" spans="1:11" ht="12.75" customHeight="1">
      <c r="A38" s="599" t="s">
        <v>63</v>
      </c>
      <c r="B38" s="600"/>
      <c r="C38" s="92" t="s">
        <v>203</v>
      </c>
      <c r="D38" s="421"/>
      <c r="E38" s="168">
        <v>46510</v>
      </c>
      <c r="F38" s="601">
        <v>49460</v>
      </c>
      <c r="G38" s="601">
        <v>47834</v>
      </c>
      <c r="H38" s="601">
        <v>47514</v>
      </c>
      <c r="I38" s="601">
        <v>47514</v>
      </c>
      <c r="J38" s="601">
        <v>45099</v>
      </c>
      <c r="K38" s="57"/>
    </row>
    <row r="39" spans="1:10" ht="12.75" customHeight="1">
      <c r="A39" s="599" t="s">
        <v>65</v>
      </c>
      <c r="B39" s="600"/>
      <c r="C39" s="92" t="s">
        <v>204</v>
      </c>
      <c r="D39" s="421"/>
      <c r="E39" s="168">
        <v>12497</v>
      </c>
      <c r="F39" s="601">
        <v>12483</v>
      </c>
      <c r="G39" s="601">
        <v>12514</v>
      </c>
      <c r="H39" s="601">
        <v>12458</v>
      </c>
      <c r="I39" s="601">
        <v>12458</v>
      </c>
      <c r="J39" s="601">
        <v>12540</v>
      </c>
    </row>
    <row r="40" spans="1:10" ht="12.75" customHeight="1">
      <c r="A40" s="599" t="s">
        <v>92</v>
      </c>
      <c r="B40" s="600"/>
      <c r="C40" s="92" t="s">
        <v>338</v>
      </c>
      <c r="D40" s="421"/>
      <c r="E40" s="168">
        <v>337</v>
      </c>
      <c r="F40" s="601">
        <v>2350</v>
      </c>
      <c r="G40" s="601">
        <v>400</v>
      </c>
      <c r="H40" s="601">
        <v>1966</v>
      </c>
      <c r="I40" s="601">
        <v>1966</v>
      </c>
      <c r="J40" s="601">
        <v>658</v>
      </c>
    </row>
    <row r="41" spans="1:10" ht="12.75" customHeight="1">
      <c r="A41" s="599" t="s">
        <v>66</v>
      </c>
      <c r="B41" s="600"/>
      <c r="C41" s="92" t="s">
        <v>374</v>
      </c>
      <c r="D41" s="421"/>
      <c r="E41" s="168">
        <v>85</v>
      </c>
      <c r="F41" s="601">
        <v>0</v>
      </c>
      <c r="G41" s="601">
        <v>0</v>
      </c>
      <c r="H41" s="601">
        <v>0</v>
      </c>
      <c r="I41" s="601">
        <v>0</v>
      </c>
      <c r="J41" s="601">
        <v>655</v>
      </c>
    </row>
    <row r="42" spans="1:10" s="394" customFormat="1" ht="12.75" customHeight="1">
      <c r="A42" s="595" t="s">
        <v>67</v>
      </c>
      <c r="B42" s="602" t="s">
        <v>180</v>
      </c>
      <c r="C42" s="10" t="s">
        <v>717</v>
      </c>
      <c r="D42" s="421"/>
      <c r="E42" s="165">
        <v>194</v>
      </c>
      <c r="F42" s="603">
        <f>SUM(F43:F45)</f>
        <v>0</v>
      </c>
      <c r="G42" s="603">
        <f>SUM(G43:G45)</f>
        <v>194</v>
      </c>
      <c r="H42" s="603">
        <f>SUM(H43:H45)</f>
        <v>194</v>
      </c>
      <c r="I42" s="603">
        <f>SUM(I43:I45)</f>
        <v>194</v>
      </c>
      <c r="J42" s="603">
        <f>SUM(J43:J45)</f>
        <v>226</v>
      </c>
    </row>
    <row r="43" spans="1:11" ht="12.75" customHeight="1">
      <c r="A43" s="599" t="s">
        <v>68</v>
      </c>
      <c r="B43" s="600"/>
      <c r="C43" s="92" t="s">
        <v>203</v>
      </c>
      <c r="D43" s="421"/>
      <c r="E43" s="168">
        <v>112</v>
      </c>
      <c r="F43" s="601">
        <v>0</v>
      </c>
      <c r="G43" s="601">
        <v>112</v>
      </c>
      <c r="H43" s="601">
        <v>112</v>
      </c>
      <c r="I43" s="601">
        <v>112</v>
      </c>
      <c r="J43" s="601">
        <v>182</v>
      </c>
      <c r="K43" s="57"/>
    </row>
    <row r="44" spans="1:10" ht="12.75" customHeight="1">
      <c r="A44" s="599" t="s">
        <v>70</v>
      </c>
      <c r="B44" s="600"/>
      <c r="C44" s="92" t="s">
        <v>204</v>
      </c>
      <c r="D44" s="421"/>
      <c r="E44" s="168">
        <v>82</v>
      </c>
      <c r="F44" s="601">
        <v>0</v>
      </c>
      <c r="G44" s="601">
        <v>82</v>
      </c>
      <c r="H44" s="601">
        <v>82</v>
      </c>
      <c r="I44" s="601">
        <v>82</v>
      </c>
      <c r="J44" s="601">
        <v>44</v>
      </c>
    </row>
    <row r="45" spans="1:10" ht="12.75" customHeight="1">
      <c r="A45" s="599" t="s">
        <v>97</v>
      </c>
      <c r="B45" s="600"/>
      <c r="C45" s="92" t="s">
        <v>338</v>
      </c>
      <c r="D45" s="421"/>
      <c r="E45" s="168">
        <v>0</v>
      </c>
      <c r="F45" s="601">
        <v>0</v>
      </c>
      <c r="G45" s="601">
        <v>0</v>
      </c>
      <c r="H45" s="601">
        <v>0</v>
      </c>
      <c r="I45" s="601">
        <v>0</v>
      </c>
      <c r="J45" s="601">
        <v>0</v>
      </c>
    </row>
    <row r="46" spans="1:10" ht="12.75" customHeight="1">
      <c r="A46" s="595" t="s">
        <v>99</v>
      </c>
      <c r="B46" s="602" t="s">
        <v>182</v>
      </c>
      <c r="C46" s="10" t="s">
        <v>462</v>
      </c>
      <c r="D46" s="421"/>
      <c r="E46" s="165">
        <f aca="true" t="shared" si="8" ref="E46:J46">SUM(E47:E49)</f>
        <v>16395</v>
      </c>
      <c r="F46" s="603">
        <f t="shared" si="8"/>
        <v>13559</v>
      </c>
      <c r="G46" s="603">
        <f t="shared" si="8"/>
        <v>15606</v>
      </c>
      <c r="H46" s="603">
        <f t="shared" si="8"/>
        <v>15626</v>
      </c>
      <c r="I46" s="603">
        <f t="shared" si="8"/>
        <v>15626</v>
      </c>
      <c r="J46" s="603">
        <f t="shared" si="8"/>
        <v>15433</v>
      </c>
    </row>
    <row r="47" spans="1:10" ht="12.75" customHeight="1">
      <c r="A47" s="599" t="s">
        <v>101</v>
      </c>
      <c r="B47" s="600"/>
      <c r="C47" s="92" t="s">
        <v>203</v>
      </c>
      <c r="D47" s="421">
        <v>3</v>
      </c>
      <c r="E47" s="168">
        <v>12590</v>
      </c>
      <c r="F47" s="601">
        <v>10543</v>
      </c>
      <c r="G47" s="601">
        <v>12590</v>
      </c>
      <c r="H47" s="601">
        <v>12590</v>
      </c>
      <c r="I47" s="601">
        <v>12590</v>
      </c>
      <c r="J47" s="601">
        <v>12214</v>
      </c>
    </row>
    <row r="48" spans="1:10" ht="12.75" customHeight="1">
      <c r="A48" s="599" t="s">
        <v>103</v>
      </c>
      <c r="B48" s="600"/>
      <c r="C48" s="92" t="s">
        <v>204</v>
      </c>
      <c r="D48" s="421"/>
      <c r="E48" s="168">
        <v>3755</v>
      </c>
      <c r="F48" s="601">
        <v>2881</v>
      </c>
      <c r="G48" s="601">
        <v>2881</v>
      </c>
      <c r="H48" s="601">
        <v>2881</v>
      </c>
      <c r="I48" s="601">
        <v>2881</v>
      </c>
      <c r="J48" s="601">
        <v>3184</v>
      </c>
    </row>
    <row r="49" spans="1:10" ht="12.75" customHeight="1">
      <c r="A49" s="599" t="s">
        <v>105</v>
      </c>
      <c r="B49" s="600"/>
      <c r="C49" s="92" t="s">
        <v>338</v>
      </c>
      <c r="D49" s="421"/>
      <c r="E49" s="168">
        <v>50</v>
      </c>
      <c r="F49" s="601">
        <v>135</v>
      </c>
      <c r="G49" s="601">
        <v>135</v>
      </c>
      <c r="H49" s="601">
        <v>155</v>
      </c>
      <c r="I49" s="601">
        <v>155</v>
      </c>
      <c r="J49" s="601">
        <v>35</v>
      </c>
    </row>
    <row r="50" spans="1:10" ht="12.75" customHeight="1">
      <c r="A50" s="595" t="s">
        <v>107</v>
      </c>
      <c r="B50" s="602" t="s">
        <v>718</v>
      </c>
      <c r="C50" s="10" t="s">
        <v>467</v>
      </c>
      <c r="D50" s="421">
        <v>2</v>
      </c>
      <c r="E50" s="165">
        <f aca="true" t="shared" si="9" ref="E50:J50">SUM(E51:E54)</f>
        <v>7736</v>
      </c>
      <c r="F50" s="603">
        <f t="shared" si="9"/>
        <v>6798</v>
      </c>
      <c r="G50" s="603">
        <f t="shared" si="9"/>
        <v>7065</v>
      </c>
      <c r="H50" s="603">
        <f t="shared" si="9"/>
        <v>7738</v>
      </c>
      <c r="I50" s="603">
        <f t="shared" si="9"/>
        <v>7738</v>
      </c>
      <c r="J50" s="603">
        <f t="shared" si="9"/>
        <v>7826</v>
      </c>
    </row>
    <row r="51" spans="1:10" ht="12.75" customHeight="1">
      <c r="A51" s="599" t="s">
        <v>109</v>
      </c>
      <c r="B51" s="600"/>
      <c r="C51" s="92" t="s">
        <v>203</v>
      </c>
      <c r="D51" s="421"/>
      <c r="E51" s="168">
        <v>5525</v>
      </c>
      <c r="F51" s="601">
        <v>5090</v>
      </c>
      <c r="G51" s="601">
        <v>5090</v>
      </c>
      <c r="H51" s="601">
        <v>5620</v>
      </c>
      <c r="I51" s="601">
        <v>5620</v>
      </c>
      <c r="J51" s="601">
        <v>5601</v>
      </c>
    </row>
    <row r="52" spans="1:10" ht="12.75" customHeight="1">
      <c r="A52" s="599" t="s">
        <v>111</v>
      </c>
      <c r="B52" s="600"/>
      <c r="C52" s="92" t="s">
        <v>204</v>
      </c>
      <c r="D52" s="420"/>
      <c r="E52" s="168">
        <v>1352</v>
      </c>
      <c r="F52" s="601">
        <v>1408</v>
      </c>
      <c r="G52" s="601">
        <v>1408</v>
      </c>
      <c r="H52" s="601">
        <v>1551</v>
      </c>
      <c r="I52" s="601">
        <v>1551</v>
      </c>
      <c r="J52" s="601">
        <v>1534</v>
      </c>
    </row>
    <row r="53" spans="1:10" ht="12.75" customHeight="1">
      <c r="A53" s="599" t="s">
        <v>113</v>
      </c>
      <c r="B53" s="600"/>
      <c r="C53" s="92" t="s">
        <v>125</v>
      </c>
      <c r="D53" s="420"/>
      <c r="E53" s="168">
        <v>824</v>
      </c>
      <c r="F53" s="345">
        <v>300</v>
      </c>
      <c r="G53" s="345">
        <v>567</v>
      </c>
      <c r="H53" s="345">
        <v>567</v>
      </c>
      <c r="I53" s="345">
        <v>567</v>
      </c>
      <c r="J53" s="345">
        <v>680</v>
      </c>
    </row>
    <row r="54" spans="1:10" ht="12.75" customHeight="1">
      <c r="A54" s="599" t="s">
        <v>115</v>
      </c>
      <c r="B54" s="600"/>
      <c r="C54" s="92" t="s">
        <v>374</v>
      </c>
      <c r="D54" s="420"/>
      <c r="E54" s="168">
        <v>35</v>
      </c>
      <c r="F54" s="345">
        <v>0</v>
      </c>
      <c r="G54" s="345">
        <v>0</v>
      </c>
      <c r="H54" s="345">
        <v>0</v>
      </c>
      <c r="I54" s="345">
        <v>0</v>
      </c>
      <c r="J54" s="345">
        <v>11</v>
      </c>
    </row>
    <row r="55" spans="1:10" ht="12.75" customHeight="1">
      <c r="A55" s="595" t="s">
        <v>117</v>
      </c>
      <c r="B55" s="602" t="s">
        <v>186</v>
      </c>
      <c r="C55" s="10" t="s">
        <v>473</v>
      </c>
      <c r="D55" s="421">
        <v>2</v>
      </c>
      <c r="E55" s="165">
        <f aca="true" t="shared" si="10" ref="E55:J55">SUM(E58:E59)</f>
        <v>5279</v>
      </c>
      <c r="F55" s="372">
        <f t="shared" si="10"/>
        <v>3930</v>
      </c>
      <c r="G55" s="372">
        <f t="shared" si="10"/>
        <v>5613</v>
      </c>
      <c r="H55" s="372">
        <f t="shared" si="10"/>
        <v>5613</v>
      </c>
      <c r="I55" s="372">
        <f t="shared" si="10"/>
        <v>6936</v>
      </c>
      <c r="J55" s="372">
        <f t="shared" si="10"/>
        <v>5459</v>
      </c>
    </row>
    <row r="56" spans="1:10" ht="12.75" customHeight="1">
      <c r="A56" s="599" t="s">
        <v>118</v>
      </c>
      <c r="B56" s="600"/>
      <c r="C56" s="92" t="s">
        <v>719</v>
      </c>
      <c r="D56" s="420"/>
      <c r="E56" s="168"/>
      <c r="F56" s="345"/>
      <c r="G56" s="345"/>
      <c r="H56" s="345"/>
      <c r="I56" s="345"/>
      <c r="J56" s="345"/>
    </row>
    <row r="57" spans="1:10" ht="12.75" customHeight="1">
      <c r="A57" s="599" t="s">
        <v>120</v>
      </c>
      <c r="B57" s="600"/>
      <c r="C57" s="92" t="s">
        <v>720</v>
      </c>
      <c r="D57" s="420"/>
      <c r="E57" s="168"/>
      <c r="F57" s="345"/>
      <c r="G57" s="345"/>
      <c r="H57" s="345"/>
      <c r="I57" s="345"/>
      <c r="J57" s="345"/>
    </row>
    <row r="58" spans="1:10" ht="12.75" customHeight="1">
      <c r="A58" s="599" t="s">
        <v>122</v>
      </c>
      <c r="B58" s="600"/>
      <c r="C58" s="92" t="s">
        <v>634</v>
      </c>
      <c r="D58" s="420"/>
      <c r="E58" s="168">
        <v>4933</v>
      </c>
      <c r="F58" s="345">
        <v>3250</v>
      </c>
      <c r="G58" s="345">
        <v>4933</v>
      </c>
      <c r="H58" s="345">
        <v>4933</v>
      </c>
      <c r="I58" s="345">
        <v>6256</v>
      </c>
      <c r="J58" s="345">
        <v>4989</v>
      </c>
    </row>
    <row r="59" spans="1:10" ht="12.75" customHeight="1" thickBot="1">
      <c r="A59" s="599" t="s">
        <v>124</v>
      </c>
      <c r="B59" s="604"/>
      <c r="C59" s="433" t="s">
        <v>374</v>
      </c>
      <c r="D59" s="605"/>
      <c r="E59" s="572">
        <v>346</v>
      </c>
      <c r="F59" s="573">
        <v>680</v>
      </c>
      <c r="G59" s="573">
        <v>680</v>
      </c>
      <c r="H59" s="573">
        <v>680</v>
      </c>
      <c r="I59" s="573">
        <v>680</v>
      </c>
      <c r="J59" s="573">
        <v>470</v>
      </c>
    </row>
    <row r="60" spans="1:66" s="7" customFormat="1" ht="12.75" customHeight="1" thickBot="1">
      <c r="A60" s="606" t="s">
        <v>126</v>
      </c>
      <c r="B60" s="606" t="s">
        <v>191</v>
      </c>
      <c r="C60" s="474" t="s">
        <v>721</v>
      </c>
      <c r="D60" s="607">
        <v>23</v>
      </c>
      <c r="E60" s="608">
        <f>SUM(E27+E31+E37+E46+E50+E55)+E35+E42</f>
        <v>105273</v>
      </c>
      <c r="F60" s="608">
        <f>SUM(F27+F31+F37+F46+F50+F55)</f>
        <v>104966</v>
      </c>
      <c r="G60" s="608">
        <f>SUM(G27+G31+G37+G46+G50+G55)+G42</f>
        <v>105612</v>
      </c>
      <c r="H60" s="608">
        <f>SUM(H27+H31+H37+H46+H50+H55)+H42</f>
        <v>107495</v>
      </c>
      <c r="I60" s="608">
        <f>SUM(I27+I31+I37+I46+I50+I55)+I42</f>
        <v>108818</v>
      </c>
      <c r="J60" s="608">
        <f>SUM(J27+J31+J37+J46+J50+J55)+J42+J35</f>
        <v>106798</v>
      </c>
      <c r="K60" s="609"/>
      <c r="L60" s="609"/>
      <c r="M60" s="609"/>
      <c r="N60" s="609"/>
      <c r="O60" s="609"/>
      <c r="P60" s="609"/>
      <c r="Q60" s="609"/>
      <c r="R60" s="609"/>
      <c r="S60" s="609"/>
      <c r="T60" s="609"/>
      <c r="U60" s="609"/>
      <c r="V60" s="609"/>
      <c r="W60" s="609"/>
      <c r="X60" s="609"/>
      <c r="Y60" s="609"/>
      <c r="Z60" s="609"/>
      <c r="AA60" s="609"/>
      <c r="AB60" s="609"/>
      <c r="AC60" s="609"/>
      <c r="AD60" s="609"/>
      <c r="AE60" s="609"/>
      <c r="AF60" s="609"/>
      <c r="AG60" s="609"/>
      <c r="AH60" s="609"/>
      <c r="AI60" s="609"/>
      <c r="AJ60" s="609"/>
      <c r="AK60" s="609"/>
      <c r="AL60" s="609"/>
      <c r="AM60" s="609"/>
      <c r="AN60" s="609"/>
      <c r="AO60" s="609"/>
      <c r="AP60" s="609"/>
      <c r="AQ60" s="609"/>
      <c r="AR60" s="609"/>
      <c r="AS60" s="609"/>
      <c r="AT60" s="609"/>
      <c r="AU60" s="609"/>
      <c r="AV60" s="609"/>
      <c r="AW60" s="609"/>
      <c r="AX60" s="609"/>
      <c r="AY60" s="609"/>
      <c r="AZ60" s="609"/>
      <c r="BA60" s="609"/>
      <c r="BB60" s="609"/>
      <c r="BC60" s="609"/>
      <c r="BD60" s="609"/>
      <c r="BE60" s="609"/>
      <c r="BF60" s="609"/>
      <c r="BG60" s="609"/>
      <c r="BH60" s="609"/>
      <c r="BI60" s="609"/>
      <c r="BJ60" s="609"/>
      <c r="BK60" s="609"/>
      <c r="BL60" s="609"/>
      <c r="BM60" s="609"/>
      <c r="BN60" s="609"/>
    </row>
    <row r="61" spans="1:66" s="7" customFormat="1" ht="12.75" customHeight="1">
      <c r="A61" s="599" t="s">
        <v>128</v>
      </c>
      <c r="B61" s="610"/>
      <c r="C61" s="611" t="s">
        <v>203</v>
      </c>
      <c r="D61" s="612">
        <f>D60</f>
        <v>23</v>
      </c>
      <c r="E61" s="126">
        <f>SUM(E28+E32+E38+E47+E51)+E43</f>
        <v>66474</v>
      </c>
      <c r="F61" s="613">
        <f>SUM(F28+F32+F38+F47+F51)</f>
        <v>66790</v>
      </c>
      <c r="G61" s="613">
        <f>SUM(G28+G32+G38+G47+G51)+G43</f>
        <v>67323</v>
      </c>
      <c r="H61" s="613">
        <f>SUM(H28+H32+H38+H47+H51)+H43</f>
        <v>67533</v>
      </c>
      <c r="I61" s="613">
        <f>SUM(I28+I32+I38+I47+I51)+I43</f>
        <v>67533</v>
      </c>
      <c r="J61" s="613">
        <f>SUM(J28+J32+J38+J47+J51)+J43</f>
        <v>64788</v>
      </c>
      <c r="K61" s="609"/>
      <c r="L61" s="609"/>
      <c r="M61" s="609"/>
      <c r="N61" s="609"/>
      <c r="O61" s="609"/>
      <c r="P61" s="609"/>
      <c r="Q61" s="609"/>
      <c r="R61" s="609"/>
      <c r="S61" s="609"/>
      <c r="T61" s="609"/>
      <c r="U61" s="609"/>
      <c r="V61" s="609"/>
      <c r="W61" s="609"/>
      <c r="X61" s="609"/>
      <c r="Y61" s="609"/>
      <c r="Z61" s="609"/>
      <c r="AA61" s="609"/>
      <c r="AB61" s="609"/>
      <c r="AC61" s="609"/>
      <c r="AD61" s="609"/>
      <c r="AE61" s="609"/>
      <c r="AF61" s="609"/>
      <c r="AG61" s="609"/>
      <c r="AH61" s="609"/>
      <c r="AI61" s="609"/>
      <c r="AJ61" s="609"/>
      <c r="AK61" s="609"/>
      <c r="AL61" s="609"/>
      <c r="AM61" s="609"/>
      <c r="AN61" s="609"/>
      <c r="AO61" s="609"/>
      <c r="AP61" s="609"/>
      <c r="AQ61" s="609"/>
      <c r="AR61" s="609"/>
      <c r="AS61" s="609"/>
      <c r="AT61" s="609"/>
      <c r="AU61" s="609"/>
      <c r="AV61" s="609"/>
      <c r="AW61" s="609"/>
      <c r="AX61" s="609"/>
      <c r="AY61" s="609"/>
      <c r="AZ61" s="609"/>
      <c r="BA61" s="609"/>
      <c r="BB61" s="609"/>
      <c r="BC61" s="609"/>
      <c r="BD61" s="609"/>
      <c r="BE61" s="609"/>
      <c r="BF61" s="609"/>
      <c r="BG61" s="609"/>
      <c r="BH61" s="609"/>
      <c r="BI61" s="609"/>
      <c r="BJ61" s="609"/>
      <c r="BK61" s="609"/>
      <c r="BL61" s="609"/>
      <c r="BM61" s="609"/>
      <c r="BN61" s="609"/>
    </row>
    <row r="62" spans="1:66" s="7" customFormat="1" ht="12.75" customHeight="1">
      <c r="A62" s="599" t="s">
        <v>130</v>
      </c>
      <c r="B62" s="469"/>
      <c r="C62" s="472" t="s">
        <v>204</v>
      </c>
      <c r="D62" s="614"/>
      <c r="E62" s="81">
        <f>SUM(E29+E39+E48+E52)+E33+E44</f>
        <v>18144</v>
      </c>
      <c r="F62" s="601">
        <f>SUM(F29+F39+F48+F52)+F33</f>
        <v>17241</v>
      </c>
      <c r="G62" s="601">
        <f>SUM(G29+G39+G48+G52)+G33+G44</f>
        <v>17354</v>
      </c>
      <c r="H62" s="601">
        <f>SUM(H29+H39+H48+H52)+H33+H44</f>
        <v>17441</v>
      </c>
      <c r="I62" s="601">
        <f>SUM(I29+I39+I48+I52)+I33+I44</f>
        <v>17441</v>
      </c>
      <c r="J62" s="601">
        <f>SUM(J29+J39+J48+J52)+J33+J44</f>
        <v>17780</v>
      </c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609"/>
      <c r="Z62" s="609"/>
      <c r="AA62" s="609"/>
      <c r="AB62" s="609"/>
      <c r="AC62" s="609"/>
      <c r="AD62" s="609"/>
      <c r="AE62" s="609"/>
      <c r="AF62" s="609"/>
      <c r="AG62" s="609"/>
      <c r="AH62" s="609"/>
      <c r="AI62" s="609"/>
      <c r="AJ62" s="609"/>
      <c r="AK62" s="609"/>
      <c r="AL62" s="609"/>
      <c r="AM62" s="609"/>
      <c r="AN62" s="609"/>
      <c r="AO62" s="609"/>
      <c r="AP62" s="609"/>
      <c r="AQ62" s="609"/>
      <c r="AR62" s="609"/>
      <c r="AS62" s="609"/>
      <c r="AT62" s="609"/>
      <c r="AU62" s="609"/>
      <c r="AV62" s="609"/>
      <c r="AW62" s="609"/>
      <c r="AX62" s="609"/>
      <c r="AY62" s="609"/>
      <c r="AZ62" s="609"/>
      <c r="BA62" s="609"/>
      <c r="BB62" s="609"/>
      <c r="BC62" s="609"/>
      <c r="BD62" s="609"/>
      <c r="BE62" s="609"/>
      <c r="BF62" s="609"/>
      <c r="BG62" s="609"/>
      <c r="BH62" s="609"/>
      <c r="BI62" s="609"/>
      <c r="BJ62" s="609"/>
      <c r="BK62" s="609"/>
      <c r="BL62" s="609"/>
      <c r="BM62" s="609"/>
      <c r="BN62" s="609"/>
    </row>
    <row r="63" spans="1:66" s="7" customFormat="1" ht="12.75" customHeight="1">
      <c r="A63" s="599" t="s">
        <v>131</v>
      </c>
      <c r="B63" s="469"/>
      <c r="C63" s="472" t="s">
        <v>338</v>
      </c>
      <c r="D63" s="614"/>
      <c r="E63" s="81">
        <f>SUM(E30+E34+E40+E49+E53+E58)+E36</f>
        <v>20189</v>
      </c>
      <c r="F63" s="601">
        <f>SUM(F30+F34+F40+F49+F53+F58)</f>
        <v>20255</v>
      </c>
      <c r="G63" s="601">
        <f>SUM(G30+G34+G40+G49+G53+G58)</f>
        <v>20255</v>
      </c>
      <c r="H63" s="601">
        <f>SUM(H30+H34+H40+H49+H53+H58)</f>
        <v>21841</v>
      </c>
      <c r="I63" s="601">
        <f>SUM(I30+I34+I40+I49+I53+I58)</f>
        <v>23164</v>
      </c>
      <c r="J63" s="601">
        <f>SUM(J30+J34+J40+J49+J53+J58)+J36</f>
        <v>23094</v>
      </c>
      <c r="K63" s="609"/>
      <c r="L63" s="609"/>
      <c r="M63" s="609"/>
      <c r="N63" s="609"/>
      <c r="O63" s="609"/>
      <c r="P63" s="609"/>
      <c r="Q63" s="609"/>
      <c r="R63" s="609"/>
      <c r="S63" s="609"/>
      <c r="T63" s="609"/>
      <c r="U63" s="609"/>
      <c r="V63" s="609"/>
      <c r="W63" s="609"/>
      <c r="X63" s="609"/>
      <c r="Y63" s="609"/>
      <c r="Z63" s="609"/>
      <c r="AA63" s="609"/>
      <c r="AB63" s="609"/>
      <c r="AC63" s="609"/>
      <c r="AD63" s="609"/>
      <c r="AE63" s="609"/>
      <c r="AF63" s="609"/>
      <c r="AG63" s="609"/>
      <c r="AH63" s="609"/>
      <c r="AI63" s="609"/>
      <c r="AJ63" s="609"/>
      <c r="AK63" s="609"/>
      <c r="AL63" s="609"/>
      <c r="AM63" s="609"/>
      <c r="AN63" s="609"/>
      <c r="AO63" s="609"/>
      <c r="AP63" s="609"/>
      <c r="AQ63" s="609"/>
      <c r="AR63" s="609"/>
      <c r="AS63" s="609"/>
      <c r="AT63" s="609"/>
      <c r="AU63" s="609"/>
      <c r="AV63" s="609"/>
      <c r="AW63" s="609"/>
      <c r="AX63" s="609"/>
      <c r="AY63" s="609"/>
      <c r="AZ63" s="609"/>
      <c r="BA63" s="609"/>
      <c r="BB63" s="609"/>
      <c r="BC63" s="609"/>
      <c r="BD63" s="609"/>
      <c r="BE63" s="609"/>
      <c r="BF63" s="609"/>
      <c r="BG63" s="609"/>
      <c r="BH63" s="609"/>
      <c r="BI63" s="609"/>
      <c r="BJ63" s="609"/>
      <c r="BK63" s="609"/>
      <c r="BL63" s="609"/>
      <c r="BM63" s="609"/>
      <c r="BN63" s="609"/>
    </row>
    <row r="64" spans="1:66" s="7" customFormat="1" ht="12.75" customHeight="1" thickBot="1">
      <c r="A64" s="615" t="s">
        <v>133</v>
      </c>
      <c r="B64" s="616"/>
      <c r="C64" s="617" t="s">
        <v>374</v>
      </c>
      <c r="D64" s="618"/>
      <c r="E64" s="619">
        <f aca="true" t="shared" si="11" ref="E64:J64">SUM(E54+E59)+E41</f>
        <v>466</v>
      </c>
      <c r="F64" s="620">
        <f t="shared" si="11"/>
        <v>680</v>
      </c>
      <c r="G64" s="620">
        <f t="shared" si="11"/>
        <v>680</v>
      </c>
      <c r="H64" s="620">
        <f t="shared" si="11"/>
        <v>680</v>
      </c>
      <c r="I64" s="620">
        <f t="shared" si="11"/>
        <v>680</v>
      </c>
      <c r="J64" s="620">
        <f t="shared" si="11"/>
        <v>1136</v>
      </c>
      <c r="K64" s="609"/>
      <c r="L64" s="609"/>
      <c r="M64" s="609"/>
      <c r="N64" s="609"/>
      <c r="O64" s="609"/>
      <c r="P64" s="609"/>
      <c r="Q64" s="609"/>
      <c r="R64" s="609"/>
      <c r="S64" s="609"/>
      <c r="T64" s="609"/>
      <c r="U64" s="609"/>
      <c r="V64" s="609"/>
      <c r="W64" s="609"/>
      <c r="X64" s="609"/>
      <c r="Y64" s="609"/>
      <c r="Z64" s="609"/>
      <c r="AA64" s="609"/>
      <c r="AB64" s="609"/>
      <c r="AC64" s="609"/>
      <c r="AD64" s="609"/>
      <c r="AE64" s="609"/>
      <c r="AF64" s="609"/>
      <c r="AG64" s="609"/>
      <c r="AH64" s="609"/>
      <c r="AI64" s="609"/>
      <c r="AJ64" s="609"/>
      <c r="AK64" s="609"/>
      <c r="AL64" s="609"/>
      <c r="AM64" s="609"/>
      <c r="AN64" s="609"/>
      <c r="AO64" s="609"/>
      <c r="AP64" s="609"/>
      <c r="AQ64" s="609"/>
      <c r="AR64" s="609"/>
      <c r="AS64" s="609"/>
      <c r="AT64" s="609"/>
      <c r="AU64" s="609"/>
      <c r="AV64" s="609"/>
      <c r="AW64" s="609"/>
      <c r="AX64" s="609"/>
      <c r="AY64" s="609"/>
      <c r="AZ64" s="609"/>
      <c r="BA64" s="609"/>
      <c r="BB64" s="609"/>
      <c r="BC64" s="609"/>
      <c r="BD64" s="609"/>
      <c r="BE64" s="609"/>
      <c r="BF64" s="609"/>
      <c r="BG64" s="609"/>
      <c r="BH64" s="609"/>
      <c r="BI64" s="609"/>
      <c r="BJ64" s="609"/>
      <c r="BK64" s="609"/>
      <c r="BL64" s="609"/>
      <c r="BM64" s="609"/>
      <c r="BN64" s="609"/>
    </row>
    <row r="65" spans="1:10" s="622" customFormat="1" ht="12.75" customHeight="1">
      <c r="A65" s="621"/>
      <c r="B65" s="621"/>
      <c r="D65" s="623"/>
      <c r="E65" s="624"/>
      <c r="F65" s="624"/>
      <c r="G65" s="624"/>
      <c r="H65" s="624"/>
      <c r="I65" s="624"/>
      <c r="J65" s="624"/>
    </row>
  </sheetData>
  <sheetProtection selectLockedCells="1" selectUnlockedCells="1"/>
  <mergeCells count="23">
    <mergeCell ref="A13:B13"/>
    <mergeCell ref="A14:B14"/>
    <mergeCell ref="F7:J7"/>
    <mergeCell ref="A5:J5"/>
    <mergeCell ref="A2:J2"/>
    <mergeCell ref="A1:J1"/>
    <mergeCell ref="A4:J4"/>
    <mergeCell ref="C22:D22"/>
    <mergeCell ref="A23:B23"/>
    <mergeCell ref="C23:D23"/>
    <mergeCell ref="A17:B17"/>
    <mergeCell ref="A18:B18"/>
    <mergeCell ref="A15:B15"/>
    <mergeCell ref="A25:B26"/>
    <mergeCell ref="A8:B9"/>
    <mergeCell ref="A10:B10"/>
    <mergeCell ref="A19:B19"/>
    <mergeCell ref="A20:B20"/>
    <mergeCell ref="A21:B21"/>
    <mergeCell ref="A22:B22"/>
    <mergeCell ref="A16:B16"/>
    <mergeCell ref="A11:B11"/>
    <mergeCell ref="A12:B12"/>
  </mergeCells>
  <printOptions/>
  <pageMargins left="0.8270833333333333" right="0.11805555555555555" top="0.9840277777777777" bottom="0.9840277777777777" header="0.5118055555555555" footer="0.5118055555555555"/>
  <pageSetup fitToWidth="0" fitToHeight="1" horizontalDpi="300" verticalDpi="3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J47"/>
  <sheetViews>
    <sheetView zoomScalePageLayoutView="0" workbookViewId="0" topLeftCell="A1">
      <selection activeCell="L8" sqref="L8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4.00390625" style="0" customWidth="1"/>
    <col min="4" max="4" width="7.00390625" style="0" customWidth="1"/>
    <col min="5" max="5" width="13.57421875" style="676" customWidth="1"/>
    <col min="6" max="6" width="14.7109375" style="676" customWidth="1"/>
    <col min="7" max="7" width="14.57421875" style="676" customWidth="1"/>
    <col min="8" max="8" width="14.140625" style="676" customWidth="1"/>
    <col min="9" max="9" width="12.7109375" style="676" customWidth="1"/>
    <col min="10" max="10" width="13.7109375" style="676" customWidth="1"/>
  </cols>
  <sheetData>
    <row r="1" spans="1:10" s="625" customFormat="1" ht="18" customHeight="1">
      <c r="A1" s="1616" t="s">
        <v>727</v>
      </c>
      <c r="B1" s="1616"/>
      <c r="C1" s="1616"/>
      <c r="D1" s="1616"/>
      <c r="E1" s="1616"/>
      <c r="F1" s="1616"/>
      <c r="G1" s="1616"/>
      <c r="H1" s="1616"/>
      <c r="I1" s="1616"/>
      <c r="J1" s="1616"/>
    </row>
    <row r="2" spans="1:10" ht="12.75" customHeight="1">
      <c r="A2" s="1591" t="s">
        <v>1344</v>
      </c>
      <c r="B2" s="1591"/>
      <c r="C2" s="1591"/>
      <c r="D2" s="1591"/>
      <c r="E2" s="1591"/>
      <c r="F2" s="1591"/>
      <c r="G2" s="1591"/>
      <c r="H2" s="1591"/>
      <c r="I2" s="1591"/>
      <c r="J2" s="1591"/>
    </row>
    <row r="3" spans="1:10" ht="12.75" customHeight="1">
      <c r="A3" s="1591" t="s">
        <v>1345</v>
      </c>
      <c r="B3" s="1591"/>
      <c r="C3" s="1591"/>
      <c r="D3" s="1591"/>
      <c r="E3" s="1591"/>
      <c r="F3" s="1591"/>
      <c r="G3" s="1591"/>
      <c r="H3" s="1591"/>
      <c r="I3" s="1591"/>
      <c r="J3" s="1591"/>
    </row>
    <row r="4" spans="1:10" ht="12.75" customHeight="1">
      <c r="A4" s="1591"/>
      <c r="B4" s="1591"/>
      <c r="C4" s="1591"/>
      <c r="D4" s="1591"/>
      <c r="E4" s="1591"/>
      <c r="F4" s="1591"/>
      <c r="G4" s="1591"/>
      <c r="H4" s="1591"/>
      <c r="I4" s="1591"/>
      <c r="J4" s="1591"/>
    </row>
    <row r="5" spans="1:10" ht="42.75" customHeight="1">
      <c r="A5" s="1621" t="s">
        <v>728</v>
      </c>
      <c r="B5" s="1621"/>
      <c r="C5" s="1621"/>
      <c r="D5" s="1621"/>
      <c r="E5" s="1621"/>
      <c r="F5" s="1621"/>
      <c r="G5" s="1621"/>
      <c r="H5" s="1621"/>
      <c r="I5" s="1621"/>
      <c r="J5" s="1621"/>
    </row>
    <row r="6" spans="3:4" ht="18.75" customHeight="1">
      <c r="C6" s="627"/>
      <c r="D6" s="627"/>
    </row>
    <row r="7" spans="6:10" ht="12.75" customHeight="1" thickBot="1">
      <c r="F7" s="1625" t="s">
        <v>155</v>
      </c>
      <c r="G7" s="1625"/>
      <c r="H7" s="1625"/>
      <c r="I7" s="1625"/>
      <c r="J7" s="1625"/>
    </row>
    <row r="8" spans="1:10" ht="56.25" customHeight="1" thickBot="1">
      <c r="A8" s="1503" t="s">
        <v>156</v>
      </c>
      <c r="B8" s="1503"/>
      <c r="C8" s="1622" t="s">
        <v>157</v>
      </c>
      <c r="D8" s="1622"/>
      <c r="E8" s="678" t="s">
        <v>158</v>
      </c>
      <c r="F8" s="679" t="s">
        <v>159</v>
      </c>
      <c r="G8" s="679" t="s">
        <v>729</v>
      </c>
      <c r="H8" s="679" t="s">
        <v>162</v>
      </c>
      <c r="I8" s="679" t="s">
        <v>908</v>
      </c>
      <c r="J8" s="679" t="s">
        <v>941</v>
      </c>
    </row>
    <row r="9" spans="1:10" ht="12.75" customHeight="1">
      <c r="A9" s="1623" t="s">
        <v>163</v>
      </c>
      <c r="B9" s="1623"/>
      <c r="C9" s="1624" t="s">
        <v>164</v>
      </c>
      <c r="D9" s="1624"/>
      <c r="E9" s="680" t="s">
        <v>165</v>
      </c>
      <c r="F9" s="680" t="s">
        <v>166</v>
      </c>
      <c r="G9" s="680" t="s">
        <v>167</v>
      </c>
      <c r="H9" s="680" t="s">
        <v>168</v>
      </c>
      <c r="I9" s="680" t="s">
        <v>226</v>
      </c>
      <c r="J9" s="680" t="s">
        <v>690</v>
      </c>
    </row>
    <row r="10" spans="1:10" ht="12.75" customHeight="1">
      <c r="A10" s="1617" t="s">
        <v>38</v>
      </c>
      <c r="B10" s="1617"/>
      <c r="C10" s="681" t="s">
        <v>281</v>
      </c>
      <c r="D10" s="682"/>
      <c r="E10" s="683">
        <f aca="true" t="shared" si="0" ref="E10:J10">SUM(E11)</f>
        <v>790</v>
      </c>
      <c r="F10" s="683">
        <f t="shared" si="0"/>
        <v>799</v>
      </c>
      <c r="G10" s="683">
        <f t="shared" si="0"/>
        <v>799</v>
      </c>
      <c r="H10" s="683">
        <f t="shared" si="0"/>
        <v>799</v>
      </c>
      <c r="I10" s="683">
        <f t="shared" si="0"/>
        <v>796</v>
      </c>
      <c r="J10" s="683">
        <f t="shared" si="0"/>
        <v>633</v>
      </c>
    </row>
    <row r="11" spans="1:10" ht="12.75" customHeight="1">
      <c r="A11" s="1618" t="s">
        <v>40</v>
      </c>
      <c r="B11" s="1618"/>
      <c r="C11" s="79" t="s">
        <v>730</v>
      </c>
      <c r="D11" s="561"/>
      <c r="E11" s="684">
        <v>790</v>
      </c>
      <c r="F11" s="684">
        <v>799</v>
      </c>
      <c r="G11" s="684">
        <v>799</v>
      </c>
      <c r="H11" s="684">
        <v>799</v>
      </c>
      <c r="I11" s="684">
        <v>796</v>
      </c>
      <c r="J11" s="684">
        <v>633</v>
      </c>
    </row>
    <row r="12" spans="1:10" ht="12.75" customHeight="1">
      <c r="A12" s="1618" t="s">
        <v>47</v>
      </c>
      <c r="B12" s="1618"/>
      <c r="C12" s="636" t="s">
        <v>731</v>
      </c>
      <c r="D12" s="637"/>
      <c r="E12" s="685">
        <v>877</v>
      </c>
      <c r="F12" s="685">
        <v>0</v>
      </c>
      <c r="G12" s="685">
        <v>0</v>
      </c>
      <c r="H12" s="685">
        <v>0</v>
      </c>
      <c r="I12" s="685">
        <v>951</v>
      </c>
      <c r="J12" s="685">
        <v>951</v>
      </c>
    </row>
    <row r="13" spans="1:10" ht="17.25" customHeight="1">
      <c r="A13" s="1619" t="s">
        <v>49</v>
      </c>
      <c r="B13" s="1619"/>
      <c r="C13" s="1620" t="s">
        <v>708</v>
      </c>
      <c r="D13" s="1620"/>
      <c r="E13" s="686">
        <f aca="true" t="shared" si="1" ref="E13:J13">SUM(E10+E12)</f>
        <v>1667</v>
      </c>
      <c r="F13" s="686">
        <f t="shared" si="1"/>
        <v>799</v>
      </c>
      <c r="G13" s="686">
        <f t="shared" si="1"/>
        <v>799</v>
      </c>
      <c r="H13" s="686">
        <f t="shared" si="1"/>
        <v>799</v>
      </c>
      <c r="I13" s="686">
        <f t="shared" si="1"/>
        <v>1747</v>
      </c>
      <c r="J13" s="686">
        <f t="shared" si="1"/>
        <v>1584</v>
      </c>
    </row>
    <row r="14" spans="1:10" s="1" customFormat="1" ht="12.75" customHeight="1">
      <c r="A14" s="1618" t="s">
        <v>51</v>
      </c>
      <c r="B14" s="1618"/>
      <c r="C14" s="369" t="s">
        <v>732</v>
      </c>
      <c r="D14" s="634"/>
      <c r="E14" s="687">
        <v>188</v>
      </c>
      <c r="F14" s="687">
        <v>2407</v>
      </c>
      <c r="G14" s="687">
        <v>2407</v>
      </c>
      <c r="H14" s="687">
        <v>2407</v>
      </c>
      <c r="I14" s="687">
        <v>2407</v>
      </c>
      <c r="J14" s="687">
        <v>2407</v>
      </c>
    </row>
    <row r="15" spans="1:10" ht="12.75" customHeight="1">
      <c r="A15" s="1618" t="s">
        <v>53</v>
      </c>
      <c r="B15" s="1618"/>
      <c r="C15" s="344" t="s">
        <v>724</v>
      </c>
      <c r="D15" s="565"/>
      <c r="E15" s="684">
        <f>SUM(E16:E17)</f>
        <v>74821</v>
      </c>
      <c r="F15" s="684">
        <f>SUM(F16:F17)</f>
        <v>74200</v>
      </c>
      <c r="G15" s="684">
        <f>SUM(G16:G17)</f>
        <v>74226</v>
      </c>
      <c r="H15" s="684">
        <f>SUM(H16:H17)</f>
        <v>74226</v>
      </c>
      <c r="I15" s="684">
        <v>72748</v>
      </c>
      <c r="J15" s="684">
        <f>SUM(J16:J17)</f>
        <v>65720.51699999999</v>
      </c>
    </row>
    <row r="16" spans="1:10" s="348" customFormat="1" ht="12.75" customHeight="1">
      <c r="A16" s="1626" t="s">
        <v>55</v>
      </c>
      <c r="B16" s="1626"/>
      <c r="C16" s="1627" t="s">
        <v>710</v>
      </c>
      <c r="D16" s="1627"/>
      <c r="E16" s="684">
        <v>60946</v>
      </c>
      <c r="F16" s="684">
        <v>57793</v>
      </c>
      <c r="G16" s="684">
        <v>57819</v>
      </c>
      <c r="H16" s="684">
        <v>57819</v>
      </c>
      <c r="I16" s="684">
        <v>57819</v>
      </c>
      <c r="J16" s="684">
        <f>SUM('12. melléklet'!G11)/1000</f>
        <v>57792.517</v>
      </c>
    </row>
    <row r="17" spans="1:10" s="348" customFormat="1" ht="12.75" customHeight="1">
      <c r="A17" s="1626" t="s">
        <v>57</v>
      </c>
      <c r="B17" s="1626"/>
      <c r="C17" s="1627" t="s">
        <v>733</v>
      </c>
      <c r="D17" s="1627"/>
      <c r="E17" s="684">
        <v>13875</v>
      </c>
      <c r="F17" s="684">
        <v>16407</v>
      </c>
      <c r="G17" s="684">
        <v>16407</v>
      </c>
      <c r="H17" s="684">
        <v>16407</v>
      </c>
      <c r="I17" s="684">
        <v>14929</v>
      </c>
      <c r="J17" s="684">
        <v>7928</v>
      </c>
    </row>
    <row r="18" spans="1:10" s="12" customFormat="1" ht="19.5" customHeight="1" thickBot="1">
      <c r="A18" s="1628" t="s">
        <v>86</v>
      </c>
      <c r="B18" s="1628"/>
      <c r="C18" s="1629" t="s">
        <v>192</v>
      </c>
      <c r="D18" s="1629"/>
      <c r="E18" s="688">
        <f aca="true" t="shared" si="2" ref="E18:J18">SUM(E14+E15)</f>
        <v>75009</v>
      </c>
      <c r="F18" s="688">
        <f t="shared" si="2"/>
        <v>76607</v>
      </c>
      <c r="G18" s="688">
        <f t="shared" si="2"/>
        <v>76633</v>
      </c>
      <c r="H18" s="688">
        <f t="shared" si="2"/>
        <v>76633</v>
      </c>
      <c r="I18" s="688">
        <f t="shared" si="2"/>
        <v>75155</v>
      </c>
      <c r="J18" s="688">
        <f t="shared" si="2"/>
        <v>68127.51699999999</v>
      </c>
    </row>
    <row r="19" spans="1:10" ht="21" customHeight="1" thickBot="1">
      <c r="A19" s="1630" t="s">
        <v>59</v>
      </c>
      <c r="B19" s="1630"/>
      <c r="C19" s="689" t="s">
        <v>116</v>
      </c>
      <c r="D19" s="690"/>
      <c r="E19" s="691">
        <f aca="true" t="shared" si="3" ref="E19:J19">SUM(E13+E18)</f>
        <v>76676</v>
      </c>
      <c r="F19" s="691">
        <f t="shared" si="3"/>
        <v>77406</v>
      </c>
      <c r="G19" s="691">
        <f t="shared" si="3"/>
        <v>77432</v>
      </c>
      <c r="H19" s="691">
        <f t="shared" si="3"/>
        <v>77432</v>
      </c>
      <c r="I19" s="691">
        <f t="shared" si="3"/>
        <v>76902</v>
      </c>
      <c r="J19" s="691">
        <f t="shared" si="3"/>
        <v>69711.51699999999</v>
      </c>
    </row>
    <row r="20" spans="1:10" ht="21" customHeight="1">
      <c r="A20" s="692"/>
      <c r="B20" s="692"/>
      <c r="C20" s="693"/>
      <c r="D20" s="693"/>
      <c r="E20" s="694"/>
      <c r="F20" s="694"/>
      <c r="G20" s="694"/>
      <c r="H20" s="694"/>
      <c r="I20" s="694"/>
      <c r="J20" s="694"/>
    </row>
    <row r="21" spans="1:4" ht="12.75" customHeight="1" thickBot="1">
      <c r="A21" s="1"/>
      <c r="B21" s="1"/>
      <c r="C21" s="1"/>
      <c r="D21" s="1"/>
    </row>
    <row r="22" spans="1:10" ht="63.75" customHeight="1" thickBot="1">
      <c r="A22" s="1631" t="s">
        <v>156</v>
      </c>
      <c r="B22" s="1632"/>
      <c r="C22" s="926" t="s">
        <v>329</v>
      </c>
      <c r="D22" s="926" t="s">
        <v>725</v>
      </c>
      <c r="E22" s="927" t="s">
        <v>158</v>
      </c>
      <c r="F22" s="928" t="s">
        <v>159</v>
      </c>
      <c r="G22" s="929" t="s">
        <v>201</v>
      </c>
      <c r="H22" s="929" t="s">
        <v>162</v>
      </c>
      <c r="I22" s="930" t="s">
        <v>908</v>
      </c>
      <c r="J22" s="930" t="s">
        <v>941</v>
      </c>
    </row>
    <row r="23" spans="1:10" ht="12.75" customHeight="1" thickBot="1">
      <c r="A23" s="1631" t="s">
        <v>163</v>
      </c>
      <c r="B23" s="1632"/>
      <c r="C23" s="926" t="s">
        <v>374</v>
      </c>
      <c r="D23" s="926" t="s">
        <v>165</v>
      </c>
      <c r="E23" s="931" t="s">
        <v>166</v>
      </c>
      <c r="F23" s="932" t="s">
        <v>167</v>
      </c>
      <c r="G23" s="933" t="s">
        <v>168</v>
      </c>
      <c r="H23" s="933" t="s">
        <v>226</v>
      </c>
      <c r="I23" s="934" t="s">
        <v>690</v>
      </c>
      <c r="J23" s="934" t="s">
        <v>942</v>
      </c>
    </row>
    <row r="24" spans="1:10" ht="12.75" customHeight="1">
      <c r="A24" s="1633" t="s">
        <v>38</v>
      </c>
      <c r="B24" s="1634"/>
      <c r="C24" s="935" t="s">
        <v>368</v>
      </c>
      <c r="D24" s="936">
        <v>15</v>
      </c>
      <c r="E24" s="937">
        <f aca="true" t="shared" si="4" ref="E24:J24">SUM(E25:E28)</f>
        <v>75799</v>
      </c>
      <c r="F24" s="946">
        <f t="shared" si="4"/>
        <v>77406</v>
      </c>
      <c r="G24" s="946">
        <f t="shared" si="4"/>
        <v>74378</v>
      </c>
      <c r="H24" s="946">
        <f t="shared" si="4"/>
        <v>74378</v>
      </c>
      <c r="I24" s="946">
        <f t="shared" si="4"/>
        <v>72897</v>
      </c>
      <c r="J24" s="946">
        <f t="shared" si="4"/>
        <v>66592</v>
      </c>
    </row>
    <row r="25" spans="1:10" ht="12.75" customHeight="1">
      <c r="A25" s="1635" t="s">
        <v>40</v>
      </c>
      <c r="B25" s="1636"/>
      <c r="C25" s="92" t="s">
        <v>203</v>
      </c>
      <c r="D25" s="420"/>
      <c r="E25" s="938">
        <v>49349</v>
      </c>
      <c r="F25" s="947">
        <v>50191</v>
      </c>
      <c r="G25" s="947">
        <v>47808</v>
      </c>
      <c r="H25" s="947">
        <v>47808</v>
      </c>
      <c r="I25" s="947">
        <v>47808</v>
      </c>
      <c r="J25" s="947">
        <v>43655</v>
      </c>
    </row>
    <row r="26" spans="1:10" ht="12.75" customHeight="1">
      <c r="A26" s="1635" t="s">
        <v>47</v>
      </c>
      <c r="B26" s="1636"/>
      <c r="C26" s="92" t="s">
        <v>204</v>
      </c>
      <c r="D26" s="420"/>
      <c r="E26" s="938">
        <v>12756</v>
      </c>
      <c r="F26" s="947">
        <v>13715</v>
      </c>
      <c r="G26" s="947">
        <v>13070</v>
      </c>
      <c r="H26" s="947">
        <v>13070</v>
      </c>
      <c r="I26" s="947">
        <v>13070</v>
      </c>
      <c r="J26" s="947">
        <v>12039</v>
      </c>
    </row>
    <row r="27" spans="1:10" ht="12.75" customHeight="1">
      <c r="A27" s="1635" t="s">
        <v>49</v>
      </c>
      <c r="B27" s="1636"/>
      <c r="C27" s="92" t="s">
        <v>338</v>
      </c>
      <c r="D27" s="420"/>
      <c r="E27" s="938">
        <v>13520</v>
      </c>
      <c r="F27" s="947">
        <v>13000</v>
      </c>
      <c r="G27" s="947">
        <v>13000</v>
      </c>
      <c r="H27" s="947">
        <v>13000</v>
      </c>
      <c r="I27" s="947">
        <v>12019</v>
      </c>
      <c r="J27" s="947">
        <v>10898</v>
      </c>
    </row>
    <row r="28" spans="1:10" ht="12.75" customHeight="1">
      <c r="A28" s="1635" t="s">
        <v>51</v>
      </c>
      <c r="B28" s="1636"/>
      <c r="C28" s="92" t="s">
        <v>374</v>
      </c>
      <c r="D28" s="420"/>
      <c r="E28" s="938">
        <v>174</v>
      </c>
      <c r="F28" s="947">
        <v>500</v>
      </c>
      <c r="G28" s="947">
        <v>500</v>
      </c>
      <c r="H28" s="947">
        <v>500</v>
      </c>
      <c r="I28" s="947">
        <v>0</v>
      </c>
      <c r="J28" s="947">
        <v>0</v>
      </c>
    </row>
    <row r="29" spans="1:10" ht="12.75" customHeight="1">
      <c r="A29" s="1637" t="s">
        <v>53</v>
      </c>
      <c r="B29" s="1638"/>
      <c r="C29" s="13" t="s">
        <v>734</v>
      </c>
      <c r="D29" s="408">
        <v>0</v>
      </c>
      <c r="E29" s="939">
        <f aca="true" t="shared" si="5" ref="E29:J29">SUM(E30:E32)</f>
        <v>877</v>
      </c>
      <c r="F29" s="948">
        <f t="shared" si="5"/>
        <v>0</v>
      </c>
      <c r="G29" s="948">
        <f t="shared" si="5"/>
        <v>0</v>
      </c>
      <c r="H29" s="948">
        <f t="shared" si="5"/>
        <v>0</v>
      </c>
      <c r="I29" s="948">
        <f t="shared" si="5"/>
        <v>0</v>
      </c>
      <c r="J29" s="948">
        <f t="shared" si="5"/>
        <v>0</v>
      </c>
    </row>
    <row r="30" spans="1:10" ht="12.75" customHeight="1">
      <c r="A30" s="1635" t="s">
        <v>55</v>
      </c>
      <c r="B30" s="1636"/>
      <c r="C30" s="92" t="s">
        <v>203</v>
      </c>
      <c r="D30" s="413"/>
      <c r="E30" s="938">
        <v>707</v>
      </c>
      <c r="F30" s="947">
        <v>0</v>
      </c>
      <c r="G30" s="947">
        <v>0</v>
      </c>
      <c r="H30" s="947">
        <v>0</v>
      </c>
      <c r="I30" s="947">
        <v>0</v>
      </c>
      <c r="J30" s="947">
        <v>0</v>
      </c>
    </row>
    <row r="31" spans="1:10" ht="12.75" customHeight="1">
      <c r="A31" s="1635" t="s">
        <v>57</v>
      </c>
      <c r="B31" s="1636"/>
      <c r="C31" s="92" t="s">
        <v>204</v>
      </c>
      <c r="D31" s="413"/>
      <c r="E31" s="938">
        <v>147</v>
      </c>
      <c r="F31" s="947">
        <v>0</v>
      </c>
      <c r="G31" s="947">
        <v>0</v>
      </c>
      <c r="H31" s="947">
        <v>0</v>
      </c>
      <c r="I31" s="947">
        <v>0</v>
      </c>
      <c r="J31" s="947">
        <v>0</v>
      </c>
    </row>
    <row r="32" spans="1:10" ht="12.75" customHeight="1">
      <c r="A32" s="1635" t="s">
        <v>86</v>
      </c>
      <c r="B32" s="1636"/>
      <c r="C32" s="92" t="s">
        <v>338</v>
      </c>
      <c r="D32" s="413"/>
      <c r="E32" s="938">
        <v>23</v>
      </c>
      <c r="F32" s="947">
        <v>0</v>
      </c>
      <c r="G32" s="947">
        <v>0</v>
      </c>
      <c r="H32" s="947">
        <v>0</v>
      </c>
      <c r="I32" s="947">
        <v>0</v>
      </c>
      <c r="J32" s="947">
        <v>0</v>
      </c>
    </row>
    <row r="33" spans="1:10" s="12" customFormat="1" ht="12.75" customHeight="1">
      <c r="A33" s="1637" t="s">
        <v>59</v>
      </c>
      <c r="B33" s="1638"/>
      <c r="C33" s="174" t="s">
        <v>429</v>
      </c>
      <c r="D33" s="695">
        <v>1</v>
      </c>
      <c r="E33" s="940">
        <v>3054</v>
      </c>
      <c r="F33" s="949">
        <f>SUM(F34:F36)</f>
        <v>0</v>
      </c>
      <c r="G33" s="949">
        <f>SUM(G34:G36)</f>
        <v>3054</v>
      </c>
      <c r="H33" s="949">
        <f>SUM(H34:H36)</f>
        <v>3054</v>
      </c>
      <c r="I33" s="949">
        <f>SUM(I34:I36)</f>
        <v>3054</v>
      </c>
      <c r="J33" s="949">
        <f>SUM(J34:J36)</f>
        <v>2169</v>
      </c>
    </row>
    <row r="34" spans="1:10" ht="12.75" customHeight="1">
      <c r="A34" s="1641" t="s">
        <v>61</v>
      </c>
      <c r="B34" s="1642"/>
      <c r="C34" s="433" t="s">
        <v>203</v>
      </c>
      <c r="D34" s="441"/>
      <c r="E34" s="941">
        <v>2409</v>
      </c>
      <c r="F34" s="950">
        <v>0</v>
      </c>
      <c r="G34" s="950">
        <v>2409</v>
      </c>
      <c r="H34" s="950">
        <v>2409</v>
      </c>
      <c r="I34" s="950">
        <v>2409</v>
      </c>
      <c r="J34" s="950">
        <v>1713</v>
      </c>
    </row>
    <row r="35" spans="1:10" ht="12.75" customHeight="1">
      <c r="A35" s="1635" t="s">
        <v>63</v>
      </c>
      <c r="B35" s="1636"/>
      <c r="C35" s="92" t="s">
        <v>204</v>
      </c>
      <c r="D35" s="413"/>
      <c r="E35" s="938">
        <v>645</v>
      </c>
      <c r="F35" s="947">
        <v>0</v>
      </c>
      <c r="G35" s="947">
        <v>645</v>
      </c>
      <c r="H35" s="947">
        <v>645</v>
      </c>
      <c r="I35" s="947">
        <v>645</v>
      </c>
      <c r="J35" s="947">
        <v>456</v>
      </c>
    </row>
    <row r="36" spans="1:10" ht="12.75" customHeight="1">
      <c r="A36" s="1641" t="s">
        <v>65</v>
      </c>
      <c r="B36" s="1642"/>
      <c r="C36" s="433" t="s">
        <v>338</v>
      </c>
      <c r="D36" s="441"/>
      <c r="E36" s="941"/>
      <c r="F36" s="950"/>
      <c r="G36" s="950"/>
      <c r="H36" s="950"/>
      <c r="I36" s="950"/>
      <c r="J36" s="950"/>
    </row>
    <row r="37" spans="1:10" s="12" customFormat="1" ht="12.75" customHeight="1">
      <c r="A37" s="1652" t="s">
        <v>92</v>
      </c>
      <c r="B37" s="1653"/>
      <c r="C37" s="917" t="s">
        <v>909</v>
      </c>
      <c r="D37" s="953">
        <v>0</v>
      </c>
      <c r="E37" s="954">
        <v>0</v>
      </c>
      <c r="F37" s="955">
        <f>SUM(F38:F40)</f>
        <v>0</v>
      </c>
      <c r="G37" s="955">
        <f>SUM(G38:G40)</f>
        <v>0</v>
      </c>
      <c r="H37" s="955">
        <f>SUM(H38:H40)</f>
        <v>0</v>
      </c>
      <c r="I37" s="955">
        <f>SUM(I38:I40)</f>
        <v>951</v>
      </c>
      <c r="J37" s="955">
        <f>SUM(J38:J40)</f>
        <v>951</v>
      </c>
    </row>
    <row r="38" spans="1:10" ht="12.75" customHeight="1">
      <c r="A38" s="1639" t="s">
        <v>66</v>
      </c>
      <c r="B38" s="1640"/>
      <c r="C38" s="919" t="s">
        <v>203</v>
      </c>
      <c r="D38" s="918"/>
      <c r="E38" s="942">
        <v>0</v>
      </c>
      <c r="F38" s="951">
        <v>0</v>
      </c>
      <c r="G38" s="951">
        <v>0</v>
      </c>
      <c r="H38" s="951">
        <v>0</v>
      </c>
      <c r="I38" s="951">
        <v>640</v>
      </c>
      <c r="J38" s="951">
        <v>570</v>
      </c>
    </row>
    <row r="39" spans="1:10" ht="12.75" customHeight="1">
      <c r="A39" s="1639" t="s">
        <v>67</v>
      </c>
      <c r="B39" s="1640"/>
      <c r="C39" s="919" t="s">
        <v>204</v>
      </c>
      <c r="D39" s="918"/>
      <c r="E39" s="942">
        <v>0</v>
      </c>
      <c r="F39" s="951">
        <v>0</v>
      </c>
      <c r="G39" s="951">
        <v>0</v>
      </c>
      <c r="H39" s="951">
        <v>0</v>
      </c>
      <c r="I39" s="951">
        <v>175</v>
      </c>
      <c r="J39" s="951">
        <v>141</v>
      </c>
    </row>
    <row r="40" spans="1:10" ht="12.75" customHeight="1">
      <c r="A40" s="1639" t="s">
        <v>68</v>
      </c>
      <c r="B40" s="1640"/>
      <c r="C40" s="919" t="s">
        <v>338</v>
      </c>
      <c r="D40" s="918"/>
      <c r="E40" s="942">
        <v>0</v>
      </c>
      <c r="F40" s="951">
        <v>0</v>
      </c>
      <c r="G40" s="951">
        <v>0</v>
      </c>
      <c r="H40" s="951">
        <v>0</v>
      </c>
      <c r="I40" s="951">
        <v>136</v>
      </c>
      <c r="J40" s="951">
        <v>240</v>
      </c>
    </row>
    <row r="41" spans="1:10" ht="12.75" customHeight="1" thickBot="1">
      <c r="A41" s="1645" t="s">
        <v>70</v>
      </c>
      <c r="B41" s="1646"/>
      <c r="C41" s="943"/>
      <c r="D41" s="944"/>
      <c r="E41" s="945"/>
      <c r="F41" s="952"/>
      <c r="G41" s="952"/>
      <c r="H41" s="952"/>
      <c r="I41" s="952"/>
      <c r="J41" s="952"/>
    </row>
    <row r="42" spans="1:10" ht="36.75" customHeight="1" thickBot="1">
      <c r="A42" s="1647" t="s">
        <v>97</v>
      </c>
      <c r="B42" s="1648"/>
      <c r="C42" s="920" t="s">
        <v>309</v>
      </c>
      <c r="D42" s="921">
        <f>SUM(D24:D34)</f>
        <v>16</v>
      </c>
      <c r="E42" s="922">
        <f aca="true" t="shared" si="6" ref="E42:J42">SUM(E43:E46)</f>
        <v>76676</v>
      </c>
      <c r="F42" s="923">
        <f t="shared" si="6"/>
        <v>77406</v>
      </c>
      <c r="G42" s="924">
        <f t="shared" si="6"/>
        <v>77432</v>
      </c>
      <c r="H42" s="924">
        <f t="shared" si="6"/>
        <v>77432</v>
      </c>
      <c r="I42" s="925">
        <f t="shared" si="6"/>
        <v>76902</v>
      </c>
      <c r="J42" s="925">
        <f t="shared" si="6"/>
        <v>69712</v>
      </c>
    </row>
    <row r="43" spans="1:10" ht="12.75" customHeight="1">
      <c r="A43" s="1649" t="s">
        <v>99</v>
      </c>
      <c r="B43" s="1650"/>
      <c r="C43" s="611" t="s">
        <v>203</v>
      </c>
      <c r="D43" s="612">
        <f>D42</f>
        <v>16</v>
      </c>
      <c r="E43" s="696">
        <f aca="true" t="shared" si="7" ref="E43:F45">SUM(E25+E30)</f>
        <v>50056</v>
      </c>
      <c r="F43" s="697">
        <f t="shared" si="7"/>
        <v>50191</v>
      </c>
      <c r="G43" s="698">
        <f>SUM(G25+G30)+G34</f>
        <v>50217</v>
      </c>
      <c r="H43" s="698">
        <f>SUM(H25+H30)+H34</f>
        <v>50217</v>
      </c>
      <c r="I43" s="698">
        <f>SUM(I25+I30)+I34+I38</f>
        <v>50857</v>
      </c>
      <c r="J43" s="698">
        <f>SUM(J25+J30)+J34+J38</f>
        <v>45938</v>
      </c>
    </row>
    <row r="44" spans="1:10" ht="12.75" customHeight="1">
      <c r="A44" s="1651" t="s">
        <v>101</v>
      </c>
      <c r="B44" s="1636"/>
      <c r="C44" s="472" t="s">
        <v>204</v>
      </c>
      <c r="D44" s="614"/>
      <c r="E44" s="699">
        <f t="shared" si="7"/>
        <v>12903</v>
      </c>
      <c r="F44" s="700">
        <f t="shared" si="7"/>
        <v>13715</v>
      </c>
      <c r="G44" s="701">
        <f>SUM(G26+G31)+G35</f>
        <v>13715</v>
      </c>
      <c r="H44" s="701">
        <f>SUM(H26+H31)+H35</f>
        <v>13715</v>
      </c>
      <c r="I44" s="701">
        <f>SUM(I26+I31)+I35+I39</f>
        <v>13890</v>
      </c>
      <c r="J44" s="701">
        <f>SUM(J26+J31)+J35+J39</f>
        <v>12636</v>
      </c>
    </row>
    <row r="45" spans="1:10" ht="12.75" customHeight="1">
      <c r="A45" s="1651" t="s">
        <v>103</v>
      </c>
      <c r="B45" s="1636"/>
      <c r="C45" s="472" t="s">
        <v>338</v>
      </c>
      <c r="D45" s="614"/>
      <c r="E45" s="699">
        <f t="shared" si="7"/>
        <v>13543</v>
      </c>
      <c r="F45" s="700">
        <f t="shared" si="7"/>
        <v>13000</v>
      </c>
      <c r="G45" s="701">
        <f>SUM(G27+G32)</f>
        <v>13000</v>
      </c>
      <c r="H45" s="701">
        <f>SUM(H27+H32)</f>
        <v>13000</v>
      </c>
      <c r="I45" s="701">
        <f>SUM(I27+I32)+I40</f>
        <v>12155</v>
      </c>
      <c r="J45" s="701">
        <f>SUM(J27+J32)+J40</f>
        <v>11138</v>
      </c>
    </row>
    <row r="46" spans="1:10" ht="12.75" customHeight="1" thickBot="1">
      <c r="A46" s="1643" t="s">
        <v>105</v>
      </c>
      <c r="B46" s="1644"/>
      <c r="C46" s="617" t="s">
        <v>345</v>
      </c>
      <c r="D46" s="618"/>
      <c r="E46" s="702">
        <f aca="true" t="shared" si="8" ref="E46:J46">SUM(E28)</f>
        <v>174</v>
      </c>
      <c r="F46" s="703">
        <f t="shared" si="8"/>
        <v>500</v>
      </c>
      <c r="G46" s="704">
        <f t="shared" si="8"/>
        <v>500</v>
      </c>
      <c r="H46" s="704">
        <f t="shared" si="8"/>
        <v>500</v>
      </c>
      <c r="I46" s="704">
        <f t="shared" si="8"/>
        <v>0</v>
      </c>
      <c r="J46" s="704">
        <f t="shared" si="8"/>
        <v>0</v>
      </c>
    </row>
    <row r="47" spans="5:10" s="622" customFormat="1" ht="12.75" customHeight="1">
      <c r="E47" s="705"/>
      <c r="F47" s="705"/>
      <c r="G47" s="705"/>
      <c r="H47" s="705"/>
      <c r="I47" s="705"/>
      <c r="J47" s="705"/>
    </row>
    <row r="48" ht="12.75" customHeight="1"/>
  </sheetData>
  <sheetProtection selectLockedCells="1" selectUnlockedCells="1"/>
  <mergeCells count="48">
    <mergeCell ref="A3:J4"/>
    <mergeCell ref="A46:B46"/>
    <mergeCell ref="A35:B35"/>
    <mergeCell ref="A41:B41"/>
    <mergeCell ref="A42:B42"/>
    <mergeCell ref="A43:B43"/>
    <mergeCell ref="A44:B44"/>
    <mergeCell ref="A45:B45"/>
    <mergeCell ref="A37:B37"/>
    <mergeCell ref="A38:B38"/>
    <mergeCell ref="A39:B39"/>
    <mergeCell ref="A29:B29"/>
    <mergeCell ref="A30:B30"/>
    <mergeCell ref="A40:B40"/>
    <mergeCell ref="A31:B31"/>
    <mergeCell ref="A32:B32"/>
    <mergeCell ref="A33:B33"/>
    <mergeCell ref="A34:B34"/>
    <mergeCell ref="A36:B36"/>
    <mergeCell ref="A23:B23"/>
    <mergeCell ref="A24:B24"/>
    <mergeCell ref="A25:B25"/>
    <mergeCell ref="A26:B26"/>
    <mergeCell ref="A27:B27"/>
    <mergeCell ref="A28:B28"/>
    <mergeCell ref="A17:B17"/>
    <mergeCell ref="C17:D17"/>
    <mergeCell ref="A18:B18"/>
    <mergeCell ref="C18:D18"/>
    <mergeCell ref="A19:B19"/>
    <mergeCell ref="A22:B22"/>
    <mergeCell ref="A9:B9"/>
    <mergeCell ref="C9:D9"/>
    <mergeCell ref="F7:J7"/>
    <mergeCell ref="A14:B14"/>
    <mergeCell ref="A15:B15"/>
    <mergeCell ref="A16:B16"/>
    <mergeCell ref="C16:D16"/>
    <mergeCell ref="A1:J1"/>
    <mergeCell ref="A2:J2"/>
    <mergeCell ref="A10:B10"/>
    <mergeCell ref="A11:B11"/>
    <mergeCell ref="A12:B12"/>
    <mergeCell ref="A13:B13"/>
    <mergeCell ref="C13:D13"/>
    <mergeCell ref="A5:J5"/>
    <mergeCell ref="A8:B8"/>
    <mergeCell ref="C8:D8"/>
  </mergeCells>
  <printOptions/>
  <pageMargins left="0.9055118110236221" right="0.984251968503937" top="0.5511811023622047" bottom="0.984251968503937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21" customWidth="1"/>
    <col min="2" max="2" width="14.7109375" style="21" customWidth="1"/>
    <col min="3" max="16384" width="9.140625" style="21" customWidth="1"/>
  </cols>
  <sheetData>
    <row r="1" ht="12.75" customHeight="1">
      <c r="B1" s="22" t="s">
        <v>21</v>
      </c>
    </row>
    <row r="2" spans="1:2" ht="12.75" customHeight="1">
      <c r="A2" s="1490" t="s">
        <v>22</v>
      </c>
      <c r="B2" s="1490"/>
    </row>
    <row r="3" ht="12.75" customHeight="1">
      <c r="B3" s="22"/>
    </row>
    <row r="4" ht="12.75" customHeight="1">
      <c r="A4" s="23" t="s">
        <v>23</v>
      </c>
    </row>
    <row r="6" ht="12.75" customHeight="1">
      <c r="B6" s="24" t="s">
        <v>4</v>
      </c>
    </row>
    <row r="7" spans="1:2" ht="15" customHeight="1">
      <c r="A7" s="25" t="s">
        <v>24</v>
      </c>
      <c r="B7" s="25" t="s">
        <v>25</v>
      </c>
    </row>
    <row r="8" spans="1:2" ht="12.75" customHeight="1">
      <c r="A8" s="26" t="s">
        <v>26</v>
      </c>
      <c r="B8" s="26">
        <v>350</v>
      </c>
    </row>
    <row r="9" spans="1:2" ht="12.75" customHeight="1">
      <c r="A9" s="27" t="s">
        <v>27</v>
      </c>
      <c r="B9" s="27">
        <v>500</v>
      </c>
    </row>
    <row r="10" spans="1:2" ht="12.75" customHeight="1">
      <c r="A10" s="27" t="s">
        <v>28</v>
      </c>
      <c r="B10" s="27">
        <v>100</v>
      </c>
    </row>
    <row r="11" spans="1:2" ht="12.75" customHeight="1">
      <c r="A11" s="25" t="s">
        <v>29</v>
      </c>
      <c r="B11" s="25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M88"/>
  <sheetViews>
    <sheetView zoomScalePageLayoutView="0" workbookViewId="0" topLeftCell="A1">
      <selection activeCell="L15" sqref="L15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27.140625" style="0" customWidth="1"/>
    <col min="4" max="4" width="6.57421875" style="0" customWidth="1"/>
    <col min="5" max="5" width="13.7109375" style="676" customWidth="1"/>
    <col min="6" max="6" width="14.8515625" style="676" customWidth="1"/>
    <col min="7" max="7" width="13.7109375" style="676" customWidth="1"/>
    <col min="8" max="8" width="11.57421875" style="676" customWidth="1"/>
    <col min="9" max="10" width="13.421875" style="676" customWidth="1"/>
  </cols>
  <sheetData>
    <row r="1" spans="1:10" ht="18" customHeight="1">
      <c r="A1" s="1615" t="s">
        <v>735</v>
      </c>
      <c r="B1" s="1615"/>
      <c r="C1" s="1615"/>
      <c r="D1" s="1615"/>
      <c r="E1" s="1615"/>
      <c r="F1" s="1615"/>
      <c r="G1" s="1615"/>
      <c r="H1" s="1615"/>
      <c r="I1" s="1615"/>
      <c r="J1" s="1615"/>
    </row>
    <row r="2" spans="1:10" ht="18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</row>
    <row r="3" spans="1:10" ht="12.75" customHeight="1">
      <c r="A3" s="1591" t="s">
        <v>1346</v>
      </c>
      <c r="B3" s="1591"/>
      <c r="C3" s="1591"/>
      <c r="D3" s="1591"/>
      <c r="E3" s="1591"/>
      <c r="F3" s="1591"/>
      <c r="G3" s="1591"/>
      <c r="H3" s="1591"/>
      <c r="I3" s="1591"/>
      <c r="J3" s="1591"/>
    </row>
    <row r="4" spans="1:10" ht="12.75" customHeight="1">
      <c r="A4" s="677"/>
      <c r="B4" s="677"/>
      <c r="C4" s="677"/>
      <c r="D4" s="677"/>
      <c r="E4" s="677"/>
      <c r="F4"/>
      <c r="G4"/>
      <c r="H4"/>
      <c r="I4"/>
      <c r="J4"/>
    </row>
    <row r="5" spans="1:10" ht="12.75" customHeight="1">
      <c r="A5" s="1591" t="s">
        <v>1347</v>
      </c>
      <c r="B5" s="1591"/>
      <c r="C5" s="1591"/>
      <c r="D5" s="1591"/>
      <c r="E5" s="1591"/>
      <c r="F5" s="1591"/>
      <c r="G5" s="1591"/>
      <c r="H5" s="1591"/>
      <c r="I5" s="1591"/>
      <c r="J5" s="1591"/>
    </row>
    <row r="6" spans="1:10" ht="18.75" customHeight="1">
      <c r="A6" s="1590" t="s">
        <v>323</v>
      </c>
      <c r="B6" s="1590"/>
      <c r="C6" s="1590"/>
      <c r="D6" s="1590"/>
      <c r="E6" s="1590"/>
      <c r="F6" s="1590"/>
      <c r="G6" s="1590"/>
      <c r="H6" s="1590"/>
      <c r="I6" s="1590"/>
      <c r="J6" s="1590"/>
    </row>
    <row r="7" spans="3:4" ht="18.75" customHeight="1">
      <c r="C7" s="627"/>
      <c r="D7" s="627"/>
    </row>
    <row r="8" spans="6:10" ht="12.75" customHeight="1" thickBot="1">
      <c r="F8" s="1625" t="s">
        <v>155</v>
      </c>
      <c r="G8" s="1625"/>
      <c r="H8" s="1625"/>
      <c r="I8" s="1625"/>
      <c r="J8" s="1625"/>
    </row>
    <row r="9" spans="1:10" ht="54" customHeight="1" thickBot="1">
      <c r="A9" s="1503" t="s">
        <v>156</v>
      </c>
      <c r="B9" s="1503"/>
      <c r="C9" s="1589" t="s">
        <v>157</v>
      </c>
      <c r="D9" s="1589"/>
      <c r="E9" s="62" t="s">
        <v>158</v>
      </c>
      <c r="F9" s="333" t="s">
        <v>159</v>
      </c>
      <c r="G9" s="333" t="s">
        <v>736</v>
      </c>
      <c r="H9" s="333" t="s">
        <v>737</v>
      </c>
      <c r="I9" s="333" t="s">
        <v>912</v>
      </c>
      <c r="J9" s="333" t="s">
        <v>1208</v>
      </c>
    </row>
    <row r="10" spans="1:10" ht="12.75" customHeight="1" thickBot="1">
      <c r="A10" s="1503" t="s">
        <v>163</v>
      </c>
      <c r="B10" s="1503"/>
      <c r="C10" s="1654" t="s">
        <v>164</v>
      </c>
      <c r="D10" s="1654"/>
      <c r="E10" s="706" t="s">
        <v>165</v>
      </c>
      <c r="F10" s="706" t="s">
        <v>166</v>
      </c>
      <c r="G10" s="706" t="s">
        <v>167</v>
      </c>
      <c r="H10" s="706" t="s">
        <v>168</v>
      </c>
      <c r="I10" s="706" t="s">
        <v>226</v>
      </c>
      <c r="J10" s="706" t="s">
        <v>690</v>
      </c>
    </row>
    <row r="11" spans="1:10" ht="12.75" customHeight="1">
      <c r="A11" s="707" t="s">
        <v>38</v>
      </c>
      <c r="B11" s="708"/>
      <c r="C11" s="709" t="s">
        <v>281</v>
      </c>
      <c r="D11" s="710"/>
      <c r="E11" s="711">
        <f aca="true" t="shared" si="0" ref="E11:J11">SUM(E12:E14)</f>
        <v>26194</v>
      </c>
      <c r="F11" s="711">
        <f t="shared" si="0"/>
        <v>33788</v>
      </c>
      <c r="G11" s="711">
        <f t="shared" si="0"/>
        <v>33788</v>
      </c>
      <c r="H11" s="711">
        <f t="shared" si="0"/>
        <v>19500</v>
      </c>
      <c r="I11" s="711">
        <f t="shared" si="0"/>
        <v>19500</v>
      </c>
      <c r="J11" s="711">
        <f t="shared" si="0"/>
        <v>22914</v>
      </c>
    </row>
    <row r="12" spans="1:10" ht="12.75" customHeight="1">
      <c r="A12" s="288" t="s">
        <v>40</v>
      </c>
      <c r="B12" s="712"/>
      <c r="C12" s="79" t="s">
        <v>730</v>
      </c>
      <c r="D12" s="561"/>
      <c r="E12" s="713">
        <v>21184</v>
      </c>
      <c r="F12" s="713">
        <v>19500</v>
      </c>
      <c r="G12" s="713">
        <v>19500</v>
      </c>
      <c r="H12" s="713">
        <v>19500</v>
      </c>
      <c r="I12" s="713">
        <v>19500</v>
      </c>
      <c r="J12" s="713">
        <v>22914</v>
      </c>
    </row>
    <row r="13" spans="1:10" ht="12.75" customHeight="1">
      <c r="A13" s="288" t="s">
        <v>47</v>
      </c>
      <c r="B13" s="712"/>
      <c r="C13" s="79" t="s">
        <v>324</v>
      </c>
      <c r="D13" s="561"/>
      <c r="E13" s="713">
        <v>4857</v>
      </c>
      <c r="F13" s="713">
        <v>14288</v>
      </c>
      <c r="G13" s="713">
        <v>14288</v>
      </c>
      <c r="H13" s="713">
        <v>0</v>
      </c>
      <c r="I13" s="713">
        <v>0</v>
      </c>
      <c r="J13" s="713">
        <v>0</v>
      </c>
    </row>
    <row r="14" spans="1:10" ht="12.75" customHeight="1">
      <c r="A14" s="288" t="s">
        <v>49</v>
      </c>
      <c r="B14" s="712"/>
      <c r="C14" s="79" t="s">
        <v>738</v>
      </c>
      <c r="D14" s="561"/>
      <c r="E14" s="713">
        <v>153</v>
      </c>
      <c r="F14" s="713">
        <v>0</v>
      </c>
      <c r="G14" s="713">
        <v>0</v>
      </c>
      <c r="H14" s="713">
        <v>0</v>
      </c>
      <c r="I14" s="713">
        <v>0</v>
      </c>
      <c r="J14" s="713">
        <v>0</v>
      </c>
    </row>
    <row r="15" spans="1:10" ht="12.75" customHeight="1">
      <c r="A15" s="288" t="s">
        <v>51</v>
      </c>
      <c r="B15" s="712"/>
      <c r="C15" s="369" t="s">
        <v>106</v>
      </c>
      <c r="D15" s="634"/>
      <c r="E15" s="713">
        <v>0</v>
      </c>
      <c r="F15" s="713">
        <v>0</v>
      </c>
      <c r="G15" s="713">
        <v>0</v>
      </c>
      <c r="H15" s="713">
        <v>0</v>
      </c>
      <c r="I15" s="713">
        <v>0</v>
      </c>
      <c r="J15" s="713">
        <v>0</v>
      </c>
    </row>
    <row r="16" spans="1:10" s="12" customFormat="1" ht="12.75" customHeight="1">
      <c r="A16" s="312" t="s">
        <v>53</v>
      </c>
      <c r="B16" s="714"/>
      <c r="C16" s="636" t="s">
        <v>192</v>
      </c>
      <c r="D16" s="637"/>
      <c r="E16" s="715">
        <f>SUM(E18)</f>
        <v>70232</v>
      </c>
      <c r="F16" s="715">
        <f>SUM(F18)+F17</f>
        <v>68637</v>
      </c>
      <c r="G16" s="715">
        <f>SUM(G18)+G17</f>
        <v>70605</v>
      </c>
      <c r="H16" s="715">
        <f>SUM(H18)+H17</f>
        <v>88576</v>
      </c>
      <c r="I16" s="715">
        <f>SUM(I18)+I17</f>
        <v>88576</v>
      </c>
      <c r="J16" s="715">
        <f>SUM(J18)+J17</f>
        <v>84917</v>
      </c>
    </row>
    <row r="17" spans="1:10" s="721" customFormat="1" ht="12.75" customHeight="1">
      <c r="A17" s="716" t="s">
        <v>55</v>
      </c>
      <c r="B17" s="717"/>
      <c r="C17" s="718" t="s">
        <v>732</v>
      </c>
      <c r="D17" s="719"/>
      <c r="E17" s="720"/>
      <c r="F17" s="720">
        <v>3047</v>
      </c>
      <c r="G17" s="720">
        <v>3047</v>
      </c>
      <c r="H17" s="720">
        <v>3047</v>
      </c>
      <c r="I17" s="720">
        <v>3047</v>
      </c>
      <c r="J17" s="720">
        <v>3047</v>
      </c>
    </row>
    <row r="18" spans="1:10" s="1" customFormat="1" ht="12.75" customHeight="1">
      <c r="A18" s="288" t="s">
        <v>57</v>
      </c>
      <c r="B18" s="712"/>
      <c r="C18" s="722" t="s">
        <v>724</v>
      </c>
      <c r="D18" s="565"/>
      <c r="E18" s="713">
        <f aca="true" t="shared" si="1" ref="E18:J18">SUM(E19:E20)</f>
        <v>70232</v>
      </c>
      <c r="F18" s="713">
        <f t="shared" si="1"/>
        <v>65590</v>
      </c>
      <c r="G18" s="713">
        <f t="shared" si="1"/>
        <v>67558</v>
      </c>
      <c r="H18" s="713">
        <f t="shared" si="1"/>
        <v>85529</v>
      </c>
      <c r="I18" s="713">
        <f t="shared" si="1"/>
        <v>85529</v>
      </c>
      <c r="J18" s="713">
        <f t="shared" si="1"/>
        <v>81870</v>
      </c>
    </row>
    <row r="19" spans="1:10" ht="12.75" customHeight="1">
      <c r="A19" s="723" t="s">
        <v>86</v>
      </c>
      <c r="B19" s="724"/>
      <c r="C19" s="579" t="s">
        <v>710</v>
      </c>
      <c r="D19" s="580"/>
      <c r="E19" s="713">
        <v>14017</v>
      </c>
      <c r="F19" s="713">
        <v>17801</v>
      </c>
      <c r="G19" s="713">
        <v>17869</v>
      </c>
      <c r="H19" s="713">
        <v>32157</v>
      </c>
      <c r="I19" s="713">
        <v>32157</v>
      </c>
      <c r="J19" s="713">
        <v>33676</v>
      </c>
    </row>
    <row r="20" spans="1:10" ht="12.75" customHeight="1" thickBot="1">
      <c r="A20" s="725" t="s">
        <v>59</v>
      </c>
      <c r="B20" s="726"/>
      <c r="C20" s="584" t="s">
        <v>711</v>
      </c>
      <c r="D20" s="727"/>
      <c r="E20" s="728">
        <v>56215</v>
      </c>
      <c r="F20" s="728">
        <v>47789</v>
      </c>
      <c r="G20" s="728">
        <v>49689</v>
      </c>
      <c r="H20" s="728">
        <v>53372</v>
      </c>
      <c r="I20" s="728">
        <v>53372</v>
      </c>
      <c r="J20" s="728">
        <v>48194</v>
      </c>
    </row>
    <row r="21" spans="1:10" ht="12.75" customHeight="1" thickBot="1">
      <c r="A21" s="729" t="s">
        <v>61</v>
      </c>
      <c r="B21" s="730"/>
      <c r="C21" s="731" t="s">
        <v>116</v>
      </c>
      <c r="D21" s="732"/>
      <c r="E21" s="733">
        <f aca="true" t="shared" si="2" ref="E21:J21">SUM(E11+E16)</f>
        <v>96426</v>
      </c>
      <c r="F21" s="733">
        <f t="shared" si="2"/>
        <v>102425</v>
      </c>
      <c r="G21" s="733">
        <f t="shared" si="2"/>
        <v>104393</v>
      </c>
      <c r="H21" s="733">
        <f t="shared" si="2"/>
        <v>108076</v>
      </c>
      <c r="I21" s="733">
        <f t="shared" si="2"/>
        <v>108076</v>
      </c>
      <c r="J21" s="733">
        <f t="shared" si="2"/>
        <v>107831</v>
      </c>
    </row>
    <row r="22" ht="12.75" customHeight="1" thickBot="1"/>
    <row r="23" spans="1:10" ht="36.75" customHeight="1">
      <c r="A23" s="1499" t="s">
        <v>156</v>
      </c>
      <c r="B23" s="1499"/>
      <c r="C23" s="401" t="s">
        <v>739</v>
      </c>
      <c r="D23" s="401" t="s">
        <v>725</v>
      </c>
      <c r="E23" s="62" t="s">
        <v>158</v>
      </c>
      <c r="F23" s="333" t="s">
        <v>159</v>
      </c>
      <c r="G23" s="333" t="s">
        <v>201</v>
      </c>
      <c r="H23" s="333" t="s">
        <v>162</v>
      </c>
      <c r="I23" s="333" t="s">
        <v>908</v>
      </c>
      <c r="J23" s="333" t="s">
        <v>941</v>
      </c>
    </row>
    <row r="24" spans="1:10" ht="12.75" customHeight="1" thickBot="1">
      <c r="A24" s="1655" t="s">
        <v>163</v>
      </c>
      <c r="B24" s="1655"/>
      <c r="C24" s="404" t="s">
        <v>164</v>
      </c>
      <c r="D24" s="404" t="s">
        <v>165</v>
      </c>
      <c r="E24" s="734" t="s">
        <v>166</v>
      </c>
      <c r="F24" s="706" t="s">
        <v>167</v>
      </c>
      <c r="G24" s="706" t="s">
        <v>168</v>
      </c>
      <c r="H24" s="706" t="s">
        <v>226</v>
      </c>
      <c r="I24" s="706" t="s">
        <v>690</v>
      </c>
      <c r="J24" s="706" t="s">
        <v>942</v>
      </c>
    </row>
    <row r="25" spans="1:10" ht="34.5" customHeight="1">
      <c r="A25" s="735" t="s">
        <v>38</v>
      </c>
      <c r="B25" s="736" t="s">
        <v>169</v>
      </c>
      <c r="C25" s="737" t="s">
        <v>508</v>
      </c>
      <c r="D25" s="738">
        <v>3</v>
      </c>
      <c r="E25" s="739">
        <f>SUM(E26:E29)</f>
        <v>26219</v>
      </c>
      <c r="F25" s="739">
        <f>SUM(F26:F28)</f>
        <v>27847</v>
      </c>
      <c r="G25" s="739">
        <f>SUM(G26:G28)</f>
        <v>27847</v>
      </c>
      <c r="H25" s="739">
        <f>SUM(H26:H28)</f>
        <v>27847</v>
      </c>
      <c r="I25" s="739">
        <f>SUM(I26:I28)</f>
        <v>27847</v>
      </c>
      <c r="J25" s="739">
        <f>SUM(J26:J29)</f>
        <v>26281</v>
      </c>
    </row>
    <row r="26" spans="1:10" ht="12.75" customHeight="1">
      <c r="A26" s="740" t="s">
        <v>40</v>
      </c>
      <c r="B26" s="78"/>
      <c r="C26" s="92" t="s">
        <v>203</v>
      </c>
      <c r="D26" s="438"/>
      <c r="E26" s="713">
        <v>6392</v>
      </c>
      <c r="F26" s="741">
        <v>6659</v>
      </c>
      <c r="G26" s="741">
        <v>6659</v>
      </c>
      <c r="H26" s="741">
        <v>6659</v>
      </c>
      <c r="I26" s="741">
        <v>6659</v>
      </c>
      <c r="J26" s="741">
        <v>5591</v>
      </c>
    </row>
    <row r="27" spans="1:13" ht="12.75" customHeight="1">
      <c r="A27" s="740" t="s">
        <v>47</v>
      </c>
      <c r="B27" s="78"/>
      <c r="C27" s="92" t="s">
        <v>204</v>
      </c>
      <c r="D27" s="438"/>
      <c r="E27" s="713">
        <v>1790</v>
      </c>
      <c r="F27" s="741">
        <v>1841</v>
      </c>
      <c r="G27" s="741">
        <v>1841</v>
      </c>
      <c r="H27" s="741">
        <v>1841</v>
      </c>
      <c r="I27" s="741">
        <v>1841</v>
      </c>
      <c r="J27" s="741">
        <v>1559</v>
      </c>
      <c r="M27" s="742"/>
    </row>
    <row r="28" spans="1:10" ht="12.75" customHeight="1">
      <c r="A28" s="740" t="s">
        <v>49</v>
      </c>
      <c r="B28" s="78"/>
      <c r="C28" s="92" t="s">
        <v>338</v>
      </c>
      <c r="D28" s="438"/>
      <c r="E28" s="741">
        <v>17869</v>
      </c>
      <c r="F28" s="741">
        <v>19347</v>
      </c>
      <c r="G28" s="741">
        <v>19347</v>
      </c>
      <c r="H28" s="741">
        <v>19347</v>
      </c>
      <c r="I28" s="741">
        <v>19347</v>
      </c>
      <c r="J28" s="741">
        <v>19091</v>
      </c>
    </row>
    <row r="29" spans="1:10" ht="12.75" customHeight="1">
      <c r="A29" s="740" t="s">
        <v>51</v>
      </c>
      <c r="B29" s="78"/>
      <c r="C29" s="92" t="s">
        <v>374</v>
      </c>
      <c r="D29" s="438"/>
      <c r="E29" s="713">
        <v>168</v>
      </c>
      <c r="F29" s="741">
        <v>0</v>
      </c>
      <c r="G29" s="741">
        <v>0</v>
      </c>
      <c r="H29" s="741">
        <v>0</v>
      </c>
      <c r="I29" s="741">
        <v>0</v>
      </c>
      <c r="J29" s="741">
        <v>40</v>
      </c>
    </row>
    <row r="30" spans="1:10" s="12" customFormat="1" ht="27.75" customHeight="1">
      <c r="A30" s="740" t="s">
        <v>53</v>
      </c>
      <c r="B30" s="85" t="s">
        <v>173</v>
      </c>
      <c r="C30" s="436" t="s">
        <v>740</v>
      </c>
      <c r="D30" s="437">
        <v>1</v>
      </c>
      <c r="E30" s="715">
        <f aca="true" t="shared" si="3" ref="E30:J30">SUM(E31:E34)</f>
        <v>5171</v>
      </c>
      <c r="F30" s="743">
        <f t="shared" si="3"/>
        <v>4479</v>
      </c>
      <c r="G30" s="743">
        <f t="shared" si="3"/>
        <v>4479</v>
      </c>
      <c r="H30" s="743">
        <f t="shared" si="3"/>
        <v>4479</v>
      </c>
      <c r="I30" s="743">
        <f t="shared" si="3"/>
        <v>4479</v>
      </c>
      <c r="J30" s="743">
        <f t="shared" si="3"/>
        <v>8053</v>
      </c>
    </row>
    <row r="31" spans="1:10" ht="12.75" customHeight="1">
      <c r="A31" s="740" t="s">
        <v>55</v>
      </c>
      <c r="B31" s="78"/>
      <c r="C31" s="92" t="s">
        <v>203</v>
      </c>
      <c r="D31" s="438"/>
      <c r="E31" s="713">
        <v>501</v>
      </c>
      <c r="F31" s="741">
        <v>1942</v>
      </c>
      <c r="G31" s="741">
        <v>1942</v>
      </c>
      <c r="H31" s="741">
        <v>1942</v>
      </c>
      <c r="I31" s="741">
        <v>1942</v>
      </c>
      <c r="J31" s="741">
        <v>1738</v>
      </c>
    </row>
    <row r="32" spans="1:10" ht="12.75" customHeight="1">
      <c r="A32" s="740" t="s">
        <v>57</v>
      </c>
      <c r="B32" s="78"/>
      <c r="C32" s="92" t="s">
        <v>204</v>
      </c>
      <c r="D32" s="438"/>
      <c r="E32" s="713">
        <v>140</v>
      </c>
      <c r="F32" s="741">
        <v>537</v>
      </c>
      <c r="G32" s="741">
        <v>537</v>
      </c>
      <c r="H32" s="741">
        <v>537</v>
      </c>
      <c r="I32" s="741">
        <v>537</v>
      </c>
      <c r="J32" s="741">
        <v>505</v>
      </c>
    </row>
    <row r="33" spans="1:10" ht="12.75" customHeight="1">
      <c r="A33" s="740" t="s">
        <v>86</v>
      </c>
      <c r="B33" s="78"/>
      <c r="C33" s="92" t="s">
        <v>338</v>
      </c>
      <c r="D33" s="438"/>
      <c r="E33" s="713">
        <v>4482</v>
      </c>
      <c r="F33" s="741">
        <v>2000</v>
      </c>
      <c r="G33" s="741">
        <v>2000</v>
      </c>
      <c r="H33" s="741">
        <v>2000</v>
      </c>
      <c r="I33" s="741">
        <v>2000</v>
      </c>
      <c r="J33" s="741">
        <v>5798</v>
      </c>
    </row>
    <row r="34" spans="1:10" ht="12.75" customHeight="1">
      <c r="A34" s="740" t="s">
        <v>59</v>
      </c>
      <c r="B34" s="78"/>
      <c r="C34" s="92" t="s">
        <v>374</v>
      </c>
      <c r="D34" s="438"/>
      <c r="E34" s="713">
        <v>48</v>
      </c>
      <c r="F34" s="741"/>
      <c r="G34" s="741"/>
      <c r="H34" s="741"/>
      <c r="I34" s="741"/>
      <c r="J34" s="741">
        <v>12</v>
      </c>
    </row>
    <row r="35" spans="1:10" s="12" customFormat="1" ht="28.5" customHeight="1">
      <c r="A35" s="740" t="s">
        <v>61</v>
      </c>
      <c r="B35" s="85" t="s">
        <v>177</v>
      </c>
      <c r="C35" s="436" t="s">
        <v>518</v>
      </c>
      <c r="D35" s="437">
        <v>0</v>
      </c>
      <c r="E35" s="715">
        <v>0</v>
      </c>
      <c r="F35" s="743">
        <f>SUM(F36:F39)</f>
        <v>191</v>
      </c>
      <c r="G35" s="743">
        <f>SUM(G36:G39)</f>
        <v>191</v>
      </c>
      <c r="H35" s="743">
        <f>SUM(H36:H39)</f>
        <v>191</v>
      </c>
      <c r="I35" s="743">
        <f>SUM(I36:I39)</f>
        <v>191</v>
      </c>
      <c r="J35" s="743">
        <f>SUM(J36:J39)</f>
        <v>4</v>
      </c>
    </row>
    <row r="36" spans="1:10" ht="12.75" customHeight="1">
      <c r="A36" s="740" t="s">
        <v>63</v>
      </c>
      <c r="B36" s="78"/>
      <c r="C36" s="92" t="s">
        <v>203</v>
      </c>
      <c r="D36" s="438"/>
      <c r="E36" s="713">
        <v>0</v>
      </c>
      <c r="F36" s="741">
        <v>30</v>
      </c>
      <c r="G36" s="741">
        <v>30</v>
      </c>
      <c r="H36" s="741">
        <v>30</v>
      </c>
      <c r="I36" s="741">
        <v>30</v>
      </c>
      <c r="J36" s="741">
        <v>0</v>
      </c>
    </row>
    <row r="37" spans="1:10" ht="12.75" customHeight="1">
      <c r="A37" s="740" t="s">
        <v>65</v>
      </c>
      <c r="B37" s="78"/>
      <c r="C37" s="92" t="s">
        <v>204</v>
      </c>
      <c r="D37" s="438"/>
      <c r="E37" s="713">
        <v>0</v>
      </c>
      <c r="F37" s="741">
        <v>8</v>
      </c>
      <c r="G37" s="741">
        <v>8</v>
      </c>
      <c r="H37" s="741">
        <v>8</v>
      </c>
      <c r="I37" s="741">
        <v>8</v>
      </c>
      <c r="J37" s="741">
        <v>0</v>
      </c>
    </row>
    <row r="38" spans="1:10" ht="12.75" customHeight="1">
      <c r="A38" s="740" t="s">
        <v>92</v>
      </c>
      <c r="B38" s="78"/>
      <c r="C38" s="92" t="s">
        <v>338</v>
      </c>
      <c r="D38" s="438"/>
      <c r="E38" s="713">
        <v>0</v>
      </c>
      <c r="F38" s="741">
        <v>153</v>
      </c>
      <c r="G38" s="741">
        <v>153</v>
      </c>
      <c r="H38" s="741">
        <v>153</v>
      </c>
      <c r="I38" s="741">
        <v>153</v>
      </c>
      <c r="J38" s="741">
        <v>4</v>
      </c>
    </row>
    <row r="39" spans="1:10" ht="12.75" customHeight="1">
      <c r="A39" s="740" t="s">
        <v>66</v>
      </c>
      <c r="B39" s="78"/>
      <c r="C39" s="92" t="s">
        <v>374</v>
      </c>
      <c r="D39" s="438"/>
      <c r="E39" s="713">
        <v>0</v>
      </c>
      <c r="F39" s="741">
        <v>0</v>
      </c>
      <c r="G39" s="741">
        <v>0</v>
      </c>
      <c r="H39" s="741">
        <v>0</v>
      </c>
      <c r="I39" s="741">
        <v>0</v>
      </c>
      <c r="J39" s="741">
        <v>0</v>
      </c>
    </row>
    <row r="40" spans="1:10" ht="12.75" customHeight="1">
      <c r="A40" s="740" t="s">
        <v>67</v>
      </c>
      <c r="B40" s="85" t="s">
        <v>179</v>
      </c>
      <c r="C40" s="436" t="s">
        <v>741</v>
      </c>
      <c r="D40" s="437">
        <v>0</v>
      </c>
      <c r="E40" s="715">
        <f aca="true" t="shared" si="4" ref="E40:J40">SUM(E43:E44)</f>
        <v>1762</v>
      </c>
      <c r="F40" s="743">
        <f t="shared" si="4"/>
        <v>1500</v>
      </c>
      <c r="G40" s="743">
        <f t="shared" si="4"/>
        <v>1400</v>
      </c>
      <c r="H40" s="743">
        <f t="shared" si="4"/>
        <v>1400</v>
      </c>
      <c r="I40" s="743">
        <f t="shared" si="4"/>
        <v>1400</v>
      </c>
      <c r="J40" s="743">
        <f t="shared" si="4"/>
        <v>538</v>
      </c>
    </row>
    <row r="41" spans="1:10" ht="12.75" customHeight="1">
      <c r="A41" s="740" t="s">
        <v>68</v>
      </c>
      <c r="B41" s="85"/>
      <c r="C41" s="92" t="s">
        <v>631</v>
      </c>
      <c r="D41" s="437"/>
      <c r="E41" s="713">
        <v>0</v>
      </c>
      <c r="F41" s="741">
        <v>0</v>
      </c>
      <c r="G41" s="741">
        <v>0</v>
      </c>
      <c r="H41" s="741">
        <v>0</v>
      </c>
      <c r="I41" s="741">
        <v>0</v>
      </c>
      <c r="J41" s="741">
        <v>0</v>
      </c>
    </row>
    <row r="42" spans="1:10" ht="12.75" customHeight="1">
      <c r="A42" s="740" t="s">
        <v>70</v>
      </c>
      <c r="B42" s="78"/>
      <c r="C42" s="92" t="s">
        <v>204</v>
      </c>
      <c r="D42" s="438"/>
      <c r="E42" s="713">
        <v>0</v>
      </c>
      <c r="F42" s="741">
        <v>0</v>
      </c>
      <c r="G42" s="741">
        <v>0</v>
      </c>
      <c r="H42" s="741">
        <v>0</v>
      </c>
      <c r="I42" s="741">
        <v>0</v>
      </c>
      <c r="J42" s="741">
        <v>0</v>
      </c>
    </row>
    <row r="43" spans="1:10" ht="12.75" customHeight="1">
      <c r="A43" s="740" t="s">
        <v>97</v>
      </c>
      <c r="B43" s="78"/>
      <c r="C43" s="92" t="s">
        <v>338</v>
      </c>
      <c r="D43" s="438"/>
      <c r="E43" s="713">
        <v>1415</v>
      </c>
      <c r="F43" s="741">
        <v>1500</v>
      </c>
      <c r="G43" s="741">
        <v>1400</v>
      </c>
      <c r="H43" s="741">
        <v>1400</v>
      </c>
      <c r="I43" s="741">
        <v>1400</v>
      </c>
      <c r="J43" s="741">
        <v>538</v>
      </c>
    </row>
    <row r="44" spans="1:10" ht="12.75" customHeight="1">
      <c r="A44" s="740" t="s">
        <v>99</v>
      </c>
      <c r="B44" s="78"/>
      <c r="C44" s="92" t="s">
        <v>374</v>
      </c>
      <c r="D44" s="438"/>
      <c r="E44" s="713">
        <v>347</v>
      </c>
      <c r="F44" s="741">
        <v>0</v>
      </c>
      <c r="G44" s="741">
        <v>0</v>
      </c>
      <c r="H44" s="741">
        <v>0</v>
      </c>
      <c r="I44" s="741">
        <v>0</v>
      </c>
      <c r="J44" s="741">
        <v>0</v>
      </c>
    </row>
    <row r="45" spans="1:10" ht="12.75" customHeight="1">
      <c r="A45" s="740" t="s">
        <v>101</v>
      </c>
      <c r="B45" s="85" t="s">
        <v>180</v>
      </c>
      <c r="C45" s="436" t="s">
        <v>742</v>
      </c>
      <c r="D45" s="437">
        <v>0</v>
      </c>
      <c r="E45" s="715">
        <f aca="true" t="shared" si="5" ref="E45:J45">SUM(E46:E49)</f>
        <v>590</v>
      </c>
      <c r="F45" s="743">
        <f t="shared" si="5"/>
        <v>430</v>
      </c>
      <c r="G45" s="743">
        <f t="shared" si="5"/>
        <v>430</v>
      </c>
      <c r="H45" s="743">
        <f t="shared" si="5"/>
        <v>430</v>
      </c>
      <c r="I45" s="743">
        <f t="shared" si="5"/>
        <v>430</v>
      </c>
      <c r="J45" s="743">
        <f t="shared" si="5"/>
        <v>264</v>
      </c>
    </row>
    <row r="46" spans="1:10" ht="12.75" customHeight="1">
      <c r="A46" s="740" t="s">
        <v>103</v>
      </c>
      <c r="B46" s="85"/>
      <c r="C46" s="92" t="s">
        <v>121</v>
      </c>
      <c r="D46" s="437"/>
      <c r="E46" s="713">
        <v>0</v>
      </c>
      <c r="F46" s="741">
        <v>0</v>
      </c>
      <c r="G46" s="741">
        <v>0</v>
      </c>
      <c r="H46" s="741">
        <v>0</v>
      </c>
      <c r="I46" s="741">
        <v>0</v>
      </c>
      <c r="J46" s="741">
        <v>0</v>
      </c>
    </row>
    <row r="47" spans="1:10" ht="12.75" customHeight="1">
      <c r="A47" s="740" t="s">
        <v>105</v>
      </c>
      <c r="B47" s="78"/>
      <c r="C47" s="92" t="s">
        <v>204</v>
      </c>
      <c r="D47" s="744"/>
      <c r="E47" s="713">
        <v>0</v>
      </c>
      <c r="F47" s="741">
        <v>0</v>
      </c>
      <c r="G47" s="741">
        <v>0</v>
      </c>
      <c r="H47" s="741">
        <v>0</v>
      </c>
      <c r="I47" s="741">
        <v>0</v>
      </c>
      <c r="J47" s="741">
        <v>0</v>
      </c>
    </row>
    <row r="48" spans="1:10" ht="12.75" customHeight="1">
      <c r="A48" s="740" t="s">
        <v>107</v>
      </c>
      <c r="B48" s="78"/>
      <c r="C48" s="92" t="s">
        <v>338</v>
      </c>
      <c r="D48" s="744"/>
      <c r="E48" s="713">
        <v>590</v>
      </c>
      <c r="F48" s="741">
        <v>430</v>
      </c>
      <c r="G48" s="741">
        <v>430</v>
      </c>
      <c r="H48" s="741">
        <v>430</v>
      </c>
      <c r="I48" s="741">
        <v>430</v>
      </c>
      <c r="J48" s="741">
        <v>264</v>
      </c>
    </row>
    <row r="49" spans="1:10" ht="12.75" customHeight="1">
      <c r="A49" s="740" t="s">
        <v>109</v>
      </c>
      <c r="B49" s="78"/>
      <c r="C49" s="92" t="s">
        <v>374</v>
      </c>
      <c r="D49" s="744"/>
      <c r="E49" s="713">
        <v>0</v>
      </c>
      <c r="F49" s="741">
        <v>0</v>
      </c>
      <c r="G49" s="741">
        <v>0</v>
      </c>
      <c r="H49" s="741">
        <v>0</v>
      </c>
      <c r="I49" s="741">
        <v>0</v>
      </c>
      <c r="J49" s="741">
        <v>0</v>
      </c>
    </row>
    <row r="50" spans="1:10" s="12" customFormat="1" ht="12.75" customHeight="1">
      <c r="A50" s="740" t="s">
        <v>111</v>
      </c>
      <c r="B50" s="85"/>
      <c r="C50" s="10" t="s">
        <v>743</v>
      </c>
      <c r="D50" s="234"/>
      <c r="E50" s="715">
        <v>12006</v>
      </c>
      <c r="F50" s="743"/>
      <c r="G50" s="743"/>
      <c r="H50" s="743"/>
      <c r="I50" s="743"/>
      <c r="J50" s="743"/>
    </row>
    <row r="51" spans="1:10" ht="12.75" customHeight="1">
      <c r="A51" s="740" t="s">
        <v>113</v>
      </c>
      <c r="B51" s="78"/>
      <c r="C51" s="92" t="s">
        <v>121</v>
      </c>
      <c r="D51" s="744"/>
      <c r="E51" s="713">
        <v>9010</v>
      </c>
      <c r="F51" s="741"/>
      <c r="G51" s="741"/>
      <c r="H51" s="741"/>
      <c r="I51" s="741"/>
      <c r="J51" s="741"/>
    </row>
    <row r="52" spans="1:10" ht="12.75" customHeight="1">
      <c r="A52" s="740" t="s">
        <v>115</v>
      </c>
      <c r="B52" s="78"/>
      <c r="C52" s="92" t="s">
        <v>204</v>
      </c>
      <c r="D52" s="744"/>
      <c r="E52" s="713">
        <v>2575</v>
      </c>
      <c r="F52" s="741"/>
      <c r="G52" s="741"/>
      <c r="H52" s="741"/>
      <c r="I52" s="741"/>
      <c r="J52" s="741"/>
    </row>
    <row r="53" spans="1:10" ht="12.75" customHeight="1">
      <c r="A53" s="740" t="s">
        <v>117</v>
      </c>
      <c r="B53" s="78"/>
      <c r="C53" s="92" t="s">
        <v>338</v>
      </c>
      <c r="D53" s="744"/>
      <c r="E53" s="713">
        <v>421</v>
      </c>
      <c r="F53" s="741"/>
      <c r="G53" s="741"/>
      <c r="H53" s="741"/>
      <c r="I53" s="741"/>
      <c r="J53" s="741"/>
    </row>
    <row r="54" spans="1:10" ht="12.75" customHeight="1">
      <c r="A54" s="740" t="s">
        <v>118</v>
      </c>
      <c r="B54" s="85" t="s">
        <v>182</v>
      </c>
      <c r="C54" s="436" t="s">
        <v>744</v>
      </c>
      <c r="D54" s="745">
        <v>8</v>
      </c>
      <c r="E54" s="715">
        <f aca="true" t="shared" si="6" ref="E54:J54">SUM(E55:E58)</f>
        <v>23501</v>
      </c>
      <c r="F54" s="743">
        <f t="shared" si="6"/>
        <v>27780</v>
      </c>
      <c r="G54" s="743">
        <f t="shared" si="6"/>
        <v>34303</v>
      </c>
      <c r="H54" s="743">
        <f t="shared" si="6"/>
        <v>34303</v>
      </c>
      <c r="I54" s="743">
        <f t="shared" si="6"/>
        <v>34303</v>
      </c>
      <c r="J54" s="743">
        <f t="shared" si="6"/>
        <v>36155</v>
      </c>
    </row>
    <row r="55" spans="1:10" ht="12.75" customHeight="1">
      <c r="A55" s="740" t="s">
        <v>120</v>
      </c>
      <c r="B55" s="78"/>
      <c r="C55" s="92" t="s">
        <v>203</v>
      </c>
      <c r="D55" s="744"/>
      <c r="E55" s="713">
        <v>14179</v>
      </c>
      <c r="F55" s="741">
        <v>21505</v>
      </c>
      <c r="G55" s="741">
        <v>21573</v>
      </c>
      <c r="H55" s="741">
        <v>21573</v>
      </c>
      <c r="I55" s="741">
        <v>21573</v>
      </c>
      <c r="J55" s="741">
        <v>21146</v>
      </c>
    </row>
    <row r="56" spans="1:10" ht="12.75" customHeight="1">
      <c r="A56" s="740" t="s">
        <v>122</v>
      </c>
      <c r="B56" s="78"/>
      <c r="C56" s="92" t="s">
        <v>204</v>
      </c>
      <c r="D56" s="744"/>
      <c r="E56" s="713">
        <v>4308</v>
      </c>
      <c r="F56" s="741">
        <v>6025</v>
      </c>
      <c r="G56" s="741">
        <v>6025</v>
      </c>
      <c r="H56" s="741">
        <v>6025</v>
      </c>
      <c r="I56" s="741">
        <v>6025</v>
      </c>
      <c r="J56" s="741">
        <v>5631</v>
      </c>
    </row>
    <row r="57" spans="1:10" ht="12.75" customHeight="1">
      <c r="A57" s="740" t="s">
        <v>124</v>
      </c>
      <c r="B57" s="78"/>
      <c r="C57" s="92" t="s">
        <v>338</v>
      </c>
      <c r="D57" s="744"/>
      <c r="E57" s="713">
        <v>4555</v>
      </c>
      <c r="F57" s="741"/>
      <c r="G57" s="741">
        <v>6455</v>
      </c>
      <c r="H57" s="741">
        <v>6455</v>
      </c>
      <c r="I57" s="741">
        <v>6455</v>
      </c>
      <c r="J57" s="741">
        <v>9343</v>
      </c>
    </row>
    <row r="58" spans="1:10" ht="12.75" customHeight="1">
      <c r="A58" s="740" t="s">
        <v>126</v>
      </c>
      <c r="B58" s="78"/>
      <c r="C58" s="92" t="s">
        <v>374</v>
      </c>
      <c r="D58" s="744"/>
      <c r="E58" s="713">
        <v>459</v>
      </c>
      <c r="F58" s="741">
        <v>250</v>
      </c>
      <c r="G58" s="741">
        <v>250</v>
      </c>
      <c r="H58" s="741">
        <v>250</v>
      </c>
      <c r="I58" s="741">
        <v>250</v>
      </c>
      <c r="J58" s="741">
        <v>35</v>
      </c>
    </row>
    <row r="59" spans="1:10" ht="12.75" customHeight="1">
      <c r="A59" s="740" t="s">
        <v>128</v>
      </c>
      <c r="B59" s="85" t="s">
        <v>184</v>
      </c>
      <c r="C59" s="13" t="s">
        <v>745</v>
      </c>
      <c r="D59" s="746">
        <v>2</v>
      </c>
      <c r="E59" s="715">
        <f aca="true" t="shared" si="7" ref="E59:J59">SUM(E60:E62)</f>
        <v>7688</v>
      </c>
      <c r="F59" s="743">
        <f t="shared" si="7"/>
        <v>6349</v>
      </c>
      <c r="G59" s="743">
        <f t="shared" si="7"/>
        <v>6349</v>
      </c>
      <c r="H59" s="743">
        <f t="shared" si="7"/>
        <v>6349</v>
      </c>
      <c r="I59" s="743">
        <f t="shared" si="7"/>
        <v>6349</v>
      </c>
      <c r="J59" s="743">
        <f t="shared" si="7"/>
        <v>6094</v>
      </c>
    </row>
    <row r="60" spans="1:10" ht="12.75" customHeight="1">
      <c r="A60" s="740" t="s">
        <v>130</v>
      </c>
      <c r="B60" s="78"/>
      <c r="C60" s="20" t="s">
        <v>203</v>
      </c>
      <c r="D60" s="747"/>
      <c r="E60" s="713">
        <v>2779</v>
      </c>
      <c r="F60" s="741">
        <v>1841</v>
      </c>
      <c r="G60" s="741">
        <v>1841</v>
      </c>
      <c r="H60" s="741">
        <v>1841</v>
      </c>
      <c r="I60" s="741">
        <v>1841</v>
      </c>
      <c r="J60" s="741">
        <v>3336</v>
      </c>
    </row>
    <row r="61" spans="1:10" ht="12.75" customHeight="1">
      <c r="A61" s="740" t="s">
        <v>131</v>
      </c>
      <c r="B61" s="78"/>
      <c r="C61" s="20" t="s">
        <v>720</v>
      </c>
      <c r="D61" s="747"/>
      <c r="E61" s="713">
        <v>779</v>
      </c>
      <c r="F61" s="741">
        <v>508</v>
      </c>
      <c r="G61" s="741">
        <v>508</v>
      </c>
      <c r="H61" s="741">
        <v>508</v>
      </c>
      <c r="I61" s="741">
        <v>508</v>
      </c>
      <c r="J61" s="741">
        <v>948</v>
      </c>
    </row>
    <row r="62" spans="1:10" ht="12.75" customHeight="1">
      <c r="A62" s="740" t="s">
        <v>133</v>
      </c>
      <c r="B62" s="78"/>
      <c r="C62" s="20" t="s">
        <v>634</v>
      </c>
      <c r="D62" s="747"/>
      <c r="E62" s="741">
        <v>4130</v>
      </c>
      <c r="F62" s="741">
        <v>4000</v>
      </c>
      <c r="G62" s="741">
        <v>4000</v>
      </c>
      <c r="H62" s="741">
        <v>4000</v>
      </c>
      <c r="I62" s="741">
        <v>4000</v>
      </c>
      <c r="J62" s="741">
        <v>1810</v>
      </c>
    </row>
    <row r="63" spans="1:10" ht="12.75" customHeight="1">
      <c r="A63" s="740" t="s">
        <v>135</v>
      </c>
      <c r="B63" s="748" t="s">
        <v>186</v>
      </c>
      <c r="C63" s="749" t="s">
        <v>541</v>
      </c>
      <c r="D63" s="750">
        <v>0</v>
      </c>
      <c r="E63" s="743">
        <f aca="true" t="shared" si="8" ref="E63:J63">SUM(E64:E66)</f>
        <v>363</v>
      </c>
      <c r="F63" s="743">
        <f t="shared" si="8"/>
        <v>800</v>
      </c>
      <c r="G63" s="743">
        <f t="shared" si="8"/>
        <v>400</v>
      </c>
      <c r="H63" s="743">
        <f t="shared" si="8"/>
        <v>400</v>
      </c>
      <c r="I63" s="743">
        <f t="shared" si="8"/>
        <v>400</v>
      </c>
      <c r="J63" s="743">
        <f t="shared" si="8"/>
        <v>638</v>
      </c>
    </row>
    <row r="64" spans="1:10" ht="12.75" customHeight="1">
      <c r="A64" s="740" t="s">
        <v>137</v>
      </c>
      <c r="B64" s="469"/>
      <c r="C64" s="472" t="s">
        <v>203</v>
      </c>
      <c r="D64" s="751"/>
      <c r="E64" s="741">
        <v>0</v>
      </c>
      <c r="F64" s="741">
        <v>0</v>
      </c>
      <c r="G64" s="741">
        <v>0</v>
      </c>
      <c r="H64" s="741">
        <v>0</v>
      </c>
      <c r="I64" s="741">
        <v>0</v>
      </c>
      <c r="J64" s="741">
        <v>0</v>
      </c>
    </row>
    <row r="65" spans="1:10" ht="12.75" customHeight="1">
      <c r="A65" s="740" t="s">
        <v>139</v>
      </c>
      <c r="B65" s="469"/>
      <c r="C65" s="472" t="s">
        <v>204</v>
      </c>
      <c r="D65" s="751"/>
      <c r="E65" s="741">
        <v>0</v>
      </c>
      <c r="F65" s="741">
        <v>0</v>
      </c>
      <c r="G65" s="741">
        <v>0</v>
      </c>
      <c r="H65" s="741">
        <v>0</v>
      </c>
      <c r="I65" s="741">
        <v>0</v>
      </c>
      <c r="J65" s="741">
        <v>0</v>
      </c>
    </row>
    <row r="66" spans="1:10" ht="12.75" customHeight="1">
      <c r="A66" s="740" t="s">
        <v>141</v>
      </c>
      <c r="B66" s="469"/>
      <c r="C66" s="472" t="s">
        <v>338</v>
      </c>
      <c r="D66" s="751"/>
      <c r="E66" s="741">
        <v>363</v>
      </c>
      <c r="F66" s="741">
        <v>800</v>
      </c>
      <c r="G66" s="741">
        <v>400</v>
      </c>
      <c r="H66" s="741">
        <v>400</v>
      </c>
      <c r="I66" s="741">
        <v>400</v>
      </c>
      <c r="J66" s="741">
        <v>638</v>
      </c>
    </row>
    <row r="67" spans="1:10" ht="12.75" customHeight="1">
      <c r="A67" s="740" t="s">
        <v>143</v>
      </c>
      <c r="B67" s="752" t="s">
        <v>191</v>
      </c>
      <c r="C67" s="10" t="s">
        <v>1209</v>
      </c>
      <c r="D67" s="437">
        <v>2.5</v>
      </c>
      <c r="E67" s="715">
        <f>SUM(E68:E70)</f>
        <v>7596</v>
      </c>
      <c r="F67" s="743">
        <f>SUM(F68:F71)</f>
        <v>18041</v>
      </c>
      <c r="G67" s="743">
        <f>SUM(G68:G71)</f>
        <v>13986</v>
      </c>
      <c r="H67" s="743">
        <f>SUM(H68:H71)</f>
        <v>15669</v>
      </c>
      <c r="I67" s="743">
        <f>SUM(I68:I71)</f>
        <v>15669</v>
      </c>
      <c r="J67" s="743">
        <f>SUM(J68:J71)</f>
        <v>7159</v>
      </c>
    </row>
    <row r="68" spans="1:10" ht="12.75" customHeight="1">
      <c r="A68" s="740" t="s">
        <v>145</v>
      </c>
      <c r="B68" s="78"/>
      <c r="C68" s="92" t="s">
        <v>203</v>
      </c>
      <c r="D68" s="438"/>
      <c r="E68" s="713">
        <v>0</v>
      </c>
      <c r="F68" s="741">
        <v>6139</v>
      </c>
      <c r="G68" s="741">
        <v>6139</v>
      </c>
      <c r="H68" s="741">
        <v>6139</v>
      </c>
      <c r="I68" s="741">
        <v>6139</v>
      </c>
      <c r="J68" s="741">
        <v>2726</v>
      </c>
    </row>
    <row r="69" spans="1:10" ht="12.75" customHeight="1">
      <c r="A69" s="740" t="s">
        <v>147</v>
      </c>
      <c r="B69" s="78"/>
      <c r="C69" s="92" t="s">
        <v>204</v>
      </c>
      <c r="D69" s="438"/>
      <c r="E69" s="713">
        <v>0</v>
      </c>
      <c r="F69" s="741">
        <v>1702</v>
      </c>
      <c r="G69" s="741">
        <v>1702</v>
      </c>
      <c r="H69" s="741">
        <v>1702</v>
      </c>
      <c r="I69" s="741">
        <v>1702</v>
      </c>
      <c r="J69" s="741">
        <v>754</v>
      </c>
    </row>
    <row r="70" spans="1:10" ht="12.75" customHeight="1">
      <c r="A70" s="740" t="s">
        <v>149</v>
      </c>
      <c r="B70" s="78"/>
      <c r="C70" s="92" t="s">
        <v>338</v>
      </c>
      <c r="D70" s="438"/>
      <c r="E70" s="741">
        <v>7596</v>
      </c>
      <c r="F70" s="741">
        <v>10000</v>
      </c>
      <c r="G70" s="741">
        <v>5945</v>
      </c>
      <c r="H70" s="741">
        <v>7628</v>
      </c>
      <c r="I70" s="741">
        <v>7628</v>
      </c>
      <c r="J70" s="741">
        <v>3679</v>
      </c>
    </row>
    <row r="71" spans="1:10" ht="12.75" customHeight="1">
      <c r="A71" s="740" t="s">
        <v>151</v>
      </c>
      <c r="B71" s="78"/>
      <c r="C71" s="92" t="s">
        <v>374</v>
      </c>
      <c r="D71" s="438"/>
      <c r="E71" s="713"/>
      <c r="F71" s="713">
        <v>200</v>
      </c>
      <c r="G71" s="713">
        <v>200</v>
      </c>
      <c r="H71" s="713">
        <v>200</v>
      </c>
      <c r="I71" s="713">
        <v>200</v>
      </c>
      <c r="J71" s="713"/>
    </row>
    <row r="72" spans="1:10" ht="12.75" customHeight="1">
      <c r="A72" s="740" t="s">
        <v>212</v>
      </c>
      <c r="B72" s="85" t="s">
        <v>196</v>
      </c>
      <c r="C72" s="10" t="s">
        <v>1210</v>
      </c>
      <c r="D72" s="437">
        <v>2</v>
      </c>
      <c r="E72" s="713"/>
      <c r="F72" s="713"/>
      <c r="G72" s="713"/>
      <c r="H72" s="713"/>
      <c r="I72" s="713"/>
      <c r="J72" s="715">
        <f>SUM(J73:J76)</f>
        <v>5981</v>
      </c>
    </row>
    <row r="73" spans="1:10" ht="12.75" customHeight="1">
      <c r="A73" s="740" t="s">
        <v>214</v>
      </c>
      <c r="B73" s="78"/>
      <c r="C73" s="92" t="s">
        <v>203</v>
      </c>
      <c r="D73" s="438"/>
      <c r="E73" s="713"/>
      <c r="F73" s="713"/>
      <c r="G73" s="713"/>
      <c r="H73" s="713"/>
      <c r="I73" s="713"/>
      <c r="J73" s="713">
        <v>1609</v>
      </c>
    </row>
    <row r="74" spans="1:10" ht="12.75" customHeight="1">
      <c r="A74" s="740" t="s">
        <v>215</v>
      </c>
      <c r="B74" s="78"/>
      <c r="C74" s="92" t="s">
        <v>204</v>
      </c>
      <c r="D74" s="438"/>
      <c r="E74" s="713"/>
      <c r="F74" s="713"/>
      <c r="G74" s="713"/>
      <c r="H74" s="713"/>
      <c r="I74" s="713"/>
      <c r="J74" s="713">
        <v>434</v>
      </c>
    </row>
    <row r="75" spans="1:10" ht="12.75" customHeight="1">
      <c r="A75" s="740" t="s">
        <v>217</v>
      </c>
      <c r="B75" s="78"/>
      <c r="C75" s="92" t="s">
        <v>338</v>
      </c>
      <c r="D75" s="438"/>
      <c r="E75" s="713"/>
      <c r="F75" s="713"/>
      <c r="G75" s="713"/>
      <c r="H75" s="713"/>
      <c r="I75" s="713"/>
      <c r="J75" s="713">
        <v>3938</v>
      </c>
    </row>
    <row r="76" spans="1:10" ht="12.75" customHeight="1">
      <c r="A76" s="740" t="s">
        <v>219</v>
      </c>
      <c r="B76" s="78"/>
      <c r="C76" s="92" t="s">
        <v>374</v>
      </c>
      <c r="D76" s="438"/>
      <c r="E76" s="713"/>
      <c r="F76" s="713"/>
      <c r="G76" s="713"/>
      <c r="H76" s="713"/>
      <c r="I76" s="713"/>
      <c r="J76" s="713"/>
    </row>
    <row r="77" spans="1:10" ht="12.75" customHeight="1">
      <c r="A77" s="740" t="s">
        <v>369</v>
      </c>
      <c r="B77" s="85" t="s">
        <v>275</v>
      </c>
      <c r="C77" s="13" t="s">
        <v>550</v>
      </c>
      <c r="D77" s="746">
        <v>0</v>
      </c>
      <c r="E77" s="715">
        <f aca="true" t="shared" si="9" ref="E77:J77">SUM(E78:E78)</f>
        <v>719</v>
      </c>
      <c r="F77" s="715">
        <f t="shared" si="9"/>
        <v>720</v>
      </c>
      <c r="G77" s="715">
        <f t="shared" si="9"/>
        <v>720</v>
      </c>
      <c r="H77" s="715">
        <f t="shared" si="9"/>
        <v>720</v>
      </c>
      <c r="I77" s="715">
        <f t="shared" si="9"/>
        <v>720</v>
      </c>
      <c r="J77" s="715">
        <f t="shared" si="9"/>
        <v>0</v>
      </c>
    </row>
    <row r="78" spans="1:10" ht="12.75" customHeight="1">
      <c r="A78" s="740" t="s">
        <v>370</v>
      </c>
      <c r="B78" s="78"/>
      <c r="C78" s="20" t="s">
        <v>746</v>
      </c>
      <c r="D78" s="747"/>
      <c r="E78" s="713">
        <v>719</v>
      </c>
      <c r="F78" s="713">
        <v>720</v>
      </c>
      <c r="G78" s="713">
        <v>720</v>
      </c>
      <c r="H78" s="713">
        <v>720</v>
      </c>
      <c r="I78" s="713">
        <v>720</v>
      </c>
      <c r="J78" s="713"/>
    </row>
    <row r="79" spans="1:10" ht="25.5" customHeight="1">
      <c r="A79" s="740" t="s">
        <v>371</v>
      </c>
      <c r="B79" s="85" t="s">
        <v>769</v>
      </c>
      <c r="C79" s="753" t="s">
        <v>386</v>
      </c>
      <c r="D79" s="979">
        <v>12</v>
      </c>
      <c r="E79" s="715">
        <f>SUM(E80:E83)</f>
        <v>10811</v>
      </c>
      <c r="F79" s="715">
        <f>SUM(F80:F82)</f>
        <v>14288</v>
      </c>
      <c r="G79" s="715">
        <f>SUM(G80:G82)</f>
        <v>14288</v>
      </c>
      <c r="H79" s="715">
        <f>SUM(H80:H83)</f>
        <v>16288</v>
      </c>
      <c r="I79" s="715">
        <f>SUM(I80:I83)</f>
        <v>16288</v>
      </c>
      <c r="J79" s="715">
        <f>SUM(J80:J83)</f>
        <v>16664</v>
      </c>
    </row>
    <row r="80" spans="1:10" ht="12.75" customHeight="1">
      <c r="A80" s="740" t="s">
        <v>373</v>
      </c>
      <c r="B80" s="78"/>
      <c r="C80" s="92" t="s">
        <v>203</v>
      </c>
      <c r="D80" s="747"/>
      <c r="E80" s="713">
        <v>8561</v>
      </c>
      <c r="F80" s="713">
        <v>12324</v>
      </c>
      <c r="G80" s="713">
        <v>12324</v>
      </c>
      <c r="H80" s="713">
        <v>12324</v>
      </c>
      <c r="I80" s="713">
        <v>12324</v>
      </c>
      <c r="J80" s="713">
        <v>12673</v>
      </c>
    </row>
    <row r="81" spans="1:10" ht="12.75" customHeight="1">
      <c r="A81" s="740" t="s">
        <v>375</v>
      </c>
      <c r="B81" s="78"/>
      <c r="C81" s="92" t="s">
        <v>204</v>
      </c>
      <c r="D81" s="747"/>
      <c r="E81" s="713">
        <v>1212</v>
      </c>
      <c r="F81" s="713">
        <v>1664</v>
      </c>
      <c r="G81" s="713">
        <v>1664</v>
      </c>
      <c r="H81" s="713">
        <v>1664</v>
      </c>
      <c r="I81" s="713">
        <v>1664</v>
      </c>
      <c r="J81" s="713">
        <v>1727</v>
      </c>
    </row>
    <row r="82" spans="1:10" ht="12.75" customHeight="1">
      <c r="A82" s="740" t="s">
        <v>377</v>
      </c>
      <c r="B82" s="78"/>
      <c r="C82" s="92" t="s">
        <v>338</v>
      </c>
      <c r="D82" s="747"/>
      <c r="E82" s="713">
        <v>939</v>
      </c>
      <c r="F82" s="713">
        <v>300</v>
      </c>
      <c r="G82" s="713">
        <v>300</v>
      </c>
      <c r="H82" s="713">
        <v>300</v>
      </c>
      <c r="I82" s="713">
        <v>300</v>
      </c>
      <c r="J82" s="713">
        <v>584</v>
      </c>
    </row>
    <row r="83" spans="1:10" ht="12.75" customHeight="1" thickBot="1">
      <c r="A83" s="473" t="s">
        <v>378</v>
      </c>
      <c r="B83" s="754"/>
      <c r="C83" s="433" t="s">
        <v>374</v>
      </c>
      <c r="D83" s="755"/>
      <c r="E83" s="756">
        <v>99</v>
      </c>
      <c r="F83" s="756">
        <v>0</v>
      </c>
      <c r="G83" s="756">
        <v>0</v>
      </c>
      <c r="H83" s="756">
        <v>2000</v>
      </c>
      <c r="I83" s="756">
        <v>2000</v>
      </c>
      <c r="J83" s="756">
        <v>1680</v>
      </c>
    </row>
    <row r="84" spans="1:10" ht="27" customHeight="1" thickBot="1">
      <c r="A84" s="757" t="s">
        <v>379</v>
      </c>
      <c r="B84" s="758"/>
      <c r="C84" s="977" t="s">
        <v>747</v>
      </c>
      <c r="D84" s="978">
        <f>SUM(D25+D30+D35+D40+D45+D54+D59+D67+D77)+D79+D72</f>
        <v>30.5</v>
      </c>
      <c r="E84" s="759">
        <f>SUM(E25+E40+E45+E54+E59+E63+E67+E77+E79)+E30+E35+E50</f>
        <v>96426</v>
      </c>
      <c r="F84" s="759">
        <f>SUM(F25+F40+F45+F54+F59+F63+F67+F77+F79)+F30+F35+F50</f>
        <v>102425</v>
      </c>
      <c r="G84" s="759">
        <f>SUM(G25+G40+G45+G54+G59+G63+G67+G77+G79)+G30+G35+G50</f>
        <v>104393</v>
      </c>
      <c r="H84" s="733">
        <f>SUM(H25+H40+H45+H54+H59+H63+H67+H77+H79)+H30+H35+H50</f>
        <v>108076</v>
      </c>
      <c r="I84" s="733">
        <f>SUM(I25+I40+I45+I54+I59+I63+I67+I77+I79)+I30+I35+I50</f>
        <v>108076</v>
      </c>
      <c r="J84" s="733">
        <f>SUM(J25+J40+J45+J54+J59+J63+J67+J77+J79)+J30+J35+J50+J72</f>
        <v>107831</v>
      </c>
    </row>
    <row r="85" spans="1:10" ht="12.75" customHeight="1">
      <c r="A85" s="740" t="s">
        <v>380</v>
      </c>
      <c r="B85" s="760"/>
      <c r="C85" s="611" t="s">
        <v>719</v>
      </c>
      <c r="D85" s="761"/>
      <c r="E85" s="762">
        <f>SUM(E26+E41+E46+E55+E60+E64+E68+E80)+E31+E36+E51</f>
        <v>41422</v>
      </c>
      <c r="F85" s="762">
        <f>SUM(F26+F41+F46+F55+F60+F64+F68+F80)+F31+F36</f>
        <v>50440</v>
      </c>
      <c r="G85" s="762">
        <f>SUM(G26+G41+G46+G55+G60+G64+G68+G80)+G31+G36</f>
        <v>50508</v>
      </c>
      <c r="H85" s="762">
        <f>SUM(H26+H41+H46+H55+H60+H64+H68+H80)+H31+H36</f>
        <v>50508</v>
      </c>
      <c r="I85" s="762">
        <f>SUM(I26+I41+I46+I55+I60+I64+I68+I80)+I31+I36</f>
        <v>50508</v>
      </c>
      <c r="J85" s="762">
        <f>SUM(J26+J41+J46+J55+J60+J64+J68+J80)+J31+J36+J73</f>
        <v>48819</v>
      </c>
    </row>
    <row r="86" spans="1:10" ht="12.75" customHeight="1">
      <c r="A86" s="740" t="s">
        <v>382</v>
      </c>
      <c r="B86" s="469"/>
      <c r="C86" s="763" t="s">
        <v>720</v>
      </c>
      <c r="D86" s="614"/>
      <c r="E86" s="762">
        <f>SUM(E27+E42+E47+E56+E61+E65+E69+E81)+E32+E37+E52</f>
        <v>10804</v>
      </c>
      <c r="F86" s="741">
        <f>SUM(F27+F42+F47+F56+F61+F65+F69)+F81+F32+F37</f>
        <v>12285</v>
      </c>
      <c r="G86" s="741">
        <f>SUM(G27+G42+G47+G56+G61+G65+G69)+G81+G32+G37</f>
        <v>12285</v>
      </c>
      <c r="H86" s="741">
        <f>SUM(H27+H42+H47+H56+H61+H65+H69)+H81+H32+H37</f>
        <v>12285</v>
      </c>
      <c r="I86" s="741">
        <f>SUM(I27+I42+I47+I56+I61+I65+I69)+I81+I32+I37</f>
        <v>12285</v>
      </c>
      <c r="J86" s="741">
        <f>SUM(J27+J42+J47+J56+J61+J65+J69)+J81+J32+J37+J74</f>
        <v>11558</v>
      </c>
    </row>
    <row r="87" spans="1:10" ht="12.75" customHeight="1">
      <c r="A87" s="740" t="s">
        <v>384</v>
      </c>
      <c r="B87" s="469"/>
      <c r="C87" s="763" t="s">
        <v>125</v>
      </c>
      <c r="D87" s="614"/>
      <c r="E87" s="762">
        <f>SUM(E28+E43+E48+E57+E62+E66+E70+E82)+E33+E38+E53++E78</f>
        <v>43079</v>
      </c>
      <c r="F87" s="741">
        <f>SUM(F28+F43+F48+F57+F62+F70+F82)+F78+F66+F33+F38</f>
        <v>39250</v>
      </c>
      <c r="G87" s="741">
        <f>SUM(G28+G43+G48+G57+G62+G70+G82)+G78+G66+G33+G38</f>
        <v>41150</v>
      </c>
      <c r="H87" s="741">
        <f>SUM(H28+H43+H48+H57+H62+H70+H82)+H78+H66+H33+H38</f>
        <v>42833</v>
      </c>
      <c r="I87" s="741">
        <f>SUM(I28+I43+I48+I57+I62+I70+I82)+I78+I66+I33+I38</f>
        <v>42833</v>
      </c>
      <c r="J87" s="741">
        <f>SUM(J28+J43+J48+J57+J62+J70+J82)+J78+J66+J33+J38+J75</f>
        <v>45687</v>
      </c>
    </row>
    <row r="88" spans="1:10" ht="12.75" customHeight="1">
      <c r="A88" s="740" t="s">
        <v>385</v>
      </c>
      <c r="B88" s="469"/>
      <c r="C88" s="472" t="s">
        <v>345</v>
      </c>
      <c r="D88" s="614"/>
      <c r="E88" s="741">
        <f>SUM(E71+E58+E49+E44+E29)+E34++E83</f>
        <v>1121</v>
      </c>
      <c r="F88" s="741">
        <f>SUM(F71+F58+F49+F44+F29)</f>
        <v>450</v>
      </c>
      <c r="G88" s="741">
        <f>SUM(G71+G58+G49+G44+G29)</f>
        <v>450</v>
      </c>
      <c r="H88" s="741">
        <f>SUM(H71+H58+H49+H44+H29)+H83</f>
        <v>2450</v>
      </c>
      <c r="I88" s="741">
        <f>SUM(I71+I58+I49+I44+I29)+I83</f>
        <v>2450</v>
      </c>
      <c r="J88" s="741">
        <f>SUM(J71+J58+J49+J44+J29)+J83+J34</f>
        <v>1767</v>
      </c>
    </row>
  </sheetData>
  <sheetProtection selectLockedCells="1" selectUnlockedCells="1"/>
  <mergeCells count="11">
    <mergeCell ref="A5:J5"/>
    <mergeCell ref="A1:J1"/>
    <mergeCell ref="C9:D9"/>
    <mergeCell ref="A10:B10"/>
    <mergeCell ref="C10:D10"/>
    <mergeCell ref="A23:B23"/>
    <mergeCell ref="A24:B24"/>
    <mergeCell ref="A9:B9"/>
    <mergeCell ref="F8:J8"/>
    <mergeCell ref="A6:J6"/>
    <mergeCell ref="A3:J3"/>
  </mergeCells>
  <printOptions/>
  <pageMargins left="0.7875" right="0.7875" top="1.0631944444444446" bottom="1.0631944444444446" header="0.5118055555555555" footer="0.7875"/>
  <pageSetup horizontalDpi="300" verticalDpi="300" orientation="portrait" paperSize="9" scale="70" r:id="rId1"/>
  <headerFooter alignWithMargins="0">
    <oddFooter>&amp;C&amp;"Times New Roman,Normál"&amp;12Oldal &amp;P</oddFooter>
  </headerFooter>
  <rowBreaks count="1" manualBreakCount="1">
    <brk id="58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65"/>
  <sheetViews>
    <sheetView workbookViewId="0" topLeftCell="A1">
      <selection activeCell="A5" sqref="A5:J5"/>
    </sheetView>
  </sheetViews>
  <sheetFormatPr defaultColWidth="11.57421875" defaultRowHeight="12.75" customHeight="1"/>
  <cols>
    <col min="1" max="1" width="4.00390625" style="764" customWidth="1"/>
    <col min="2" max="2" width="7.421875" style="1196" customWidth="1"/>
    <col min="3" max="3" width="31.00390625" style="764" customWidth="1"/>
    <col min="4" max="4" width="6.8515625" style="764" customWidth="1"/>
    <col min="5" max="6" width="11.28125" style="764" customWidth="1"/>
    <col min="7" max="7" width="15.00390625" style="764" customWidth="1"/>
    <col min="8" max="8" width="12.28125" style="764" customWidth="1"/>
    <col min="9" max="10" width="13.7109375" style="764" customWidth="1"/>
    <col min="11" max="16384" width="11.57421875" style="764" customWidth="1"/>
  </cols>
  <sheetData>
    <row r="1" spans="1:10" s="765" customFormat="1" ht="18" customHeight="1">
      <c r="A1" s="1666" t="s">
        <v>748</v>
      </c>
      <c r="B1" s="1666"/>
      <c r="C1" s="1666"/>
      <c r="D1" s="1666"/>
      <c r="E1" s="1666"/>
      <c r="F1" s="1666"/>
      <c r="G1" s="1666"/>
      <c r="H1" s="1666"/>
      <c r="I1" s="1666"/>
      <c r="J1" s="1666"/>
    </row>
    <row r="2" spans="1:10" ht="12.75" customHeight="1">
      <c r="A2" s="1665" t="s">
        <v>1348</v>
      </c>
      <c r="B2" s="1665"/>
      <c r="C2" s="1665"/>
      <c r="D2" s="1665"/>
      <c r="E2" s="1665"/>
      <c r="F2" s="1665"/>
      <c r="G2" s="1665"/>
      <c r="H2" s="1665"/>
      <c r="I2" s="1665"/>
      <c r="J2" s="1665"/>
    </row>
    <row r="3" spans="1:10" ht="12.75" customHeight="1">
      <c r="A3" s="1665" t="s">
        <v>1349</v>
      </c>
      <c r="B3" s="1665"/>
      <c r="C3" s="1665"/>
      <c r="D3" s="1665"/>
      <c r="E3" s="1665"/>
      <c r="F3" s="1665"/>
      <c r="G3" s="1665"/>
      <c r="H3" s="1665"/>
      <c r="I3" s="1665"/>
      <c r="J3" s="1665"/>
    </row>
    <row r="4" spans="3:10" ht="12" customHeight="1">
      <c r="C4" s="766"/>
      <c r="D4" s="766"/>
      <c r="F4" s="766"/>
      <c r="G4" s="766"/>
      <c r="H4" s="766"/>
      <c r="I4" s="766"/>
      <c r="J4" s="766"/>
    </row>
    <row r="5" spans="1:10" ht="18" customHeight="1">
      <c r="A5" s="1664" t="s">
        <v>749</v>
      </c>
      <c r="B5" s="1664"/>
      <c r="C5" s="1664"/>
      <c r="D5" s="1664"/>
      <c r="E5" s="1664"/>
      <c r="F5" s="1664"/>
      <c r="G5" s="1664"/>
      <c r="H5" s="1664"/>
      <c r="I5" s="1664"/>
      <c r="J5" s="1664"/>
    </row>
    <row r="6" spans="6:10" ht="24.75" customHeight="1">
      <c r="F6" s="767"/>
      <c r="G6" s="767"/>
      <c r="H6" s="767"/>
      <c r="I6" s="767"/>
      <c r="J6" s="767"/>
    </row>
    <row r="7" spans="1:10" ht="12.75" customHeight="1">
      <c r="A7" s="1667"/>
      <c r="B7" s="1667"/>
      <c r="C7" s="1667"/>
      <c r="D7" s="768"/>
      <c r="E7" s="769"/>
      <c r="F7" s="1663" t="s">
        <v>155</v>
      </c>
      <c r="G7" s="1663"/>
      <c r="H7" s="1663"/>
      <c r="I7" s="1663"/>
      <c r="J7" s="1663"/>
    </row>
    <row r="8" spans="1:10" ht="42.75" customHeight="1">
      <c r="A8" s="1657" t="s">
        <v>156</v>
      </c>
      <c r="B8" s="1657"/>
      <c r="C8" s="1668" t="s">
        <v>157</v>
      </c>
      <c r="D8" s="1668"/>
      <c r="E8" s="771" t="s">
        <v>158</v>
      </c>
      <c r="F8" s="771" t="s">
        <v>159</v>
      </c>
      <c r="G8" s="771" t="s">
        <v>201</v>
      </c>
      <c r="H8" s="771" t="s">
        <v>162</v>
      </c>
      <c r="I8" s="771" t="s">
        <v>908</v>
      </c>
      <c r="J8" s="771" t="s">
        <v>941</v>
      </c>
    </row>
    <row r="9" spans="1:10" ht="12.75" customHeight="1">
      <c r="A9" s="1657" t="s">
        <v>163</v>
      </c>
      <c r="B9" s="1657"/>
      <c r="C9" s="1668" t="s">
        <v>164</v>
      </c>
      <c r="D9" s="1668"/>
      <c r="E9" s="772" t="s">
        <v>165</v>
      </c>
      <c r="F9" s="772" t="s">
        <v>166</v>
      </c>
      <c r="G9" s="772" t="s">
        <v>167</v>
      </c>
      <c r="H9" s="772" t="s">
        <v>168</v>
      </c>
      <c r="I9" s="772" t="s">
        <v>226</v>
      </c>
      <c r="J9" s="772" t="s">
        <v>690</v>
      </c>
    </row>
    <row r="10" spans="1:10" ht="12.75" customHeight="1">
      <c r="A10" s="773" t="s">
        <v>38</v>
      </c>
      <c r="B10" s="1197"/>
      <c r="C10" s="774" t="s">
        <v>281</v>
      </c>
      <c r="D10" s="775"/>
      <c r="E10" s="776">
        <v>14456</v>
      </c>
      <c r="F10" s="775">
        <v>20163</v>
      </c>
      <c r="G10" s="777">
        <v>20163</v>
      </c>
      <c r="H10" s="777">
        <v>24413</v>
      </c>
      <c r="I10" s="777">
        <v>19278</v>
      </c>
      <c r="J10" s="1228">
        <v>20600</v>
      </c>
    </row>
    <row r="11" spans="1:10" ht="12.75" customHeight="1">
      <c r="A11" s="778" t="s">
        <v>40</v>
      </c>
      <c r="B11" s="1198"/>
      <c r="C11" s="1658" t="s">
        <v>750</v>
      </c>
      <c r="D11" s="1658"/>
      <c r="E11" s="779">
        <v>168798</v>
      </c>
      <c r="F11" s="780">
        <v>142477</v>
      </c>
      <c r="G11" s="781">
        <v>142477</v>
      </c>
      <c r="H11" s="781">
        <v>142477</v>
      </c>
      <c r="I11" s="980">
        <v>149880</v>
      </c>
      <c r="J11" s="1229">
        <v>168644</v>
      </c>
    </row>
    <row r="12" spans="1:10" ht="12.75" customHeight="1">
      <c r="A12" s="778" t="s">
        <v>47</v>
      </c>
      <c r="B12" s="1198"/>
      <c r="C12" s="780" t="s">
        <v>751</v>
      </c>
      <c r="D12" s="780"/>
      <c r="E12" s="779">
        <v>175920</v>
      </c>
      <c r="F12" s="780">
        <v>172951</v>
      </c>
      <c r="G12" s="781">
        <v>174108</v>
      </c>
      <c r="H12" s="781">
        <v>174695</v>
      </c>
      <c r="I12" s="980">
        <v>185145</v>
      </c>
      <c r="J12" s="1229">
        <v>185377</v>
      </c>
    </row>
    <row r="13" spans="1:10" ht="12.75" customHeight="1">
      <c r="A13" s="778" t="s">
        <v>49</v>
      </c>
      <c r="B13" s="1198"/>
      <c r="C13" s="1658" t="s">
        <v>752</v>
      </c>
      <c r="D13" s="1658"/>
      <c r="E13" s="779">
        <v>2250</v>
      </c>
      <c r="F13" s="781">
        <v>4125</v>
      </c>
      <c r="G13" s="781">
        <v>4125</v>
      </c>
      <c r="H13" s="781">
        <v>14288</v>
      </c>
      <c r="I13" s="980">
        <v>13301</v>
      </c>
      <c r="J13" s="1229">
        <v>15697</v>
      </c>
    </row>
    <row r="14" spans="1:10" ht="29.25" customHeight="1">
      <c r="A14" s="778" t="s">
        <v>51</v>
      </c>
      <c r="B14" s="1198"/>
      <c r="C14" s="1661" t="s">
        <v>1240</v>
      </c>
      <c r="D14" s="1662"/>
      <c r="E14" s="779">
        <v>0</v>
      </c>
      <c r="F14" s="781">
        <v>0</v>
      </c>
      <c r="G14" s="781">
        <v>0</v>
      </c>
      <c r="H14" s="781">
        <v>0</v>
      </c>
      <c r="I14" s="980">
        <v>0</v>
      </c>
      <c r="J14" s="1229">
        <v>116</v>
      </c>
    </row>
    <row r="15" spans="1:10" ht="24.75" customHeight="1">
      <c r="A15" s="778" t="s">
        <v>53</v>
      </c>
      <c r="B15" s="1198"/>
      <c r="C15" s="1661" t="s">
        <v>1241</v>
      </c>
      <c r="D15" s="1662"/>
      <c r="E15" s="779">
        <v>0</v>
      </c>
      <c r="F15" s="781">
        <v>0</v>
      </c>
      <c r="G15" s="781">
        <v>0</v>
      </c>
      <c r="H15" s="781">
        <v>0</v>
      </c>
      <c r="I15" s="980">
        <v>0</v>
      </c>
      <c r="J15" s="1229">
        <v>3852</v>
      </c>
    </row>
    <row r="16" spans="1:10" ht="24.75" customHeight="1">
      <c r="A16" s="778"/>
      <c r="B16" s="1198"/>
      <c r="C16" s="1661" t="s">
        <v>1255</v>
      </c>
      <c r="D16" s="1662"/>
      <c r="E16" s="779"/>
      <c r="F16" s="781"/>
      <c r="G16" s="781"/>
      <c r="H16" s="781"/>
      <c r="I16" s="980"/>
      <c r="J16" s="1229">
        <v>3148</v>
      </c>
    </row>
    <row r="17" spans="1:10" ht="29.25" customHeight="1">
      <c r="A17" s="778" t="s">
        <v>55</v>
      </c>
      <c r="B17" s="1198"/>
      <c r="C17" s="1661" t="s">
        <v>753</v>
      </c>
      <c r="D17" s="1662"/>
      <c r="E17" s="779">
        <v>9214</v>
      </c>
      <c r="F17" s="780">
        <v>0</v>
      </c>
      <c r="G17" s="781">
        <v>0</v>
      </c>
      <c r="H17" s="781">
        <v>1000</v>
      </c>
      <c r="I17" s="980">
        <v>907</v>
      </c>
      <c r="J17" s="1229">
        <v>956</v>
      </c>
    </row>
    <row r="18" spans="1:10" ht="12.75" customHeight="1">
      <c r="A18" s="778" t="s">
        <v>57</v>
      </c>
      <c r="B18" s="1198"/>
      <c r="C18" s="1658" t="s">
        <v>754</v>
      </c>
      <c r="D18" s="1658"/>
      <c r="E18" s="779">
        <v>34550</v>
      </c>
      <c r="F18" s="780">
        <v>33500</v>
      </c>
      <c r="G18" s="781">
        <v>33500</v>
      </c>
      <c r="H18" s="781">
        <v>32730</v>
      </c>
      <c r="I18" s="980">
        <v>31199</v>
      </c>
      <c r="J18" s="1229">
        <v>31164</v>
      </c>
    </row>
    <row r="19" spans="1:10" ht="12.75" customHeight="1">
      <c r="A19" s="778" t="s">
        <v>86</v>
      </c>
      <c r="B19" s="1198"/>
      <c r="C19" s="1658" t="s">
        <v>297</v>
      </c>
      <c r="D19" s="1658"/>
      <c r="E19" s="779">
        <v>643</v>
      </c>
      <c r="F19" s="780">
        <v>700</v>
      </c>
      <c r="G19" s="781">
        <v>700</v>
      </c>
      <c r="H19" s="781">
        <v>700</v>
      </c>
      <c r="I19" s="980">
        <v>40</v>
      </c>
      <c r="J19" s="1229">
        <v>23</v>
      </c>
    </row>
    <row r="20" spans="1:10" s="785" customFormat="1" ht="12.75" customHeight="1">
      <c r="A20" s="782" t="s">
        <v>59</v>
      </c>
      <c r="B20" s="1199"/>
      <c r="C20" s="1660" t="s">
        <v>708</v>
      </c>
      <c r="D20" s="1660"/>
      <c r="E20" s="783">
        <f aca="true" t="shared" si="0" ref="E20:J20">SUM(E10:E19)</f>
        <v>405831</v>
      </c>
      <c r="F20" s="783">
        <f t="shared" si="0"/>
        <v>373916</v>
      </c>
      <c r="G20" s="784">
        <f t="shared" si="0"/>
        <v>375073</v>
      </c>
      <c r="H20" s="784">
        <f t="shared" si="0"/>
        <v>390303</v>
      </c>
      <c r="I20" s="981">
        <f t="shared" si="0"/>
        <v>399750</v>
      </c>
      <c r="J20" s="1230">
        <f t="shared" si="0"/>
        <v>429577</v>
      </c>
    </row>
    <row r="21" spans="1:10" ht="12.75" customHeight="1">
      <c r="A21" s="778" t="s">
        <v>61</v>
      </c>
      <c r="B21" s="1198"/>
      <c r="C21" s="780" t="s">
        <v>755</v>
      </c>
      <c r="D21" s="780"/>
      <c r="E21" s="779">
        <v>0</v>
      </c>
      <c r="F21" s="780">
        <v>0</v>
      </c>
      <c r="G21" s="781">
        <v>0</v>
      </c>
      <c r="H21" s="781">
        <v>0</v>
      </c>
      <c r="I21" s="980">
        <v>0</v>
      </c>
      <c r="J21" s="1229">
        <v>0</v>
      </c>
    </row>
    <row r="22" spans="1:10" ht="12.75" customHeight="1">
      <c r="A22" s="778" t="s">
        <v>63</v>
      </c>
      <c r="B22" s="1198"/>
      <c r="C22" s="780" t="s">
        <v>756</v>
      </c>
      <c r="D22" s="780"/>
      <c r="E22" s="779">
        <v>9241</v>
      </c>
      <c r="F22" s="780">
        <v>35000</v>
      </c>
      <c r="G22" s="781">
        <v>47903</v>
      </c>
      <c r="H22" s="781">
        <v>47903</v>
      </c>
      <c r="I22" s="980">
        <v>39695</v>
      </c>
      <c r="J22" s="1229">
        <v>7399</v>
      </c>
    </row>
    <row r="23" spans="1:10" ht="12.75" customHeight="1">
      <c r="A23" s="778" t="s">
        <v>65</v>
      </c>
      <c r="B23" s="1198"/>
      <c r="C23" s="780" t="s">
        <v>757</v>
      </c>
      <c r="D23" s="780"/>
      <c r="E23" s="779">
        <v>0</v>
      </c>
      <c r="F23" s="780">
        <v>0</v>
      </c>
      <c r="G23" s="781">
        <v>12410</v>
      </c>
      <c r="H23" s="781">
        <v>12410</v>
      </c>
      <c r="I23" s="980">
        <v>1773</v>
      </c>
      <c r="J23" s="1229">
        <v>0</v>
      </c>
    </row>
    <row r="24" spans="1:10" ht="12.75" customHeight="1">
      <c r="A24" s="778" t="s">
        <v>92</v>
      </c>
      <c r="B24" s="1198"/>
      <c r="C24" s="780" t="s">
        <v>758</v>
      </c>
      <c r="D24" s="780"/>
      <c r="E24" s="779">
        <v>0</v>
      </c>
      <c r="F24" s="780">
        <v>0</v>
      </c>
      <c r="G24" s="781">
        <v>0</v>
      </c>
      <c r="H24" s="781">
        <v>0</v>
      </c>
      <c r="I24" s="980">
        <v>0</v>
      </c>
      <c r="J24" s="1229">
        <v>0</v>
      </c>
    </row>
    <row r="25" spans="1:10" ht="12.75" customHeight="1">
      <c r="A25" s="778" t="s">
        <v>66</v>
      </c>
      <c r="B25" s="1198"/>
      <c r="C25" s="1658" t="s">
        <v>759</v>
      </c>
      <c r="D25" s="1658"/>
      <c r="E25" s="779">
        <v>295</v>
      </c>
      <c r="F25" s="780">
        <v>1205</v>
      </c>
      <c r="G25" s="781">
        <v>1205</v>
      </c>
      <c r="H25" s="781">
        <v>1605</v>
      </c>
      <c r="I25" s="980">
        <v>468</v>
      </c>
      <c r="J25" s="1229">
        <v>859</v>
      </c>
    </row>
    <row r="26" spans="1:10" ht="12.75" customHeight="1">
      <c r="A26" s="778" t="s">
        <v>67</v>
      </c>
      <c r="B26" s="1198"/>
      <c r="C26" s="1658" t="s">
        <v>301</v>
      </c>
      <c r="D26" s="1658"/>
      <c r="E26" s="779">
        <v>189812</v>
      </c>
      <c r="F26" s="781">
        <v>0</v>
      </c>
      <c r="G26" s="781">
        <v>80000</v>
      </c>
      <c r="H26" s="781">
        <v>80000</v>
      </c>
      <c r="I26" s="980">
        <v>80000</v>
      </c>
      <c r="J26" s="1229">
        <v>80110</v>
      </c>
    </row>
    <row r="27" spans="1:10" ht="12.75" customHeight="1">
      <c r="A27" s="778" t="s">
        <v>68</v>
      </c>
      <c r="B27" s="1198"/>
      <c r="C27" s="962" t="s">
        <v>181</v>
      </c>
      <c r="D27" s="962"/>
      <c r="E27" s="779">
        <v>0</v>
      </c>
      <c r="F27" s="781">
        <v>0</v>
      </c>
      <c r="G27" s="781">
        <v>0</v>
      </c>
      <c r="H27" s="781">
        <v>0</v>
      </c>
      <c r="I27" s="980">
        <v>805</v>
      </c>
      <c r="J27" s="1229">
        <v>1577</v>
      </c>
    </row>
    <row r="28" spans="1:10" s="785" customFormat="1" ht="12.75" customHeight="1">
      <c r="A28" s="782" t="s">
        <v>70</v>
      </c>
      <c r="B28" s="1199"/>
      <c r="C28" s="1659" t="s">
        <v>13</v>
      </c>
      <c r="D28" s="1659"/>
      <c r="E28" s="783">
        <f aca="true" t="shared" si="1" ref="E28:J28">SUM(E21:E27)</f>
        <v>199348</v>
      </c>
      <c r="F28" s="783">
        <f t="shared" si="1"/>
        <v>36205</v>
      </c>
      <c r="G28" s="784">
        <f t="shared" si="1"/>
        <v>141518</v>
      </c>
      <c r="H28" s="784">
        <f t="shared" si="1"/>
        <v>141918</v>
      </c>
      <c r="I28" s="981">
        <f t="shared" si="1"/>
        <v>122741</v>
      </c>
      <c r="J28" s="981">
        <f t="shared" si="1"/>
        <v>89945</v>
      </c>
    </row>
    <row r="29" spans="1:10" ht="12.75" customHeight="1">
      <c r="A29" s="778" t="s">
        <v>97</v>
      </c>
      <c r="B29" s="962"/>
      <c r="C29" s="780" t="s">
        <v>760</v>
      </c>
      <c r="D29" s="780"/>
      <c r="E29" s="779"/>
      <c r="F29" s="780">
        <v>90000</v>
      </c>
      <c r="G29" s="781">
        <v>90000</v>
      </c>
      <c r="H29" s="781">
        <v>80000</v>
      </c>
      <c r="I29" s="980">
        <v>80000</v>
      </c>
      <c r="J29" s="980">
        <v>80000</v>
      </c>
    </row>
    <row r="30" spans="1:10" ht="12.75" customHeight="1">
      <c r="A30" s="778" t="s">
        <v>99</v>
      </c>
      <c r="B30" s="962"/>
      <c r="C30" s="780" t="s">
        <v>242</v>
      </c>
      <c r="D30" s="780"/>
      <c r="E30" s="779">
        <v>110000</v>
      </c>
      <c r="F30" s="780">
        <v>0</v>
      </c>
      <c r="G30" s="781">
        <v>0</v>
      </c>
      <c r="H30" s="781">
        <v>0</v>
      </c>
      <c r="I30" s="980">
        <v>0</v>
      </c>
      <c r="J30" s="980">
        <v>0</v>
      </c>
    </row>
    <row r="31" spans="1:10" ht="12.75" customHeight="1">
      <c r="A31" s="786" t="s">
        <v>101</v>
      </c>
      <c r="B31" s="1200"/>
      <c r="C31" s="787" t="s">
        <v>194</v>
      </c>
      <c r="D31" s="787"/>
      <c r="E31" s="788">
        <v>10166</v>
      </c>
      <c r="F31" s="787">
        <v>6052</v>
      </c>
      <c r="G31" s="789">
        <v>6052</v>
      </c>
      <c r="H31" s="789">
        <v>6052</v>
      </c>
      <c r="I31" s="982">
        <v>4153</v>
      </c>
      <c r="J31" s="982">
        <v>11934</v>
      </c>
    </row>
    <row r="32" spans="1:10" ht="12.75" customHeight="1">
      <c r="A32" s="786" t="s">
        <v>103</v>
      </c>
      <c r="B32" s="962"/>
      <c r="C32" s="1658" t="s">
        <v>230</v>
      </c>
      <c r="D32" s="1658"/>
      <c r="E32" s="779">
        <v>73227</v>
      </c>
      <c r="F32" s="780">
        <v>51066</v>
      </c>
      <c r="G32" s="781">
        <v>51066</v>
      </c>
      <c r="H32" s="781">
        <v>51066</v>
      </c>
      <c r="I32" s="980">
        <v>51066</v>
      </c>
      <c r="J32" s="980">
        <v>51066</v>
      </c>
    </row>
    <row r="33" spans="1:10" s="785" customFormat="1" ht="12.75" customHeight="1">
      <c r="A33" s="790" t="s">
        <v>105</v>
      </c>
      <c r="B33" s="1199"/>
      <c r="C33" s="1659" t="s">
        <v>192</v>
      </c>
      <c r="D33" s="1659"/>
      <c r="E33" s="783">
        <f aca="true" t="shared" si="2" ref="E33:J33">SUM(E29:E32)</f>
        <v>193393</v>
      </c>
      <c r="F33" s="783">
        <f t="shared" si="2"/>
        <v>147118</v>
      </c>
      <c r="G33" s="783">
        <f t="shared" si="2"/>
        <v>147118</v>
      </c>
      <c r="H33" s="783">
        <f t="shared" si="2"/>
        <v>137118</v>
      </c>
      <c r="I33" s="983">
        <f t="shared" si="2"/>
        <v>135219</v>
      </c>
      <c r="J33" s="983">
        <f t="shared" si="2"/>
        <v>143000</v>
      </c>
    </row>
    <row r="34" spans="1:10" ht="12.75" customHeight="1" thickBot="1">
      <c r="A34" s="791" t="s">
        <v>107</v>
      </c>
      <c r="B34" s="1201"/>
      <c r="C34" s="774"/>
      <c r="D34" s="775"/>
      <c r="E34" s="776"/>
      <c r="F34" s="775"/>
      <c r="G34" s="775"/>
      <c r="H34" s="775"/>
      <c r="I34" s="775"/>
      <c r="J34" s="775"/>
    </row>
    <row r="35" spans="1:10" ht="12.75" customHeight="1" thickBot="1">
      <c r="A35" s="792" t="s">
        <v>109</v>
      </c>
      <c r="B35" s="1202"/>
      <c r="C35" s="793" t="s">
        <v>116</v>
      </c>
      <c r="D35" s="794"/>
      <c r="E35" s="795">
        <f aca="true" t="shared" si="3" ref="E35:J35">SUM(E33,E28,E20)</f>
        <v>798572</v>
      </c>
      <c r="F35" s="795">
        <f t="shared" si="3"/>
        <v>557239</v>
      </c>
      <c r="G35" s="795">
        <f t="shared" si="3"/>
        <v>663709</v>
      </c>
      <c r="H35" s="795">
        <f t="shared" si="3"/>
        <v>669339</v>
      </c>
      <c r="I35" s="795">
        <f t="shared" si="3"/>
        <v>657710</v>
      </c>
      <c r="J35" s="795">
        <f t="shared" si="3"/>
        <v>662522</v>
      </c>
    </row>
    <row r="36" spans="1:10" ht="12.75" customHeight="1" thickBot="1">
      <c r="A36" s="769"/>
      <c r="B36" s="1203"/>
      <c r="C36" s="769"/>
      <c r="D36" s="769"/>
      <c r="E36" s="769"/>
      <c r="F36" s="769"/>
      <c r="G36" s="769"/>
      <c r="H36" s="769"/>
      <c r="I36" s="769"/>
      <c r="J36" s="769"/>
    </row>
    <row r="37" spans="1:10" ht="33.75" customHeight="1">
      <c r="A37" s="1656" t="s">
        <v>156</v>
      </c>
      <c r="B37" s="1656"/>
      <c r="C37" s="796" t="s">
        <v>329</v>
      </c>
      <c r="D37" s="797" t="s">
        <v>725</v>
      </c>
      <c r="E37" s="798" t="s">
        <v>158</v>
      </c>
      <c r="F37" s="798" t="s">
        <v>159</v>
      </c>
      <c r="G37" s="797" t="s">
        <v>201</v>
      </c>
      <c r="H37" s="797" t="s">
        <v>162</v>
      </c>
      <c r="I37" s="797" t="s">
        <v>908</v>
      </c>
      <c r="J37" s="797" t="s">
        <v>941</v>
      </c>
    </row>
    <row r="38" spans="1:10" ht="19.5" customHeight="1">
      <c r="A38" s="1657" t="s">
        <v>163</v>
      </c>
      <c r="B38" s="1657"/>
      <c r="C38" s="770" t="s">
        <v>164</v>
      </c>
      <c r="D38" s="770" t="s">
        <v>165</v>
      </c>
      <c r="E38" s="770" t="s">
        <v>166</v>
      </c>
      <c r="F38" s="770" t="s">
        <v>167</v>
      </c>
      <c r="G38" s="770" t="s">
        <v>168</v>
      </c>
      <c r="H38" s="770" t="s">
        <v>226</v>
      </c>
      <c r="I38" s="770" t="s">
        <v>690</v>
      </c>
      <c r="J38" s="770" t="s">
        <v>942</v>
      </c>
    </row>
    <row r="39" spans="1:10" ht="12.75" customHeight="1">
      <c r="A39" s="799" t="s">
        <v>38</v>
      </c>
      <c r="B39" s="1204" t="s">
        <v>169</v>
      </c>
      <c r="C39" s="800" t="s">
        <v>761</v>
      </c>
      <c r="D39" s="800"/>
      <c r="E39" s="597">
        <v>600</v>
      </c>
      <c r="F39" s="800">
        <v>673</v>
      </c>
      <c r="G39" s="800">
        <v>673</v>
      </c>
      <c r="H39" s="800">
        <v>673</v>
      </c>
      <c r="I39" s="800">
        <v>673</v>
      </c>
      <c r="J39" s="800">
        <f>SUM(J40)</f>
        <v>539</v>
      </c>
    </row>
    <row r="40" spans="1:10" ht="12.75" customHeight="1">
      <c r="A40" s="801" t="s">
        <v>40</v>
      </c>
      <c r="B40" s="1205"/>
      <c r="C40" s="802" t="s">
        <v>334</v>
      </c>
      <c r="D40" s="802"/>
      <c r="E40" s="802">
        <v>600</v>
      </c>
      <c r="F40" s="802">
        <v>673</v>
      </c>
      <c r="G40" s="802">
        <v>673</v>
      </c>
      <c r="H40" s="802">
        <v>673</v>
      </c>
      <c r="I40" s="802">
        <v>673</v>
      </c>
      <c r="J40" s="802">
        <v>539</v>
      </c>
    </row>
    <row r="41" spans="1:10" ht="12.75" customHeight="1">
      <c r="A41" s="803" t="s">
        <v>47</v>
      </c>
      <c r="B41" s="1206" t="s">
        <v>173</v>
      </c>
      <c r="C41" s="804" t="s">
        <v>335</v>
      </c>
      <c r="D41" s="804"/>
      <c r="E41" s="804">
        <v>0</v>
      </c>
      <c r="F41" s="804">
        <v>551</v>
      </c>
      <c r="G41" s="805">
        <v>551</v>
      </c>
      <c r="H41" s="805">
        <v>551</v>
      </c>
      <c r="I41" s="805">
        <v>551</v>
      </c>
      <c r="J41" s="805">
        <f>SUM(J42)</f>
        <v>0</v>
      </c>
    </row>
    <row r="42" spans="1:10" ht="12.75" customHeight="1">
      <c r="A42" s="801" t="s">
        <v>49</v>
      </c>
      <c r="B42" s="1205"/>
      <c r="C42" s="802" t="s">
        <v>334</v>
      </c>
      <c r="D42" s="802"/>
      <c r="E42" s="802">
        <v>0</v>
      </c>
      <c r="F42" s="802">
        <v>551</v>
      </c>
      <c r="G42" s="806">
        <v>551</v>
      </c>
      <c r="H42" s="806">
        <v>551</v>
      </c>
      <c r="I42" s="806">
        <v>551</v>
      </c>
      <c r="J42" s="806">
        <v>0</v>
      </c>
    </row>
    <row r="43" spans="1:10" ht="12.75" customHeight="1">
      <c r="A43" s="801" t="s">
        <v>51</v>
      </c>
      <c r="B43" s="1205"/>
      <c r="C43" s="802" t="s">
        <v>336</v>
      </c>
      <c r="D43" s="802"/>
      <c r="E43" s="802"/>
      <c r="F43" s="802"/>
      <c r="G43" s="802"/>
      <c r="H43" s="802"/>
      <c r="I43" s="802"/>
      <c r="J43" s="802"/>
    </row>
    <row r="44" spans="1:10" ht="33" customHeight="1">
      <c r="A44" s="803" t="s">
        <v>53</v>
      </c>
      <c r="B44" s="1206" t="s">
        <v>177</v>
      </c>
      <c r="C44" s="807" t="s">
        <v>762</v>
      </c>
      <c r="D44" s="804"/>
      <c r="E44" s="10">
        <f aca="true" t="shared" si="4" ref="E44:J44">SUM(E45:E48)</f>
        <v>199227</v>
      </c>
      <c r="F44" s="804">
        <f t="shared" si="4"/>
        <v>140442</v>
      </c>
      <c r="G44" s="804">
        <f t="shared" si="4"/>
        <v>158701</v>
      </c>
      <c r="H44" s="804">
        <f t="shared" si="4"/>
        <v>0</v>
      </c>
      <c r="I44" s="804">
        <f t="shared" si="4"/>
        <v>0</v>
      </c>
      <c r="J44" s="804">
        <f t="shared" si="4"/>
        <v>0</v>
      </c>
    </row>
    <row r="45" spans="1:10" ht="12.75" customHeight="1">
      <c r="A45" s="801" t="s">
        <v>55</v>
      </c>
      <c r="B45" s="1205"/>
      <c r="C45" s="802" t="s">
        <v>203</v>
      </c>
      <c r="D45" s="802"/>
      <c r="E45" s="802">
        <v>0</v>
      </c>
      <c r="F45" s="802">
        <v>0</v>
      </c>
      <c r="G45" s="802">
        <v>0</v>
      </c>
      <c r="H45" s="802">
        <v>0</v>
      </c>
      <c r="I45" s="802">
        <v>0</v>
      </c>
      <c r="J45" s="802">
        <v>0</v>
      </c>
    </row>
    <row r="46" spans="1:10" ht="12.75" customHeight="1">
      <c r="A46" s="801" t="s">
        <v>57</v>
      </c>
      <c r="B46" s="1205"/>
      <c r="C46" s="802" t="s">
        <v>204</v>
      </c>
      <c r="D46" s="802"/>
      <c r="E46" s="802">
        <v>0</v>
      </c>
      <c r="F46" s="802">
        <v>0</v>
      </c>
      <c r="G46" s="802">
        <v>0</v>
      </c>
      <c r="H46" s="802">
        <v>0</v>
      </c>
      <c r="I46" s="802">
        <v>0</v>
      </c>
      <c r="J46" s="802">
        <v>0</v>
      </c>
    </row>
    <row r="47" spans="1:10" ht="12.75" customHeight="1">
      <c r="A47" s="801" t="s">
        <v>86</v>
      </c>
      <c r="B47" s="1205"/>
      <c r="C47" s="808" t="s">
        <v>338</v>
      </c>
      <c r="D47" s="808"/>
      <c r="E47" s="802">
        <v>22789</v>
      </c>
      <c r="F47" s="802">
        <v>15000</v>
      </c>
      <c r="G47" s="802">
        <v>15000</v>
      </c>
      <c r="H47" s="802">
        <v>0</v>
      </c>
      <c r="I47" s="802">
        <v>0</v>
      </c>
      <c r="J47" s="802">
        <v>0</v>
      </c>
    </row>
    <row r="48" spans="1:10" ht="12.75" customHeight="1">
      <c r="A48" s="801" t="s">
        <v>59</v>
      </c>
      <c r="B48" s="1205"/>
      <c r="C48" s="802" t="s">
        <v>336</v>
      </c>
      <c r="D48" s="802"/>
      <c r="E48" s="806">
        <v>176438</v>
      </c>
      <c r="F48" s="802">
        <v>125442</v>
      </c>
      <c r="G48" s="802">
        <v>143701</v>
      </c>
      <c r="H48" s="802">
        <v>0</v>
      </c>
      <c r="I48" s="802">
        <v>0</v>
      </c>
      <c r="J48" s="802">
        <v>0</v>
      </c>
    </row>
    <row r="49" spans="1:10" s="810" customFormat="1" ht="12.75" customHeight="1">
      <c r="A49" s="801" t="s">
        <v>61</v>
      </c>
      <c r="B49" s="1206" t="s">
        <v>179</v>
      </c>
      <c r="C49" s="804" t="s">
        <v>763</v>
      </c>
      <c r="D49" s="804"/>
      <c r="E49" s="809">
        <v>3</v>
      </c>
      <c r="F49" s="804">
        <v>0</v>
      </c>
      <c r="G49" s="804">
        <v>0</v>
      </c>
      <c r="H49" s="804">
        <v>0</v>
      </c>
      <c r="I49" s="804">
        <v>0</v>
      </c>
      <c r="J49" s="804">
        <v>0</v>
      </c>
    </row>
    <row r="50" spans="1:10" ht="12.75" customHeight="1">
      <c r="A50" s="801" t="s">
        <v>63</v>
      </c>
      <c r="B50" s="1205"/>
      <c r="C50" s="802" t="s">
        <v>764</v>
      </c>
      <c r="D50" s="802"/>
      <c r="E50" s="806">
        <v>3</v>
      </c>
      <c r="F50" s="802">
        <v>0</v>
      </c>
      <c r="G50" s="802">
        <v>0</v>
      </c>
      <c r="H50" s="802">
        <v>0</v>
      </c>
      <c r="I50" s="802">
        <v>0</v>
      </c>
      <c r="J50" s="802">
        <v>0</v>
      </c>
    </row>
    <row r="51" spans="1:10" s="810" customFormat="1" ht="12.75" customHeight="1">
      <c r="A51" s="801" t="s">
        <v>65</v>
      </c>
      <c r="B51" s="1206" t="s">
        <v>180</v>
      </c>
      <c r="C51" s="804" t="s">
        <v>765</v>
      </c>
      <c r="D51" s="804"/>
      <c r="E51" s="809">
        <v>434</v>
      </c>
      <c r="F51" s="804">
        <v>0</v>
      </c>
      <c r="G51" s="804">
        <v>0</v>
      </c>
      <c r="H51" s="804">
        <v>0</v>
      </c>
      <c r="I51" s="804">
        <v>0</v>
      </c>
      <c r="J51" s="804">
        <v>0</v>
      </c>
    </row>
    <row r="52" spans="1:10" ht="12.75" customHeight="1">
      <c r="A52" s="801" t="s">
        <v>92</v>
      </c>
      <c r="B52" s="1205"/>
      <c r="C52" s="802" t="s">
        <v>764</v>
      </c>
      <c r="D52" s="802"/>
      <c r="E52" s="806">
        <v>434</v>
      </c>
      <c r="F52" s="802">
        <v>0</v>
      </c>
      <c r="G52" s="802">
        <v>0</v>
      </c>
      <c r="H52" s="802">
        <v>0</v>
      </c>
      <c r="I52" s="802">
        <v>0</v>
      </c>
      <c r="J52" s="802">
        <v>0</v>
      </c>
    </row>
    <row r="53" spans="1:10" s="810" customFormat="1" ht="12.75" customHeight="1">
      <c r="A53" s="801" t="s">
        <v>66</v>
      </c>
      <c r="B53" s="1206" t="s">
        <v>182</v>
      </c>
      <c r="C53" s="804" t="s">
        <v>766</v>
      </c>
      <c r="D53" s="804"/>
      <c r="E53" s="809">
        <v>382</v>
      </c>
      <c r="F53" s="804">
        <v>0</v>
      </c>
      <c r="G53" s="804">
        <v>0</v>
      </c>
      <c r="H53" s="804">
        <v>0</v>
      </c>
      <c r="I53" s="804">
        <v>0</v>
      </c>
      <c r="J53" s="804">
        <v>345</v>
      </c>
    </row>
    <row r="54" spans="1:10" ht="12.75" customHeight="1">
      <c r="A54" s="801" t="s">
        <v>67</v>
      </c>
      <c r="B54" s="1205"/>
      <c r="C54" s="802" t="s">
        <v>764</v>
      </c>
      <c r="D54" s="802"/>
      <c r="E54" s="806">
        <v>382</v>
      </c>
      <c r="F54" s="802">
        <v>0</v>
      </c>
      <c r="G54" s="802">
        <v>0</v>
      </c>
      <c r="H54" s="802">
        <v>0</v>
      </c>
      <c r="I54" s="802">
        <v>0</v>
      </c>
      <c r="J54" s="802">
        <v>345</v>
      </c>
    </row>
    <row r="55" spans="1:10" s="810" customFormat="1" ht="12.75" customHeight="1">
      <c r="A55" s="801" t="s">
        <v>68</v>
      </c>
      <c r="B55" s="1206" t="s">
        <v>184</v>
      </c>
      <c r="C55" s="804" t="s">
        <v>767</v>
      </c>
      <c r="D55" s="804"/>
      <c r="E55" s="809">
        <v>23974</v>
      </c>
      <c r="F55" s="804">
        <v>0</v>
      </c>
      <c r="G55" s="804">
        <v>0</v>
      </c>
      <c r="H55" s="804">
        <v>0</v>
      </c>
      <c r="I55" s="804">
        <v>0</v>
      </c>
      <c r="J55" s="804">
        <v>0</v>
      </c>
    </row>
    <row r="56" spans="1:10" ht="12.75" customHeight="1">
      <c r="A56" s="801" t="s">
        <v>70</v>
      </c>
      <c r="B56" s="1205"/>
      <c r="C56" s="802"/>
      <c r="D56" s="802"/>
      <c r="E56" s="806">
        <v>23974</v>
      </c>
      <c r="F56" s="802">
        <v>0</v>
      </c>
      <c r="G56" s="802">
        <v>0</v>
      </c>
      <c r="H56" s="802">
        <v>0</v>
      </c>
      <c r="I56" s="802">
        <v>0</v>
      </c>
      <c r="J56" s="802">
        <v>0</v>
      </c>
    </row>
    <row r="57" spans="1:10" ht="12.75" customHeight="1">
      <c r="A57" s="801" t="s">
        <v>97</v>
      </c>
      <c r="B57" s="1206" t="s">
        <v>186</v>
      </c>
      <c r="C57" s="804" t="s">
        <v>768</v>
      </c>
      <c r="D57" s="804"/>
      <c r="E57" s="10">
        <f>SUM(E58)</f>
        <v>9204</v>
      </c>
      <c r="F57" s="804">
        <v>8200</v>
      </c>
      <c r="G57" s="804">
        <v>8200</v>
      </c>
      <c r="H57" s="804">
        <v>8200</v>
      </c>
      <c r="I57" s="804">
        <v>8200</v>
      </c>
      <c r="J57" s="804">
        <f>SUM(J58)</f>
        <v>6756</v>
      </c>
    </row>
    <row r="58" spans="1:10" ht="12.75" customHeight="1">
      <c r="A58" s="801" t="s">
        <v>99</v>
      </c>
      <c r="B58" s="1205"/>
      <c r="C58" s="802" t="s">
        <v>334</v>
      </c>
      <c r="D58" s="802"/>
      <c r="E58" s="802">
        <v>9204</v>
      </c>
      <c r="F58" s="802">
        <v>8200</v>
      </c>
      <c r="G58" s="802">
        <v>8200</v>
      </c>
      <c r="H58" s="802">
        <v>8200</v>
      </c>
      <c r="I58" s="802">
        <v>8200</v>
      </c>
      <c r="J58" s="802">
        <v>6756</v>
      </c>
    </row>
    <row r="59" spans="1:10" ht="12.75" customHeight="1">
      <c r="A59" s="801" t="s">
        <v>101</v>
      </c>
      <c r="B59" s="1206" t="s">
        <v>191</v>
      </c>
      <c r="C59" s="804" t="s">
        <v>340</v>
      </c>
      <c r="D59" s="804"/>
      <c r="E59" s="804">
        <v>0</v>
      </c>
      <c r="F59" s="804">
        <v>130</v>
      </c>
      <c r="G59" s="804">
        <v>130</v>
      </c>
      <c r="H59" s="804">
        <v>130</v>
      </c>
      <c r="I59" s="804">
        <v>130</v>
      </c>
      <c r="J59" s="804">
        <f>SUM(J60)</f>
        <v>0</v>
      </c>
    </row>
    <row r="60" spans="1:10" ht="12.75" customHeight="1">
      <c r="A60" s="801" t="s">
        <v>103</v>
      </c>
      <c r="B60" s="1205"/>
      <c r="C60" s="802" t="s">
        <v>334</v>
      </c>
      <c r="D60" s="802"/>
      <c r="E60" s="802">
        <v>0</v>
      </c>
      <c r="F60" s="802">
        <v>130</v>
      </c>
      <c r="G60" s="802">
        <v>130</v>
      </c>
      <c r="H60" s="802">
        <v>130</v>
      </c>
      <c r="I60" s="802">
        <v>130</v>
      </c>
      <c r="J60" s="802">
        <v>0</v>
      </c>
    </row>
    <row r="61" spans="1:10" ht="12.75" customHeight="1">
      <c r="A61" s="801" t="s">
        <v>105</v>
      </c>
      <c r="B61" s="1206" t="s">
        <v>196</v>
      </c>
      <c r="C61" s="804" t="s">
        <v>341</v>
      </c>
      <c r="D61" s="804"/>
      <c r="E61" s="10">
        <f aca="true" t="shared" si="5" ref="E61:J61">SUM(E62:E66)</f>
        <v>38030</v>
      </c>
      <c r="F61" s="804">
        <f t="shared" si="5"/>
        <v>35014</v>
      </c>
      <c r="G61" s="804">
        <f t="shared" si="5"/>
        <v>35014</v>
      </c>
      <c r="H61" s="804">
        <f t="shared" si="5"/>
        <v>35014</v>
      </c>
      <c r="I61" s="804">
        <f t="shared" si="5"/>
        <v>35014</v>
      </c>
      <c r="J61" s="804">
        <f t="shared" si="5"/>
        <v>35813</v>
      </c>
    </row>
    <row r="62" spans="1:10" ht="12.75" customHeight="1">
      <c r="A62" s="801" t="s">
        <v>107</v>
      </c>
      <c r="B62" s="1205"/>
      <c r="C62" s="802" t="s">
        <v>203</v>
      </c>
      <c r="D62" s="802"/>
      <c r="E62" s="802">
        <v>24436</v>
      </c>
      <c r="F62" s="806">
        <v>23185</v>
      </c>
      <c r="G62" s="806">
        <v>23185</v>
      </c>
      <c r="H62" s="806">
        <v>23185</v>
      </c>
      <c r="I62" s="806">
        <v>23185</v>
      </c>
      <c r="J62" s="806">
        <v>23391</v>
      </c>
    </row>
    <row r="63" spans="1:10" ht="12.75" customHeight="1">
      <c r="A63" s="801" t="s">
        <v>109</v>
      </c>
      <c r="B63" s="1205"/>
      <c r="C63" s="802" t="s">
        <v>204</v>
      </c>
      <c r="D63" s="802"/>
      <c r="E63" s="802">
        <v>7019</v>
      </c>
      <c r="F63" s="806">
        <v>6329</v>
      </c>
      <c r="G63" s="806">
        <v>6329</v>
      </c>
      <c r="H63" s="806">
        <v>6329</v>
      </c>
      <c r="I63" s="806">
        <v>6329</v>
      </c>
      <c r="J63" s="806">
        <v>6147</v>
      </c>
    </row>
    <row r="64" spans="1:10" ht="12.75" customHeight="1">
      <c r="A64" s="801" t="s">
        <v>111</v>
      </c>
      <c r="B64" s="1207"/>
      <c r="C64" s="808" t="s">
        <v>338</v>
      </c>
      <c r="D64" s="808"/>
      <c r="E64" s="802">
        <v>5141</v>
      </c>
      <c r="F64" s="802">
        <v>4000</v>
      </c>
      <c r="G64" s="802">
        <v>4000</v>
      </c>
      <c r="H64" s="802">
        <v>4000</v>
      </c>
      <c r="I64" s="802">
        <v>4000</v>
      </c>
      <c r="J64" s="802">
        <v>5121</v>
      </c>
    </row>
    <row r="65" spans="1:10" ht="12.75" customHeight="1">
      <c r="A65" s="801" t="s">
        <v>113</v>
      </c>
      <c r="B65" s="1207"/>
      <c r="C65" s="808" t="s">
        <v>235</v>
      </c>
      <c r="D65" s="808"/>
      <c r="E65" s="802">
        <v>1321</v>
      </c>
      <c r="F65" s="802">
        <v>1500</v>
      </c>
      <c r="G65" s="802">
        <v>1500</v>
      </c>
      <c r="H65" s="802">
        <v>1500</v>
      </c>
      <c r="I65" s="802">
        <v>1500</v>
      </c>
      <c r="J65" s="802">
        <v>1002</v>
      </c>
    </row>
    <row r="66" spans="1:10" ht="12.75" customHeight="1">
      <c r="A66" s="801" t="s">
        <v>115</v>
      </c>
      <c r="B66" s="1207"/>
      <c r="C66" s="808" t="s">
        <v>374</v>
      </c>
      <c r="D66" s="808"/>
      <c r="E66" s="802">
        <v>113</v>
      </c>
      <c r="F66" s="802"/>
      <c r="G66" s="802"/>
      <c r="H66" s="802"/>
      <c r="I66" s="802"/>
      <c r="J66" s="802">
        <v>152</v>
      </c>
    </row>
    <row r="67" spans="1:10" ht="12.75" customHeight="1">
      <c r="A67" s="801" t="s">
        <v>117</v>
      </c>
      <c r="B67" s="1208" t="s">
        <v>275</v>
      </c>
      <c r="C67" s="804" t="s">
        <v>343</v>
      </c>
      <c r="D67" s="804"/>
      <c r="E67" s="10">
        <f>SUM(E68:E70)</f>
        <v>1434</v>
      </c>
      <c r="F67" s="804">
        <f>SUM(F69:F70)</f>
        <v>0</v>
      </c>
      <c r="G67" s="804">
        <f>SUM(G69:G70)</f>
        <v>0</v>
      </c>
      <c r="H67" s="804">
        <f>SUM(H69:H70)</f>
        <v>0</v>
      </c>
      <c r="I67" s="804">
        <f>SUM(I69:I70)</f>
        <v>0</v>
      </c>
      <c r="J67" s="804">
        <f>SUM(J69:J70)</f>
        <v>209</v>
      </c>
    </row>
    <row r="68" spans="1:10" ht="12.75" customHeight="1">
      <c r="A68" s="801" t="s">
        <v>118</v>
      </c>
      <c r="B68" s="1207"/>
      <c r="C68" s="802" t="s">
        <v>344</v>
      </c>
      <c r="D68" s="802"/>
      <c r="E68" s="802"/>
      <c r="F68" s="802"/>
      <c r="G68" s="802"/>
      <c r="H68" s="802"/>
      <c r="I68" s="802"/>
      <c r="J68" s="802"/>
    </row>
    <row r="69" spans="1:10" ht="12.75" customHeight="1">
      <c r="A69" s="801" t="s">
        <v>120</v>
      </c>
      <c r="B69" s="1207"/>
      <c r="C69" s="802" t="s">
        <v>345</v>
      </c>
      <c r="D69" s="802"/>
      <c r="E69" s="802">
        <v>789</v>
      </c>
      <c r="F69" s="802"/>
      <c r="G69" s="802">
        <v>0</v>
      </c>
      <c r="H69" s="802">
        <v>0</v>
      </c>
      <c r="I69" s="802">
        <v>0</v>
      </c>
      <c r="J69" s="802">
        <v>0</v>
      </c>
    </row>
    <row r="70" spans="1:10" ht="12.75" customHeight="1">
      <c r="A70" s="801" t="s">
        <v>122</v>
      </c>
      <c r="B70" s="1207"/>
      <c r="C70" s="802" t="s">
        <v>338</v>
      </c>
      <c r="D70" s="802"/>
      <c r="E70" s="802">
        <v>645</v>
      </c>
      <c r="F70" s="802"/>
      <c r="G70" s="802">
        <v>0</v>
      </c>
      <c r="H70" s="802">
        <v>0</v>
      </c>
      <c r="I70" s="802">
        <v>0</v>
      </c>
      <c r="J70" s="802">
        <v>209</v>
      </c>
    </row>
    <row r="71" spans="1:10" ht="12.75" customHeight="1">
      <c r="A71" s="801" t="s">
        <v>124</v>
      </c>
      <c r="B71" s="1208" t="s">
        <v>769</v>
      </c>
      <c r="C71" s="804" t="s">
        <v>770</v>
      </c>
      <c r="D71" s="804"/>
      <c r="E71" s="804">
        <f>SUM(E72:E74)</f>
        <v>0</v>
      </c>
      <c r="F71" s="804">
        <f>SUM(F72:F73)</f>
        <v>236</v>
      </c>
      <c r="G71" s="804">
        <v>236</v>
      </c>
      <c r="H71" s="804">
        <v>236</v>
      </c>
      <c r="I71" s="804">
        <v>236</v>
      </c>
      <c r="J71" s="804">
        <f>SUM(J72:J74)</f>
        <v>0</v>
      </c>
    </row>
    <row r="72" spans="1:10" ht="12.75" customHeight="1">
      <c r="A72" s="801" t="s">
        <v>126</v>
      </c>
      <c r="B72" s="1207"/>
      <c r="C72" s="802" t="s">
        <v>203</v>
      </c>
      <c r="D72" s="802"/>
      <c r="E72" s="802">
        <v>0</v>
      </c>
      <c r="F72" s="802">
        <v>185</v>
      </c>
      <c r="G72" s="802">
        <v>185</v>
      </c>
      <c r="H72" s="802">
        <v>185</v>
      </c>
      <c r="I72" s="802">
        <v>185</v>
      </c>
      <c r="J72" s="802">
        <v>0</v>
      </c>
    </row>
    <row r="73" spans="1:10" ht="12.75" customHeight="1">
      <c r="A73" s="801" t="s">
        <v>128</v>
      </c>
      <c r="B73" s="1207"/>
      <c r="C73" s="802" t="s">
        <v>204</v>
      </c>
      <c r="D73" s="802"/>
      <c r="E73" s="802">
        <v>0</v>
      </c>
      <c r="F73" s="802">
        <v>51</v>
      </c>
      <c r="G73" s="802">
        <v>51</v>
      </c>
      <c r="H73" s="802">
        <v>51</v>
      </c>
      <c r="I73" s="802">
        <v>51</v>
      </c>
      <c r="J73" s="802">
        <v>0</v>
      </c>
    </row>
    <row r="74" spans="1:10" ht="12.75" customHeight="1">
      <c r="A74" s="801" t="s">
        <v>130</v>
      </c>
      <c r="B74" s="1207"/>
      <c r="C74" s="802" t="s">
        <v>342</v>
      </c>
      <c r="D74" s="802"/>
      <c r="E74" s="802"/>
      <c r="F74" s="802"/>
      <c r="G74" s="802"/>
      <c r="H74" s="802"/>
      <c r="I74" s="802"/>
      <c r="J74" s="802"/>
    </row>
    <row r="75" spans="1:10" s="810" customFormat="1" ht="12.75" customHeight="1">
      <c r="A75" s="801" t="s">
        <v>131</v>
      </c>
      <c r="B75" s="1208" t="s">
        <v>771</v>
      </c>
      <c r="C75" s="804" t="s">
        <v>772</v>
      </c>
      <c r="D75" s="804"/>
      <c r="E75" s="10">
        <v>103</v>
      </c>
      <c r="F75" s="804">
        <v>0</v>
      </c>
      <c r="G75" s="804">
        <v>0</v>
      </c>
      <c r="H75" s="804">
        <v>0</v>
      </c>
      <c r="I75" s="804">
        <v>0</v>
      </c>
      <c r="J75" s="804">
        <v>0</v>
      </c>
    </row>
    <row r="76" spans="1:10" ht="12.75" customHeight="1">
      <c r="A76" s="801" t="s">
        <v>133</v>
      </c>
      <c r="B76" s="1207"/>
      <c r="C76" s="802" t="s">
        <v>773</v>
      </c>
      <c r="D76" s="802"/>
      <c r="E76" s="802">
        <v>103</v>
      </c>
      <c r="F76" s="802">
        <v>0</v>
      </c>
      <c r="G76" s="802">
        <v>0</v>
      </c>
      <c r="H76" s="802">
        <v>0</v>
      </c>
      <c r="I76" s="802">
        <v>0</v>
      </c>
      <c r="J76" s="802">
        <v>0</v>
      </c>
    </row>
    <row r="77" spans="1:10" ht="12.75" customHeight="1">
      <c r="A77" s="801" t="s">
        <v>135</v>
      </c>
      <c r="B77" s="1208" t="s">
        <v>774</v>
      </c>
      <c r="C77" s="804" t="s">
        <v>347</v>
      </c>
      <c r="D77" s="804"/>
      <c r="E77" s="804">
        <f>SUM(E78:E82)</f>
        <v>29447</v>
      </c>
      <c r="F77" s="804">
        <f>SUM(F78:F81)</f>
        <v>31264</v>
      </c>
      <c r="G77" s="804">
        <f>SUM(G78:G81)</f>
        <v>32112</v>
      </c>
      <c r="H77" s="804">
        <f>SUM(H78:H81)</f>
        <v>34077</v>
      </c>
      <c r="I77" s="804">
        <f>SUM(I78:I81)</f>
        <v>34172</v>
      </c>
      <c r="J77" s="804">
        <f>SUM(J78:J81)</f>
        <v>0</v>
      </c>
    </row>
    <row r="78" spans="1:10" ht="12.75" customHeight="1">
      <c r="A78" s="801" t="s">
        <v>137</v>
      </c>
      <c r="B78" s="1207"/>
      <c r="C78" s="802" t="s">
        <v>342</v>
      </c>
      <c r="D78" s="802"/>
      <c r="E78" s="802">
        <v>6746</v>
      </c>
      <c r="F78" s="802">
        <v>8639</v>
      </c>
      <c r="G78" s="802">
        <v>8639</v>
      </c>
      <c r="H78" s="802">
        <v>8772</v>
      </c>
      <c r="I78" s="802">
        <v>7272</v>
      </c>
      <c r="J78" s="802">
        <v>0</v>
      </c>
    </row>
    <row r="79" spans="1:10" ht="12.75" customHeight="1">
      <c r="A79" s="801" t="s">
        <v>139</v>
      </c>
      <c r="B79" s="1207"/>
      <c r="C79" s="802" t="s">
        <v>775</v>
      </c>
      <c r="D79" s="802"/>
      <c r="E79" s="802">
        <v>18093</v>
      </c>
      <c r="F79" s="802">
        <v>18725</v>
      </c>
      <c r="G79" s="802">
        <v>19573</v>
      </c>
      <c r="H79" s="802">
        <v>21405</v>
      </c>
      <c r="I79" s="802">
        <v>23000</v>
      </c>
      <c r="J79" s="802">
        <v>0</v>
      </c>
    </row>
    <row r="80" spans="1:10" ht="12.75" customHeight="1">
      <c r="A80" s="801" t="s">
        <v>141</v>
      </c>
      <c r="B80" s="1207"/>
      <c r="C80" s="802" t="s">
        <v>776</v>
      </c>
      <c r="D80" s="802"/>
      <c r="E80" s="802">
        <v>4007</v>
      </c>
      <c r="F80" s="802">
        <v>3000</v>
      </c>
      <c r="G80" s="802">
        <v>3000</v>
      </c>
      <c r="H80" s="802">
        <v>3000</v>
      </c>
      <c r="I80" s="802">
        <v>3000</v>
      </c>
      <c r="J80" s="802">
        <v>0</v>
      </c>
    </row>
    <row r="81" spans="1:10" ht="12.75" customHeight="1">
      <c r="A81" s="801" t="s">
        <v>143</v>
      </c>
      <c r="B81" s="1207"/>
      <c r="C81" s="802" t="s">
        <v>350</v>
      </c>
      <c r="D81" s="802"/>
      <c r="E81" s="802">
        <v>601</v>
      </c>
      <c r="F81" s="802">
        <v>900</v>
      </c>
      <c r="G81" s="802">
        <v>900</v>
      </c>
      <c r="H81" s="802">
        <v>900</v>
      </c>
      <c r="I81" s="802">
        <v>900</v>
      </c>
      <c r="J81" s="802">
        <v>0</v>
      </c>
    </row>
    <row r="82" spans="1:10" ht="12.75" customHeight="1">
      <c r="A82" s="801" t="s">
        <v>145</v>
      </c>
      <c r="B82" s="1207"/>
      <c r="C82" s="802" t="s">
        <v>777</v>
      </c>
      <c r="D82" s="802"/>
      <c r="E82" s="802"/>
      <c r="F82" s="802"/>
      <c r="G82" s="802"/>
      <c r="H82" s="802"/>
      <c r="I82" s="802"/>
      <c r="J82" s="802"/>
    </row>
    <row r="83" spans="1:10" ht="12.75" customHeight="1">
      <c r="A83" s="801" t="s">
        <v>147</v>
      </c>
      <c r="B83" s="1208" t="s">
        <v>778</v>
      </c>
      <c r="C83" s="804" t="s">
        <v>351</v>
      </c>
      <c r="D83" s="804"/>
      <c r="E83" s="10">
        <f aca="true" t="shared" si="6" ref="E83:J83">SUM(E84:E100)</f>
        <v>5432</v>
      </c>
      <c r="F83" s="804">
        <f t="shared" si="6"/>
        <v>3210</v>
      </c>
      <c r="G83" s="804">
        <f t="shared" si="6"/>
        <v>3210</v>
      </c>
      <c r="H83" s="804">
        <f t="shared" si="6"/>
        <v>3210</v>
      </c>
      <c r="I83" s="804">
        <f t="shared" si="6"/>
        <v>3274</v>
      </c>
      <c r="J83" s="804">
        <f t="shared" si="6"/>
        <v>0</v>
      </c>
    </row>
    <row r="84" spans="1:10" ht="12.75" customHeight="1">
      <c r="A84" s="801" t="s">
        <v>149</v>
      </c>
      <c r="B84" s="1207"/>
      <c r="C84" s="802" t="s">
        <v>779</v>
      </c>
      <c r="D84" s="802"/>
      <c r="E84" s="802"/>
      <c r="F84" s="802">
        <v>0</v>
      </c>
      <c r="G84" s="802">
        <v>0</v>
      </c>
      <c r="H84" s="802">
        <v>0</v>
      </c>
      <c r="I84" s="802">
        <v>0</v>
      </c>
      <c r="J84" s="802">
        <v>0</v>
      </c>
    </row>
    <row r="85" spans="1:10" ht="12.75" customHeight="1">
      <c r="A85" s="801" t="s">
        <v>151</v>
      </c>
      <c r="B85" s="1207"/>
      <c r="C85" s="802" t="s">
        <v>780</v>
      </c>
      <c r="D85" s="802"/>
      <c r="E85" s="806">
        <v>1168</v>
      </c>
      <c r="F85" s="802">
        <v>0</v>
      </c>
      <c r="G85" s="802">
        <v>0</v>
      </c>
      <c r="H85" s="802">
        <v>0</v>
      </c>
      <c r="I85" s="802">
        <v>0</v>
      </c>
      <c r="J85" s="802">
        <v>0</v>
      </c>
    </row>
    <row r="86" spans="1:10" ht="12.75" customHeight="1">
      <c r="A86" s="801" t="s">
        <v>212</v>
      </c>
      <c r="B86" s="1207"/>
      <c r="C86" s="802" t="s">
        <v>353</v>
      </c>
      <c r="D86" s="802"/>
      <c r="E86" s="806">
        <v>264</v>
      </c>
      <c r="F86" s="802">
        <v>0</v>
      </c>
      <c r="G86" s="802">
        <v>0</v>
      </c>
      <c r="H86" s="802">
        <v>0</v>
      </c>
      <c r="I86" s="802">
        <v>0</v>
      </c>
      <c r="J86" s="802">
        <v>0</v>
      </c>
    </row>
    <row r="87" spans="1:10" ht="12.75" customHeight="1">
      <c r="A87" s="801" t="s">
        <v>214</v>
      </c>
      <c r="B87" s="1207"/>
      <c r="C87" s="802" t="s">
        <v>354</v>
      </c>
      <c r="D87" s="802"/>
      <c r="E87" s="806">
        <v>1400</v>
      </c>
      <c r="F87" s="802">
        <v>1500</v>
      </c>
      <c r="G87" s="802">
        <v>1500</v>
      </c>
      <c r="H87" s="802">
        <v>1500</v>
      </c>
      <c r="I87" s="802">
        <v>1500</v>
      </c>
      <c r="J87" s="802">
        <v>0</v>
      </c>
    </row>
    <row r="88" spans="1:10" ht="12.75" customHeight="1">
      <c r="A88" s="801" t="s">
        <v>215</v>
      </c>
      <c r="B88" s="1207"/>
      <c r="C88" s="802" t="s">
        <v>781</v>
      </c>
      <c r="D88" s="802"/>
      <c r="E88" s="806">
        <v>854</v>
      </c>
      <c r="F88" s="802"/>
      <c r="G88" s="802"/>
      <c r="H88" s="802"/>
      <c r="I88" s="802"/>
      <c r="J88" s="802"/>
    </row>
    <row r="89" spans="1:10" ht="12.75" customHeight="1">
      <c r="A89" s="801" t="s">
        <v>217</v>
      </c>
      <c r="B89" s="1207"/>
      <c r="C89" s="802" t="s">
        <v>782</v>
      </c>
      <c r="D89" s="802"/>
      <c r="E89" s="806"/>
      <c r="F89" s="802"/>
      <c r="G89" s="802"/>
      <c r="H89" s="802"/>
      <c r="I89" s="802"/>
      <c r="J89" s="802"/>
    </row>
    <row r="90" spans="1:10" ht="12.75" customHeight="1">
      <c r="A90" s="801" t="s">
        <v>219</v>
      </c>
      <c r="B90" s="1207"/>
      <c r="C90" s="802" t="s">
        <v>783</v>
      </c>
      <c r="D90" s="802"/>
      <c r="E90" s="806">
        <v>108</v>
      </c>
      <c r="F90" s="802">
        <v>400</v>
      </c>
      <c r="G90" s="802">
        <v>400</v>
      </c>
      <c r="H90" s="802">
        <v>400</v>
      </c>
      <c r="I90" s="802">
        <v>400</v>
      </c>
      <c r="J90" s="802">
        <v>0</v>
      </c>
    </row>
    <row r="91" spans="1:10" ht="12.75" customHeight="1">
      <c r="A91" s="801" t="s">
        <v>369</v>
      </c>
      <c r="B91" s="1207"/>
      <c r="C91" s="802" t="s">
        <v>361</v>
      </c>
      <c r="D91" s="802"/>
      <c r="E91" s="806">
        <v>755</v>
      </c>
      <c r="F91" s="802">
        <v>0</v>
      </c>
      <c r="G91" s="802">
        <v>0</v>
      </c>
      <c r="H91" s="802">
        <v>0</v>
      </c>
      <c r="I91" s="802">
        <v>0</v>
      </c>
      <c r="J91" s="802">
        <v>0</v>
      </c>
    </row>
    <row r="92" spans="1:10" ht="12.75" customHeight="1">
      <c r="A92" s="801" t="s">
        <v>370</v>
      </c>
      <c r="B92" s="1207"/>
      <c r="C92" s="802" t="s">
        <v>784</v>
      </c>
      <c r="D92" s="802"/>
      <c r="E92" s="806">
        <v>672</v>
      </c>
      <c r="F92" s="802">
        <v>950</v>
      </c>
      <c r="G92" s="802">
        <v>950</v>
      </c>
      <c r="H92" s="802">
        <v>950</v>
      </c>
      <c r="I92" s="802">
        <v>950</v>
      </c>
      <c r="J92" s="802">
        <v>0</v>
      </c>
    </row>
    <row r="93" spans="1:10" ht="12.75" customHeight="1">
      <c r="A93" s="801" t="s">
        <v>371</v>
      </c>
      <c r="B93" s="1207"/>
      <c r="C93" s="802" t="s">
        <v>363</v>
      </c>
      <c r="D93" s="802"/>
      <c r="E93" s="806"/>
      <c r="F93" s="802">
        <v>60</v>
      </c>
      <c r="G93" s="802">
        <v>60</v>
      </c>
      <c r="H93" s="802">
        <v>60</v>
      </c>
      <c r="I93" s="802">
        <v>60</v>
      </c>
      <c r="J93" s="802">
        <v>0</v>
      </c>
    </row>
    <row r="94" spans="1:10" ht="12.75" customHeight="1">
      <c r="A94" s="801" t="s">
        <v>373</v>
      </c>
      <c r="B94" s="1207"/>
      <c r="C94" s="802" t="s">
        <v>785</v>
      </c>
      <c r="D94" s="802"/>
      <c r="E94" s="806"/>
      <c r="F94" s="802">
        <v>0</v>
      </c>
      <c r="G94" s="802">
        <v>0</v>
      </c>
      <c r="H94" s="802">
        <v>0</v>
      </c>
      <c r="I94" s="802">
        <v>0</v>
      </c>
      <c r="J94" s="802">
        <v>0</v>
      </c>
    </row>
    <row r="95" spans="1:10" ht="12.75" customHeight="1">
      <c r="A95" s="801" t="s">
        <v>375</v>
      </c>
      <c r="B95" s="1207"/>
      <c r="C95" s="802" t="s">
        <v>786</v>
      </c>
      <c r="D95" s="802"/>
      <c r="E95" s="806"/>
      <c r="F95" s="802">
        <v>0</v>
      </c>
      <c r="G95" s="802">
        <v>0</v>
      </c>
      <c r="H95" s="802">
        <v>0</v>
      </c>
      <c r="I95" s="802">
        <v>0</v>
      </c>
      <c r="J95" s="802">
        <v>0</v>
      </c>
    </row>
    <row r="96" spans="1:10" ht="12.75" customHeight="1">
      <c r="A96" s="801" t="s">
        <v>377</v>
      </c>
      <c r="B96" s="1207"/>
      <c r="C96" s="802" t="s">
        <v>366</v>
      </c>
      <c r="D96" s="802"/>
      <c r="E96" s="806"/>
      <c r="F96" s="802">
        <v>120</v>
      </c>
      <c r="G96" s="802">
        <v>120</v>
      </c>
      <c r="H96" s="802">
        <v>120</v>
      </c>
      <c r="I96" s="802">
        <v>120</v>
      </c>
      <c r="J96" s="802">
        <v>0</v>
      </c>
    </row>
    <row r="97" spans="1:10" ht="12.75" customHeight="1">
      <c r="A97" s="801" t="s">
        <v>378</v>
      </c>
      <c r="B97" s="1207"/>
      <c r="C97" s="802" t="s">
        <v>367</v>
      </c>
      <c r="D97" s="802"/>
      <c r="E97" s="806">
        <v>49</v>
      </c>
      <c r="F97" s="802">
        <v>0</v>
      </c>
      <c r="G97" s="802">
        <v>0</v>
      </c>
      <c r="H97" s="802">
        <v>0</v>
      </c>
      <c r="I97" s="802">
        <v>0</v>
      </c>
      <c r="J97" s="802">
        <v>0</v>
      </c>
    </row>
    <row r="98" spans="1:10" ht="12.75" customHeight="1">
      <c r="A98" s="801" t="s">
        <v>379</v>
      </c>
      <c r="B98" s="1207"/>
      <c r="C98" s="802" t="s">
        <v>787</v>
      </c>
      <c r="D98" s="802"/>
      <c r="E98" s="806"/>
      <c r="F98" s="802">
        <v>0</v>
      </c>
      <c r="G98" s="802">
        <v>0</v>
      </c>
      <c r="H98" s="802">
        <v>0</v>
      </c>
      <c r="I98" s="802">
        <v>0</v>
      </c>
      <c r="J98" s="802">
        <v>0</v>
      </c>
    </row>
    <row r="99" spans="1:10" ht="12.75" customHeight="1">
      <c r="A99" s="801" t="s">
        <v>380</v>
      </c>
      <c r="B99" s="1207"/>
      <c r="C99" s="802" t="s">
        <v>788</v>
      </c>
      <c r="D99" s="802"/>
      <c r="E99" s="806"/>
      <c r="F99" s="802">
        <v>0</v>
      </c>
      <c r="G99" s="802">
        <v>0</v>
      </c>
      <c r="H99" s="802">
        <v>0</v>
      </c>
      <c r="I99" s="802">
        <v>0</v>
      </c>
      <c r="J99" s="802">
        <v>0</v>
      </c>
    </row>
    <row r="100" spans="1:10" ht="12.75" customHeight="1">
      <c r="A100" s="824" t="s">
        <v>382</v>
      </c>
      <c r="B100" s="1209"/>
      <c r="C100" s="813" t="s">
        <v>789</v>
      </c>
      <c r="D100" s="813"/>
      <c r="E100" s="1182">
        <v>162</v>
      </c>
      <c r="F100" s="802">
        <v>180</v>
      </c>
      <c r="G100" s="802">
        <v>180</v>
      </c>
      <c r="H100" s="802">
        <v>180</v>
      </c>
      <c r="I100" s="802">
        <v>244</v>
      </c>
      <c r="J100" s="802">
        <v>0</v>
      </c>
    </row>
    <row r="101" spans="1:10" s="810" customFormat="1" ht="30" customHeight="1">
      <c r="A101" s="1177" t="s">
        <v>384</v>
      </c>
      <c r="B101" s="1210" t="s">
        <v>790</v>
      </c>
      <c r="C101" s="1180" t="s">
        <v>1227</v>
      </c>
      <c r="D101" s="1178"/>
      <c r="E101" s="1188"/>
      <c r="F101" s="1189"/>
      <c r="G101" s="804"/>
      <c r="H101" s="804"/>
      <c r="I101" s="804"/>
      <c r="J101" s="804">
        <f>SUM(J102)+J103</f>
        <v>2136</v>
      </c>
    </row>
    <row r="102" spans="1:10" ht="12.75" customHeight="1">
      <c r="A102" s="1175" t="s">
        <v>385</v>
      </c>
      <c r="B102" s="1211"/>
      <c r="C102" s="1176" t="s">
        <v>1228</v>
      </c>
      <c r="D102" s="1176"/>
      <c r="E102" s="1187"/>
      <c r="F102" s="1181"/>
      <c r="G102" s="802"/>
      <c r="H102" s="802"/>
      <c r="I102" s="802"/>
      <c r="J102" s="802">
        <v>705</v>
      </c>
    </row>
    <row r="103" spans="1:10" ht="12.75" customHeight="1">
      <c r="A103" s="1175" t="s">
        <v>387</v>
      </c>
      <c r="B103" s="1211"/>
      <c r="C103" s="1176" t="s">
        <v>1229</v>
      </c>
      <c r="D103" s="1176"/>
      <c r="E103" s="1187"/>
      <c r="F103" s="1181"/>
      <c r="G103" s="802"/>
      <c r="H103" s="802"/>
      <c r="I103" s="802"/>
      <c r="J103" s="802">
        <v>1431</v>
      </c>
    </row>
    <row r="104" spans="1:10" s="810" customFormat="1" ht="25.5" customHeight="1">
      <c r="A104" s="1183" t="s">
        <v>388</v>
      </c>
      <c r="B104" s="1212" t="s">
        <v>795</v>
      </c>
      <c r="C104" s="1184" t="s">
        <v>1225</v>
      </c>
      <c r="D104" s="1185"/>
      <c r="E104" s="1186"/>
      <c r="F104" s="804"/>
      <c r="G104" s="804"/>
      <c r="H104" s="804"/>
      <c r="I104" s="804"/>
      <c r="J104" s="804">
        <f>SUM(J105)</f>
        <v>116</v>
      </c>
    </row>
    <row r="105" spans="1:10" ht="12.75" customHeight="1">
      <c r="A105" s="1175" t="s">
        <v>389</v>
      </c>
      <c r="B105" s="1211"/>
      <c r="C105" s="1176" t="s">
        <v>1226</v>
      </c>
      <c r="D105" s="1176"/>
      <c r="E105" s="1173"/>
      <c r="F105" s="802"/>
      <c r="G105" s="802"/>
      <c r="H105" s="802"/>
      <c r="I105" s="802"/>
      <c r="J105" s="802">
        <v>116</v>
      </c>
    </row>
    <row r="106" spans="1:10" s="810" customFormat="1" ht="12.75" customHeight="1">
      <c r="A106" s="1177" t="s">
        <v>390</v>
      </c>
      <c r="B106" s="1210" t="s">
        <v>797</v>
      </c>
      <c r="C106" s="1178" t="s">
        <v>1230</v>
      </c>
      <c r="D106" s="1178"/>
      <c r="E106" s="1179"/>
      <c r="F106" s="804"/>
      <c r="G106" s="804"/>
      <c r="H106" s="804"/>
      <c r="I106" s="804"/>
      <c r="J106" s="804">
        <f>SUM(J107)</f>
        <v>116</v>
      </c>
    </row>
    <row r="107" spans="1:10" ht="12.75" customHeight="1">
      <c r="A107" s="1175" t="s">
        <v>392</v>
      </c>
      <c r="B107" s="1211"/>
      <c r="C107" s="1176" t="s">
        <v>1231</v>
      </c>
      <c r="D107" s="1176"/>
      <c r="E107" s="1173"/>
      <c r="F107" s="802"/>
      <c r="G107" s="802"/>
      <c r="H107" s="802"/>
      <c r="I107" s="802"/>
      <c r="J107" s="802">
        <v>116</v>
      </c>
    </row>
    <row r="108" spans="1:10" s="810" customFormat="1" ht="26.25" customHeight="1">
      <c r="A108" s="1177" t="s">
        <v>393</v>
      </c>
      <c r="B108" s="1210" t="s">
        <v>798</v>
      </c>
      <c r="C108" s="1180" t="s">
        <v>1232</v>
      </c>
      <c r="D108" s="1178"/>
      <c r="E108" s="1179"/>
      <c r="F108" s="804"/>
      <c r="G108" s="804"/>
      <c r="H108" s="804"/>
      <c r="I108" s="804"/>
      <c r="J108" s="804">
        <f>SUM(J109:J110)</f>
        <v>1681</v>
      </c>
    </row>
    <row r="109" spans="1:10" ht="12.75" customHeight="1">
      <c r="A109" s="1175" t="s">
        <v>394</v>
      </c>
      <c r="B109" s="1211"/>
      <c r="C109" s="1176" t="s">
        <v>1233</v>
      </c>
      <c r="D109" s="1176"/>
      <c r="E109" s="1173"/>
      <c r="F109" s="802"/>
      <c r="G109" s="802"/>
      <c r="H109" s="802"/>
      <c r="I109" s="802"/>
      <c r="J109" s="802">
        <v>510</v>
      </c>
    </row>
    <row r="110" spans="1:10" ht="12.75" customHeight="1">
      <c r="A110" s="1175" t="s">
        <v>396</v>
      </c>
      <c r="B110" s="1211"/>
      <c r="C110" s="1176" t="s">
        <v>1234</v>
      </c>
      <c r="D110" s="1176"/>
      <c r="E110" s="1173"/>
      <c r="F110" s="802"/>
      <c r="G110" s="802"/>
      <c r="H110" s="802"/>
      <c r="I110" s="802"/>
      <c r="J110" s="802">
        <f>SUM(J111:J112)</f>
        <v>1171</v>
      </c>
    </row>
    <row r="111" spans="1:10" s="1172" customFormat="1" ht="12.75" customHeight="1">
      <c r="A111" s="1190" t="s">
        <v>397</v>
      </c>
      <c r="B111" s="1213"/>
      <c r="C111" s="1191" t="s">
        <v>1235</v>
      </c>
      <c r="D111" s="1191"/>
      <c r="E111" s="1192"/>
      <c r="F111" s="1193"/>
      <c r="G111" s="1193"/>
      <c r="H111" s="1193"/>
      <c r="I111" s="1193"/>
      <c r="J111" s="1193">
        <v>961</v>
      </c>
    </row>
    <row r="112" spans="1:10" s="1172" customFormat="1" ht="12.75" customHeight="1">
      <c r="A112" s="1190" t="s">
        <v>398</v>
      </c>
      <c r="B112" s="1213"/>
      <c r="C112" s="1191" t="s">
        <v>1236</v>
      </c>
      <c r="D112" s="1191"/>
      <c r="E112" s="1192"/>
      <c r="F112" s="1193"/>
      <c r="G112" s="1193"/>
      <c r="H112" s="1193"/>
      <c r="I112" s="1193"/>
      <c r="J112" s="1193">
        <v>210</v>
      </c>
    </row>
    <row r="113" spans="1:10" ht="12.75" customHeight="1">
      <c r="A113" s="825" t="s">
        <v>399</v>
      </c>
      <c r="B113" s="1214" t="s">
        <v>799</v>
      </c>
      <c r="C113" s="1174" t="s">
        <v>368</v>
      </c>
      <c r="D113" s="811"/>
      <c r="E113" s="10">
        <f aca="true" t="shared" si="7" ref="E113:J113">SUM(E114:E125)</f>
        <v>107164</v>
      </c>
      <c r="F113" s="804">
        <f t="shared" si="7"/>
        <v>88748</v>
      </c>
      <c r="G113" s="804">
        <f t="shared" si="7"/>
        <v>165111</v>
      </c>
      <c r="H113" s="804">
        <f t="shared" si="7"/>
        <v>303181</v>
      </c>
      <c r="I113" s="804">
        <f t="shared" si="7"/>
        <v>288511</v>
      </c>
      <c r="J113" s="804">
        <f t="shared" si="7"/>
        <v>226953</v>
      </c>
    </row>
    <row r="114" spans="1:10" ht="12.75" customHeight="1">
      <c r="A114" s="801" t="s">
        <v>400</v>
      </c>
      <c r="B114" s="1207"/>
      <c r="C114" s="802" t="s">
        <v>203</v>
      </c>
      <c r="D114" s="802"/>
      <c r="E114" s="802">
        <v>22393</v>
      </c>
      <c r="F114" s="802">
        <v>15535</v>
      </c>
      <c r="G114" s="802">
        <v>15692</v>
      </c>
      <c r="H114" s="802">
        <v>16947</v>
      </c>
      <c r="I114" s="802">
        <v>16947</v>
      </c>
      <c r="J114" s="802">
        <v>19070</v>
      </c>
    </row>
    <row r="115" spans="1:10" ht="12.75" customHeight="1">
      <c r="A115" s="801" t="s">
        <v>402</v>
      </c>
      <c r="B115" s="1207"/>
      <c r="C115" s="802" t="s">
        <v>204</v>
      </c>
      <c r="D115" s="802"/>
      <c r="E115" s="802">
        <v>5308</v>
      </c>
      <c r="F115" s="802">
        <v>3579</v>
      </c>
      <c r="G115" s="802">
        <v>3579</v>
      </c>
      <c r="H115" s="802">
        <v>3903</v>
      </c>
      <c r="I115" s="802">
        <v>3903</v>
      </c>
      <c r="J115" s="802">
        <v>4461</v>
      </c>
    </row>
    <row r="116" spans="1:10" ht="12.75" customHeight="1">
      <c r="A116" s="801" t="s">
        <v>403</v>
      </c>
      <c r="B116" s="1207"/>
      <c r="C116" s="802" t="s">
        <v>338</v>
      </c>
      <c r="D116" s="802"/>
      <c r="E116" s="802">
        <v>25844</v>
      </c>
      <c r="F116" s="802">
        <v>14959</v>
      </c>
      <c r="G116" s="802">
        <v>14061</v>
      </c>
      <c r="H116" s="802">
        <v>50254</v>
      </c>
      <c r="I116" s="802">
        <v>57575</v>
      </c>
      <c r="J116" s="802">
        <v>66765</v>
      </c>
    </row>
    <row r="117" spans="1:10" ht="12.75" customHeight="1">
      <c r="A117" s="801" t="s">
        <v>404</v>
      </c>
      <c r="B117" s="1207"/>
      <c r="C117" s="802" t="s">
        <v>374</v>
      </c>
      <c r="D117" s="802"/>
      <c r="E117" s="802">
        <v>31384</v>
      </c>
      <c r="F117" s="802">
        <v>0</v>
      </c>
      <c r="G117" s="802">
        <v>0</v>
      </c>
      <c r="H117" s="802">
        <v>117695</v>
      </c>
      <c r="I117" s="802">
        <v>95187</v>
      </c>
      <c r="J117" s="802">
        <v>97790</v>
      </c>
    </row>
    <row r="118" spans="1:10" ht="12.75" customHeight="1">
      <c r="A118" s="801" t="s">
        <v>405</v>
      </c>
      <c r="B118" s="1207"/>
      <c r="C118" s="802" t="s">
        <v>791</v>
      </c>
      <c r="D118" s="802"/>
      <c r="E118" s="802">
        <v>0</v>
      </c>
      <c r="F118" s="802"/>
      <c r="G118" s="802"/>
      <c r="H118" s="802">
        <v>400</v>
      </c>
      <c r="I118" s="802">
        <v>400</v>
      </c>
      <c r="J118" s="802"/>
    </row>
    <row r="119" spans="1:10" ht="12.75" customHeight="1">
      <c r="A119" s="801" t="s">
        <v>406</v>
      </c>
      <c r="B119" s="1207"/>
      <c r="C119" s="802" t="s">
        <v>792</v>
      </c>
      <c r="D119" s="802"/>
      <c r="E119" s="802">
        <v>1200</v>
      </c>
      <c r="F119" s="802"/>
      <c r="G119" s="802"/>
      <c r="H119" s="802"/>
      <c r="I119" s="802"/>
      <c r="J119" s="802"/>
    </row>
    <row r="120" spans="1:10" ht="12.75" customHeight="1">
      <c r="A120" s="801" t="s">
        <v>407</v>
      </c>
      <c r="B120" s="1207"/>
      <c r="C120" s="802" t="s">
        <v>803</v>
      </c>
      <c r="D120" s="802"/>
      <c r="E120" s="802"/>
      <c r="F120" s="802"/>
      <c r="G120" s="802"/>
      <c r="H120" s="802"/>
      <c r="I120" s="802">
        <v>805</v>
      </c>
      <c r="J120" s="802">
        <v>1577</v>
      </c>
    </row>
    <row r="121" spans="1:10" ht="12.75" customHeight="1">
      <c r="A121" s="801" t="s">
        <v>409</v>
      </c>
      <c r="B121" s="1207"/>
      <c r="C121" s="802" t="s">
        <v>793</v>
      </c>
      <c r="D121" s="802"/>
      <c r="E121" s="802">
        <v>21035</v>
      </c>
      <c r="F121" s="802">
        <v>36582</v>
      </c>
      <c r="G121" s="802">
        <v>51720</v>
      </c>
      <c r="H121" s="802">
        <v>33726</v>
      </c>
      <c r="I121" s="802">
        <f>SUM('21 céltartalék'!F40)</f>
        <v>33438</v>
      </c>
      <c r="J121" s="802">
        <f>SUM('21 céltartalék'!G40)</f>
        <v>37290</v>
      </c>
    </row>
    <row r="122" spans="1:10" ht="12.75" customHeight="1">
      <c r="A122" s="801" t="s">
        <v>411</v>
      </c>
      <c r="B122" s="1207"/>
      <c r="C122" s="802" t="s">
        <v>794</v>
      </c>
      <c r="D122" s="802"/>
      <c r="E122" s="802"/>
      <c r="F122" s="802">
        <v>6052</v>
      </c>
      <c r="G122" s="802">
        <v>0</v>
      </c>
      <c r="H122" s="802">
        <v>0</v>
      </c>
      <c r="I122" s="802">
        <v>0</v>
      </c>
      <c r="J122" s="802">
        <v>0</v>
      </c>
    </row>
    <row r="123" spans="1:10" ht="12.75" customHeight="1">
      <c r="A123" s="801" t="s">
        <v>413</v>
      </c>
      <c r="B123" s="1207"/>
      <c r="C123" s="802" t="s">
        <v>216</v>
      </c>
      <c r="D123" s="802"/>
      <c r="E123" s="802"/>
      <c r="F123" s="802">
        <v>12041</v>
      </c>
      <c r="G123" s="802">
        <v>80000</v>
      </c>
      <c r="H123" s="802">
        <v>80000</v>
      </c>
      <c r="I123" s="802">
        <v>80000</v>
      </c>
      <c r="J123" s="802"/>
    </row>
    <row r="124" spans="1:10" ht="12.75" customHeight="1">
      <c r="A124" s="801" t="s">
        <v>414</v>
      </c>
      <c r="B124" s="1207"/>
      <c r="C124" s="802" t="s">
        <v>195</v>
      </c>
      <c r="D124" s="802"/>
      <c r="E124" s="802">
        <v>0</v>
      </c>
      <c r="F124" s="802">
        <v>0</v>
      </c>
      <c r="G124" s="802">
        <v>0</v>
      </c>
      <c r="H124" s="802">
        <v>0</v>
      </c>
      <c r="I124" s="802">
        <v>0</v>
      </c>
      <c r="J124" s="802">
        <v>0</v>
      </c>
    </row>
    <row r="125" spans="1:10" ht="12.75" customHeight="1">
      <c r="A125" s="801" t="s">
        <v>415</v>
      </c>
      <c r="B125" s="1207"/>
      <c r="C125" s="802" t="s">
        <v>238</v>
      </c>
      <c r="D125" s="802"/>
      <c r="E125" s="802">
        <v>0</v>
      </c>
      <c r="F125" s="802">
        <v>0</v>
      </c>
      <c r="G125" s="802">
        <v>59</v>
      </c>
      <c r="H125" s="802">
        <v>256</v>
      </c>
      <c r="I125" s="802">
        <v>256</v>
      </c>
      <c r="J125" s="802"/>
    </row>
    <row r="126" spans="1:10" s="810" customFormat="1" ht="12.75" customHeight="1">
      <c r="A126" s="803" t="s">
        <v>416</v>
      </c>
      <c r="B126" s="1214" t="s">
        <v>1223</v>
      </c>
      <c r="C126" s="800" t="s">
        <v>1215</v>
      </c>
      <c r="D126" s="800"/>
      <c r="E126" s="800"/>
      <c r="F126" s="800"/>
      <c r="G126" s="800"/>
      <c r="H126" s="800"/>
      <c r="I126" s="800"/>
      <c r="J126" s="800">
        <f>SUM(J127)+J130+J131</f>
        <v>33572</v>
      </c>
    </row>
    <row r="127" spans="1:10" ht="27" customHeight="1">
      <c r="A127" s="801" t="s">
        <v>417</v>
      </c>
      <c r="B127" s="1215"/>
      <c r="C127" s="1169" t="s">
        <v>1216</v>
      </c>
      <c r="D127" s="808"/>
      <c r="E127" s="808"/>
      <c r="F127" s="808"/>
      <c r="G127" s="808"/>
      <c r="H127" s="808"/>
      <c r="I127" s="808"/>
      <c r="J127" s="808">
        <f>SUM(J128:J129)</f>
        <v>28831</v>
      </c>
    </row>
    <row r="128" spans="1:10" s="1172" customFormat="1" ht="12.75" customHeight="1">
      <c r="A128" s="1170" t="s">
        <v>418</v>
      </c>
      <c r="B128" s="1216"/>
      <c r="C128" s="1171" t="s">
        <v>1217</v>
      </c>
      <c r="D128" s="1171"/>
      <c r="E128" s="1171"/>
      <c r="F128" s="1171"/>
      <c r="G128" s="1171"/>
      <c r="H128" s="1171"/>
      <c r="I128" s="1171"/>
      <c r="J128" s="1171">
        <v>1041</v>
      </c>
    </row>
    <row r="129" spans="1:10" s="1172" customFormat="1" ht="12.75" customHeight="1">
      <c r="A129" s="1170" t="s">
        <v>420</v>
      </c>
      <c r="B129" s="1216"/>
      <c r="C129" s="1171" t="s">
        <v>1218</v>
      </c>
      <c r="D129" s="1171"/>
      <c r="E129" s="1171"/>
      <c r="F129" s="1171"/>
      <c r="G129" s="1171"/>
      <c r="H129" s="1171"/>
      <c r="I129" s="1171"/>
      <c r="J129" s="1171">
        <v>27790</v>
      </c>
    </row>
    <row r="130" spans="1:10" ht="27" customHeight="1">
      <c r="A130" s="801" t="s">
        <v>422</v>
      </c>
      <c r="B130" s="1215"/>
      <c r="C130" s="1169" t="s">
        <v>1219</v>
      </c>
      <c r="D130" s="808"/>
      <c r="E130" s="808"/>
      <c r="F130" s="808"/>
      <c r="G130" s="808"/>
      <c r="H130" s="808"/>
      <c r="I130" s="808"/>
      <c r="J130" s="808">
        <v>750</v>
      </c>
    </row>
    <row r="131" spans="1:10" ht="19.5" customHeight="1">
      <c r="A131" s="801" t="s">
        <v>423</v>
      </c>
      <c r="B131" s="1215"/>
      <c r="C131" s="808" t="s">
        <v>1220</v>
      </c>
      <c r="D131" s="808"/>
      <c r="E131" s="808"/>
      <c r="F131" s="808"/>
      <c r="G131" s="808"/>
      <c r="H131" s="808"/>
      <c r="I131" s="808"/>
      <c r="J131" s="808">
        <f>SUM(J132:J133)</f>
        <v>3991</v>
      </c>
    </row>
    <row r="132" spans="1:10" s="1172" customFormat="1" ht="12.75" customHeight="1">
      <c r="A132" s="1170" t="s">
        <v>424</v>
      </c>
      <c r="B132" s="1216"/>
      <c r="C132" s="1171" t="s">
        <v>1221</v>
      </c>
      <c r="D132" s="1171"/>
      <c r="E132" s="1171"/>
      <c r="F132" s="1171"/>
      <c r="G132" s="1171"/>
      <c r="H132" s="1171"/>
      <c r="I132" s="1171"/>
      <c r="J132" s="1171">
        <v>3614</v>
      </c>
    </row>
    <row r="133" spans="1:10" s="1172" customFormat="1" ht="12.75" customHeight="1">
      <c r="A133" s="1170" t="s">
        <v>425</v>
      </c>
      <c r="B133" s="1216"/>
      <c r="C133" s="1171" t="s">
        <v>1222</v>
      </c>
      <c r="D133" s="1171"/>
      <c r="E133" s="1171"/>
      <c r="F133" s="1171"/>
      <c r="G133" s="1171"/>
      <c r="H133" s="1171"/>
      <c r="I133" s="1171"/>
      <c r="J133" s="1171">
        <v>377</v>
      </c>
    </row>
    <row r="134" spans="1:10" s="810" customFormat="1" ht="12.75" customHeight="1">
      <c r="A134" s="803" t="s">
        <v>426</v>
      </c>
      <c r="B134" s="1214" t="s">
        <v>801</v>
      </c>
      <c r="C134" s="800" t="s">
        <v>383</v>
      </c>
      <c r="D134" s="800"/>
      <c r="E134" s="597">
        <f aca="true" t="shared" si="8" ref="E134:J134">SUM(E135:E136)</f>
        <v>13014</v>
      </c>
      <c r="F134" s="800">
        <f t="shared" si="8"/>
        <v>0</v>
      </c>
      <c r="G134" s="800">
        <f t="shared" si="8"/>
        <v>7406</v>
      </c>
      <c r="H134" s="800">
        <f t="shared" si="8"/>
        <v>9718</v>
      </c>
      <c r="I134" s="800">
        <f t="shared" si="8"/>
        <v>10204</v>
      </c>
      <c r="J134" s="800">
        <f t="shared" si="8"/>
        <v>11841</v>
      </c>
    </row>
    <row r="135" spans="1:10" ht="12.75" customHeight="1">
      <c r="A135" s="801" t="s">
        <v>427</v>
      </c>
      <c r="B135" s="1215"/>
      <c r="C135" s="808" t="s">
        <v>796</v>
      </c>
      <c r="D135" s="808"/>
      <c r="E135" s="808">
        <v>3277</v>
      </c>
      <c r="F135" s="808">
        <v>0</v>
      </c>
      <c r="G135" s="808">
        <v>0</v>
      </c>
      <c r="H135" s="808">
        <v>0</v>
      </c>
      <c r="I135" s="808">
        <v>0</v>
      </c>
      <c r="J135" s="808">
        <v>256</v>
      </c>
    </row>
    <row r="136" spans="1:10" ht="24.75" customHeight="1">
      <c r="A136" s="801" t="s">
        <v>428</v>
      </c>
      <c r="B136" s="1215"/>
      <c r="C136" s="1195" t="s">
        <v>794</v>
      </c>
      <c r="D136" s="808"/>
      <c r="E136" s="808">
        <v>9737</v>
      </c>
      <c r="F136" s="808">
        <v>0</v>
      </c>
      <c r="G136" s="808">
        <v>7406</v>
      </c>
      <c r="H136" s="808">
        <v>9718</v>
      </c>
      <c r="I136" s="808">
        <v>10204</v>
      </c>
      <c r="J136" s="808">
        <v>11585</v>
      </c>
    </row>
    <row r="137" spans="1:10" s="810" customFormat="1" ht="12.75" customHeight="1">
      <c r="A137" s="803" t="s">
        <v>430</v>
      </c>
      <c r="B137" s="1217" t="s">
        <v>1224</v>
      </c>
      <c r="C137" s="812" t="s">
        <v>386</v>
      </c>
      <c r="D137" s="800"/>
      <c r="E137" s="597">
        <f aca="true" t="shared" si="9" ref="E137:J137">SUM(E138:E140)</f>
        <v>2979</v>
      </c>
      <c r="F137" s="800">
        <f t="shared" si="9"/>
        <v>0</v>
      </c>
      <c r="G137" s="800">
        <f t="shared" si="9"/>
        <v>0</v>
      </c>
      <c r="H137" s="800">
        <f t="shared" si="9"/>
        <v>0</v>
      </c>
      <c r="I137" s="800">
        <f t="shared" si="9"/>
        <v>0</v>
      </c>
      <c r="J137" s="800">
        <f t="shared" si="9"/>
        <v>0</v>
      </c>
    </row>
    <row r="138" spans="1:10" ht="12.75" customHeight="1">
      <c r="A138" s="801" t="s">
        <v>431</v>
      </c>
      <c r="B138" s="1218"/>
      <c r="C138" s="802" t="s">
        <v>203</v>
      </c>
      <c r="D138" s="802"/>
      <c r="E138" s="802">
        <v>2612</v>
      </c>
      <c r="F138" s="802">
        <v>0</v>
      </c>
      <c r="G138" s="802">
        <v>0</v>
      </c>
      <c r="H138" s="802">
        <v>0</v>
      </c>
      <c r="I138" s="802">
        <v>0</v>
      </c>
      <c r="J138" s="802">
        <v>0</v>
      </c>
    </row>
    <row r="139" spans="1:10" ht="12.75" customHeight="1">
      <c r="A139" s="801" t="s">
        <v>432</v>
      </c>
      <c r="B139" s="1218"/>
      <c r="C139" s="802" t="s">
        <v>204</v>
      </c>
      <c r="D139" s="802"/>
      <c r="E139" s="802">
        <v>367</v>
      </c>
      <c r="F139" s="802">
        <v>0</v>
      </c>
      <c r="G139" s="802">
        <v>0</v>
      </c>
      <c r="H139" s="802">
        <v>0</v>
      </c>
      <c r="I139" s="802">
        <v>0</v>
      </c>
      <c r="J139" s="802">
        <v>0</v>
      </c>
    </row>
    <row r="140" spans="1:10" ht="12.75" customHeight="1">
      <c r="A140" s="801" t="s">
        <v>433</v>
      </c>
      <c r="B140" s="1218"/>
      <c r="C140" s="802" t="s">
        <v>338</v>
      </c>
      <c r="D140" s="802"/>
      <c r="E140" s="802">
        <v>0</v>
      </c>
      <c r="F140" s="802">
        <v>0</v>
      </c>
      <c r="G140" s="802">
        <v>0</v>
      </c>
      <c r="H140" s="802">
        <v>0</v>
      </c>
      <c r="I140" s="802">
        <v>0</v>
      </c>
      <c r="J140" s="802">
        <v>0</v>
      </c>
    </row>
    <row r="141" spans="1:10" ht="12.75" customHeight="1">
      <c r="A141" s="803" t="s">
        <v>434</v>
      </c>
      <c r="B141" s="1219" t="s">
        <v>1237</v>
      </c>
      <c r="C141" s="804" t="s">
        <v>395</v>
      </c>
      <c r="D141" s="802"/>
      <c r="E141" s="10">
        <f aca="true" t="shared" si="10" ref="E141:J141">SUM(E142:E144)</f>
        <v>1021</v>
      </c>
      <c r="F141" s="804">
        <f t="shared" si="10"/>
        <v>0</v>
      </c>
      <c r="G141" s="804">
        <f t="shared" si="10"/>
        <v>0</v>
      </c>
      <c r="H141" s="804">
        <f t="shared" si="10"/>
        <v>0</v>
      </c>
      <c r="I141" s="804">
        <f t="shared" si="10"/>
        <v>0</v>
      </c>
      <c r="J141" s="804">
        <f t="shared" si="10"/>
        <v>0</v>
      </c>
    </row>
    <row r="142" spans="1:10" ht="12.75" customHeight="1">
      <c r="A142" s="801" t="s">
        <v>435</v>
      </c>
      <c r="B142" s="1198"/>
      <c r="C142" s="802" t="s">
        <v>203</v>
      </c>
      <c r="D142" s="802"/>
      <c r="E142" s="802">
        <v>845</v>
      </c>
      <c r="F142" s="802">
        <v>0</v>
      </c>
      <c r="G142" s="802">
        <v>0</v>
      </c>
      <c r="H142" s="802">
        <v>0</v>
      </c>
      <c r="I142" s="802">
        <v>0</v>
      </c>
      <c r="J142" s="802">
        <v>0</v>
      </c>
    </row>
    <row r="143" spans="1:10" ht="12.75" customHeight="1">
      <c r="A143" s="801" t="s">
        <v>436</v>
      </c>
      <c r="B143" s="1198"/>
      <c r="C143" s="802" t="s">
        <v>204</v>
      </c>
      <c r="D143" s="802"/>
      <c r="E143" s="802">
        <v>120</v>
      </c>
      <c r="F143" s="802">
        <v>0</v>
      </c>
      <c r="G143" s="802">
        <v>0</v>
      </c>
      <c r="H143" s="802">
        <v>0</v>
      </c>
      <c r="I143" s="802">
        <v>0</v>
      </c>
      <c r="J143" s="802">
        <v>0</v>
      </c>
    </row>
    <row r="144" spans="1:10" ht="12.75" customHeight="1">
      <c r="A144" s="801" t="s">
        <v>437</v>
      </c>
      <c r="B144" s="1198"/>
      <c r="C144" s="813" t="s">
        <v>338</v>
      </c>
      <c r="D144" s="813"/>
      <c r="E144" s="813">
        <v>56</v>
      </c>
      <c r="F144" s="802">
        <v>0</v>
      </c>
      <c r="G144" s="802">
        <v>0</v>
      </c>
      <c r="H144" s="802">
        <v>0</v>
      </c>
      <c r="I144" s="802">
        <v>0</v>
      </c>
      <c r="J144" s="802">
        <v>0</v>
      </c>
    </row>
    <row r="145" spans="1:10" s="810" customFormat="1" ht="12.75" customHeight="1">
      <c r="A145" s="803" t="s">
        <v>438</v>
      </c>
      <c r="B145" s="1220" t="s">
        <v>1238</v>
      </c>
      <c r="C145" s="917" t="s">
        <v>800</v>
      </c>
      <c r="D145" s="1178"/>
      <c r="E145" s="917">
        <v>110593</v>
      </c>
      <c r="F145" s="1189">
        <v>0</v>
      </c>
      <c r="G145" s="804">
        <v>0</v>
      </c>
      <c r="H145" s="804">
        <v>0</v>
      </c>
      <c r="I145" s="804">
        <v>0</v>
      </c>
      <c r="J145" s="804">
        <v>80000</v>
      </c>
    </row>
    <row r="146" spans="1:10" ht="12.75" customHeight="1">
      <c r="A146" s="801" t="s">
        <v>439</v>
      </c>
      <c r="B146" s="1221"/>
      <c r="C146" s="919" t="s">
        <v>195</v>
      </c>
      <c r="D146" s="1176"/>
      <c r="E146" s="1176">
        <v>110593</v>
      </c>
      <c r="F146" s="1181">
        <v>0</v>
      </c>
      <c r="G146" s="802">
        <v>0</v>
      </c>
      <c r="H146" s="802">
        <v>0</v>
      </c>
      <c r="I146" s="802">
        <v>0</v>
      </c>
      <c r="J146" s="802">
        <v>0</v>
      </c>
    </row>
    <row r="147" spans="1:10" ht="12.75" customHeight="1">
      <c r="A147" s="801" t="s">
        <v>442</v>
      </c>
      <c r="B147" s="1221"/>
      <c r="C147" s="919" t="s">
        <v>243</v>
      </c>
      <c r="D147" s="1176"/>
      <c r="E147" s="1176"/>
      <c r="F147" s="1181"/>
      <c r="G147" s="802"/>
      <c r="H147" s="802"/>
      <c r="I147" s="802"/>
      <c r="J147" s="802">
        <v>80000</v>
      </c>
    </row>
    <row r="148" spans="1:10" ht="26.25" customHeight="1">
      <c r="A148" s="803" t="s">
        <v>443</v>
      </c>
      <c r="B148" s="1220" t="s">
        <v>1239</v>
      </c>
      <c r="C148" s="1180" t="s">
        <v>802</v>
      </c>
      <c r="D148" s="1178"/>
      <c r="E148" s="917">
        <f aca="true" t="shared" si="11" ref="E148:J148">SUM(E149)</f>
        <v>255531</v>
      </c>
      <c r="F148" s="1189">
        <f t="shared" si="11"/>
        <v>248771</v>
      </c>
      <c r="G148" s="804">
        <f t="shared" si="11"/>
        <v>252365</v>
      </c>
      <c r="H148" s="804">
        <f t="shared" si="11"/>
        <v>274349</v>
      </c>
      <c r="I148" s="804">
        <f t="shared" si="11"/>
        <v>276745</v>
      </c>
      <c r="J148" s="804">
        <f t="shared" si="11"/>
        <v>262445.517</v>
      </c>
    </row>
    <row r="149" spans="1:10" ht="12.75" customHeight="1" thickBot="1">
      <c r="A149" s="801" t="s">
        <v>444</v>
      </c>
      <c r="B149" s="1222"/>
      <c r="C149" s="815" t="s">
        <v>401</v>
      </c>
      <c r="D149" s="815"/>
      <c r="E149" s="1194">
        <v>255531</v>
      </c>
      <c r="F149" s="816">
        <f>SUM('ÖNK ÖSSZESITŐ'!F47)*-1</f>
        <v>248771</v>
      </c>
      <c r="G149" s="816">
        <f>SUM('ÖNK ÖSSZESITŐ'!G47)*-1</f>
        <v>252365</v>
      </c>
      <c r="H149" s="816">
        <f>SUM('ÖNK ÖSSZESITŐ'!H47)*-1</f>
        <v>274349</v>
      </c>
      <c r="I149" s="816">
        <f>SUM('ÖNK ÖSSZESITŐ'!I47)*-1</f>
        <v>276745</v>
      </c>
      <c r="J149" s="816">
        <f>SUM('ÖNK ÖSSZESITŐ'!J47)*-1</f>
        <v>262445.517</v>
      </c>
    </row>
    <row r="150" spans="1:10" ht="12.75" customHeight="1" thickBot="1">
      <c r="A150" s="801" t="s">
        <v>445</v>
      </c>
      <c r="B150" s="1223"/>
      <c r="C150" s="817" t="s">
        <v>304</v>
      </c>
      <c r="D150" s="817"/>
      <c r="E150" s="818">
        <f>SUM(E39+E41+E44+E57+E59+E61+E67+E71+E77+E83+E113+E137+E149)+E141+E145+E134++E75+E55+E53+E51+E49</f>
        <v>798572</v>
      </c>
      <c r="F150" s="819">
        <f>SUM(F151:F163)</f>
        <v>558139</v>
      </c>
      <c r="G150" s="819">
        <f>SUM(G151:G164)</f>
        <v>663709</v>
      </c>
      <c r="H150" s="819">
        <f>SUM(H151:H165)</f>
        <v>669339</v>
      </c>
      <c r="I150" s="819">
        <f>SUM(I151:I165)</f>
        <v>657710</v>
      </c>
      <c r="J150" s="819">
        <f>SUM(J39+J41+J44+J49+J51+J53+J55+J57+J59+J61+J67+J71+J75+J77+J83+J101+J104+J113+J126+J134+J137+J141+J145+J148)+J106+J108</f>
        <v>662522.517</v>
      </c>
    </row>
    <row r="151" spans="1:10" ht="12.75" customHeight="1">
      <c r="A151" s="801" t="s">
        <v>447</v>
      </c>
      <c r="B151" s="1224"/>
      <c r="C151" s="820" t="s">
        <v>203</v>
      </c>
      <c r="D151" s="820"/>
      <c r="E151" s="434">
        <f>SUM(E45+E62+E68+E72+E114+E138+E142)</f>
        <v>50286</v>
      </c>
      <c r="F151" s="820">
        <f>SUM(F62+F72+F114+F138)</f>
        <v>38905</v>
      </c>
      <c r="G151" s="820">
        <f>SUM(G62+G72+G114+G138)</f>
        <v>39062</v>
      </c>
      <c r="H151" s="820">
        <f>SUM(H62+H72+H114+H138)</f>
        <v>40317</v>
      </c>
      <c r="I151" s="984">
        <f>SUM(I62+I72+I114+I138)</f>
        <v>40317</v>
      </c>
      <c r="J151" s="984">
        <f>SUM(J62+J72+J114+J138)</f>
        <v>42461</v>
      </c>
    </row>
    <row r="152" spans="1:10" ht="12.75" customHeight="1">
      <c r="A152" s="801" t="s">
        <v>448</v>
      </c>
      <c r="B152" s="1225"/>
      <c r="C152" s="821" t="s">
        <v>204</v>
      </c>
      <c r="D152" s="821"/>
      <c r="E152" s="427">
        <f>SUM(E46+E63+E73+E115+E139+E143)</f>
        <v>12814</v>
      </c>
      <c r="F152" s="821">
        <f>F63+F73+F115+F139</f>
        <v>9959</v>
      </c>
      <c r="G152" s="821">
        <f>G63+G73+G115+G139</f>
        <v>9959</v>
      </c>
      <c r="H152" s="821">
        <f>H63+H73+H115+H139</f>
        <v>10283</v>
      </c>
      <c r="I152" s="985">
        <f>I63+I73+I115+I139</f>
        <v>10283</v>
      </c>
      <c r="J152" s="985">
        <f>J63+J73+J115+J139</f>
        <v>10608</v>
      </c>
    </row>
    <row r="153" spans="1:10" ht="12.75" customHeight="1">
      <c r="A153" s="801" t="s">
        <v>449</v>
      </c>
      <c r="B153" s="1225"/>
      <c r="C153" s="821" t="s">
        <v>338</v>
      </c>
      <c r="D153" s="821"/>
      <c r="E153" s="427">
        <f>E40+E42+E47+E58+E60+E64+E70+E116+E140+E144+E54+E52+E50</f>
        <v>65098</v>
      </c>
      <c r="F153" s="821">
        <f>F40+F42+F47+F58+F60+F64+F70+F116+F140</f>
        <v>43513</v>
      </c>
      <c r="G153" s="821">
        <f>G40+G42+G47+G58+G60+G64+G70+G116+G140</f>
        <v>42615</v>
      </c>
      <c r="H153" s="821">
        <f>H40+H42+H47+H58+H60+H64+H70+H116+H140</f>
        <v>63808</v>
      </c>
      <c r="I153" s="985">
        <f>I40+I42+I47+I58+I60+I64+I70+I116+I140</f>
        <v>71129</v>
      </c>
      <c r="J153" s="985">
        <f>J40+J42+J47+J58+J60+J64+J70+J116+J140+J102+J54+J107</f>
        <v>80556</v>
      </c>
    </row>
    <row r="154" spans="1:10" ht="12.75" customHeight="1">
      <c r="A154" s="801" t="s">
        <v>450</v>
      </c>
      <c r="B154" s="1225"/>
      <c r="C154" s="821" t="s">
        <v>342</v>
      </c>
      <c r="D154" s="821"/>
      <c r="E154" s="427">
        <v>30871</v>
      </c>
      <c r="F154" s="821">
        <f>SUM(F65+F78+F79+F80)+I81+F81</f>
        <v>33664</v>
      </c>
      <c r="G154" s="821">
        <f>SUM(G65+G78+G79+G80)+J81+G81</f>
        <v>33612</v>
      </c>
      <c r="H154" s="821">
        <f>SUM(H65+H78+H79+H80)+H81</f>
        <v>35577</v>
      </c>
      <c r="I154" s="985">
        <f>SUM(I65+I78+I79+I80)+I81</f>
        <v>35672</v>
      </c>
      <c r="J154" s="985">
        <f>SUM(J65+J78+J79+J80)+J81+J126</f>
        <v>34574</v>
      </c>
    </row>
    <row r="155" spans="1:10" ht="12.75" customHeight="1">
      <c r="A155" s="801" t="s">
        <v>452</v>
      </c>
      <c r="B155" s="1225"/>
      <c r="C155" s="821" t="s">
        <v>803</v>
      </c>
      <c r="D155" s="821"/>
      <c r="E155" s="427">
        <v>1200</v>
      </c>
      <c r="F155" s="821">
        <v>0</v>
      </c>
      <c r="G155" s="821">
        <v>0</v>
      </c>
      <c r="H155" s="821">
        <v>0</v>
      </c>
      <c r="I155" s="985">
        <v>0</v>
      </c>
      <c r="J155" s="985">
        <v>0</v>
      </c>
    </row>
    <row r="156" spans="1:10" ht="12.75" customHeight="1">
      <c r="A156" s="801" t="s">
        <v>453</v>
      </c>
      <c r="B156" s="1225"/>
      <c r="C156" s="821" t="s">
        <v>408</v>
      </c>
      <c r="D156" s="821"/>
      <c r="E156" s="427">
        <f>E83</f>
        <v>5432</v>
      </c>
      <c r="F156" s="821">
        <f>F83</f>
        <v>3210</v>
      </c>
      <c r="G156" s="821">
        <f>G83</f>
        <v>3210</v>
      </c>
      <c r="H156" s="821">
        <f>H83</f>
        <v>3210</v>
      </c>
      <c r="I156" s="985">
        <f>I83</f>
        <v>3274</v>
      </c>
      <c r="J156" s="985">
        <f>SUM(J103+J105)+J108</f>
        <v>3228</v>
      </c>
    </row>
    <row r="157" spans="1:10" ht="12.75" customHeight="1">
      <c r="A157" s="801" t="s">
        <v>454</v>
      </c>
      <c r="B157" s="1225"/>
      <c r="C157" s="821" t="s">
        <v>410</v>
      </c>
      <c r="D157" s="821"/>
      <c r="E157" s="427">
        <f>SUM(E43+E48+E69)+E117+E55+E66</f>
        <v>232698</v>
      </c>
      <c r="F157" s="821">
        <f>F117+F48</f>
        <v>125442</v>
      </c>
      <c r="G157" s="821">
        <f>G117+G48</f>
        <v>143701</v>
      </c>
      <c r="H157" s="821">
        <f>H117+H48</f>
        <v>117695</v>
      </c>
      <c r="I157" s="985">
        <f>SUM(I117)</f>
        <v>95187</v>
      </c>
      <c r="J157" s="985">
        <f>SUM(J117)+J66</f>
        <v>97942</v>
      </c>
    </row>
    <row r="158" spans="1:10" ht="12.75" customHeight="1">
      <c r="A158" s="801" t="s">
        <v>455</v>
      </c>
      <c r="B158" s="1225"/>
      <c r="C158" s="821" t="s">
        <v>932</v>
      </c>
      <c r="D158" s="821"/>
      <c r="E158" s="427"/>
      <c r="F158" s="821"/>
      <c r="G158" s="821"/>
      <c r="H158" s="821"/>
      <c r="I158" s="985">
        <v>805</v>
      </c>
      <c r="J158" s="985">
        <f>SUM(J120)</f>
        <v>1577</v>
      </c>
    </row>
    <row r="159" spans="1:10" ht="12.75" customHeight="1">
      <c r="A159" s="801" t="s">
        <v>456</v>
      </c>
      <c r="B159" s="1225"/>
      <c r="C159" s="821" t="s">
        <v>412</v>
      </c>
      <c r="D159" s="821"/>
      <c r="E159" s="427">
        <f aca="true" t="shared" si="12" ref="E159:J159">SUM(E149)</f>
        <v>255531</v>
      </c>
      <c r="F159" s="821">
        <f t="shared" si="12"/>
        <v>248771</v>
      </c>
      <c r="G159" s="821">
        <f t="shared" si="12"/>
        <v>252365</v>
      </c>
      <c r="H159" s="821">
        <f t="shared" si="12"/>
        <v>274349</v>
      </c>
      <c r="I159" s="985">
        <f t="shared" si="12"/>
        <v>276745</v>
      </c>
      <c r="J159" s="985">
        <f t="shared" si="12"/>
        <v>262445.517</v>
      </c>
    </row>
    <row r="160" spans="1:10" ht="12.75" customHeight="1">
      <c r="A160" s="801" t="s">
        <v>458</v>
      </c>
      <c r="B160" s="1225"/>
      <c r="C160" s="822" t="s">
        <v>794</v>
      </c>
      <c r="D160" s="821"/>
      <c r="E160" s="427">
        <v>9737</v>
      </c>
      <c r="F160" s="821">
        <f>SUM(F122)</f>
        <v>6052</v>
      </c>
      <c r="G160" s="821">
        <v>7406</v>
      </c>
      <c r="H160" s="821">
        <v>9718</v>
      </c>
      <c r="I160" s="985">
        <f>SUM(I136)</f>
        <v>10204</v>
      </c>
      <c r="J160" s="985">
        <f>SUM(J136)</f>
        <v>11585</v>
      </c>
    </row>
    <row r="161" spans="1:10" ht="12.75" customHeight="1">
      <c r="A161" s="801" t="s">
        <v>459</v>
      </c>
      <c r="B161" s="1225"/>
      <c r="C161" s="822" t="s">
        <v>243</v>
      </c>
      <c r="D161" s="821"/>
      <c r="E161" s="427">
        <v>0</v>
      </c>
      <c r="F161" s="821">
        <f>SUM(F123)</f>
        <v>12041</v>
      </c>
      <c r="G161" s="821">
        <f aca="true" t="shared" si="13" ref="G161:I162">SUM(G123)</f>
        <v>80000</v>
      </c>
      <c r="H161" s="821">
        <f t="shared" si="13"/>
        <v>80000</v>
      </c>
      <c r="I161" s="985">
        <f t="shared" si="13"/>
        <v>80000</v>
      </c>
      <c r="J161" s="985">
        <f>SUM(J147)</f>
        <v>80000</v>
      </c>
    </row>
    <row r="162" spans="1:10" ht="12.75" customHeight="1">
      <c r="A162" s="801" t="s">
        <v>460</v>
      </c>
      <c r="B162" s="1225"/>
      <c r="C162" s="822" t="s">
        <v>195</v>
      </c>
      <c r="D162" s="821"/>
      <c r="E162" s="427">
        <v>110593</v>
      </c>
      <c r="F162" s="821">
        <f>SUM(F124)</f>
        <v>0</v>
      </c>
      <c r="G162" s="821">
        <f t="shared" si="13"/>
        <v>0</v>
      </c>
      <c r="H162" s="821">
        <f t="shared" si="13"/>
        <v>0</v>
      </c>
      <c r="I162" s="985">
        <f t="shared" si="13"/>
        <v>0</v>
      </c>
      <c r="J162" s="985">
        <f>SUM(J124)</f>
        <v>0</v>
      </c>
    </row>
    <row r="163" spans="1:10" ht="12.75" customHeight="1">
      <c r="A163" s="801" t="s">
        <v>461</v>
      </c>
      <c r="B163" s="1226"/>
      <c r="C163" s="823" t="s">
        <v>804</v>
      </c>
      <c r="D163" s="823"/>
      <c r="E163" s="428">
        <f>E121</f>
        <v>21035</v>
      </c>
      <c r="F163" s="823">
        <f>SUM(F121)</f>
        <v>36582</v>
      </c>
      <c r="G163" s="823">
        <f>SUM(G121)</f>
        <v>51720</v>
      </c>
      <c r="H163" s="823">
        <v>33726</v>
      </c>
      <c r="I163" s="986">
        <f>SUM(I121)</f>
        <v>33438</v>
      </c>
      <c r="J163" s="986">
        <f>SUM(J121)</f>
        <v>37290</v>
      </c>
    </row>
    <row r="164" spans="1:10" ht="12.75" customHeight="1">
      <c r="A164" s="801" t="s">
        <v>463</v>
      </c>
      <c r="B164" s="1227"/>
      <c r="C164" s="823" t="s">
        <v>238</v>
      </c>
      <c r="D164" s="823"/>
      <c r="E164" s="428">
        <v>3277</v>
      </c>
      <c r="F164" s="823">
        <f>SUM(F125)</f>
        <v>0</v>
      </c>
      <c r="G164" s="823">
        <f>SUM(G125)</f>
        <v>59</v>
      </c>
      <c r="H164" s="823">
        <f>SUM(H125)</f>
        <v>256</v>
      </c>
      <c r="I164" s="986">
        <f>SUM(I125)</f>
        <v>256</v>
      </c>
      <c r="J164" s="986">
        <f>SUM(J135)</f>
        <v>256</v>
      </c>
    </row>
    <row r="165" spans="1:10" ht="12.75" customHeight="1">
      <c r="A165" s="801" t="s">
        <v>464</v>
      </c>
      <c r="B165" s="822"/>
      <c r="C165" s="821" t="s">
        <v>805</v>
      </c>
      <c r="D165" s="821"/>
      <c r="E165" s="427">
        <v>0</v>
      </c>
      <c r="F165" s="821">
        <v>0</v>
      </c>
      <c r="G165" s="821">
        <v>0</v>
      </c>
      <c r="H165" s="821">
        <v>400</v>
      </c>
      <c r="I165" s="985">
        <v>400</v>
      </c>
      <c r="J165" s="985">
        <v>0</v>
      </c>
    </row>
  </sheetData>
  <sheetProtection selectLockedCells="1" selectUnlockedCells="1"/>
  <mergeCells count="26">
    <mergeCell ref="A3:J3"/>
    <mergeCell ref="F7:J7"/>
    <mergeCell ref="A5:J5"/>
    <mergeCell ref="A2:J2"/>
    <mergeCell ref="A1:J1"/>
    <mergeCell ref="C14:D14"/>
    <mergeCell ref="A7:C7"/>
    <mergeCell ref="A8:B8"/>
    <mergeCell ref="C8:D8"/>
    <mergeCell ref="A9:B9"/>
    <mergeCell ref="C9:D9"/>
    <mergeCell ref="C11:D11"/>
    <mergeCell ref="C15:D15"/>
    <mergeCell ref="C17:D17"/>
    <mergeCell ref="C16:D16"/>
    <mergeCell ref="C13:D13"/>
    <mergeCell ref="C28:D28"/>
    <mergeCell ref="C26:D26"/>
    <mergeCell ref="A37:B37"/>
    <mergeCell ref="A38:B38"/>
    <mergeCell ref="C18:D18"/>
    <mergeCell ref="C33:D33"/>
    <mergeCell ref="C32:D32"/>
    <mergeCell ref="C20:D20"/>
    <mergeCell ref="C25:D25"/>
    <mergeCell ref="C19:D19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68" r:id="rId1"/>
  <headerFooter alignWithMargins="0">
    <oddFooter>&amp;C&amp;"Times New Roman,Normál"&amp;12Oldal &amp;P</oddFooter>
  </headerFooter>
  <rowBreaks count="2" manualBreakCount="2">
    <brk id="58" max="255" man="1"/>
    <brk id="125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U59"/>
  <sheetViews>
    <sheetView workbookViewId="0" topLeftCell="A1">
      <selection activeCell="A8" sqref="A8:A9"/>
    </sheetView>
  </sheetViews>
  <sheetFormatPr defaultColWidth="11.57421875" defaultRowHeight="12.75" customHeight="1"/>
  <cols>
    <col min="1" max="1" width="39.00390625" style="0" customWidth="1"/>
    <col min="2" max="2" width="10.7109375" style="0" customWidth="1"/>
    <col min="3" max="3" width="11.00390625" style="0" customWidth="1"/>
    <col min="4" max="4" width="9.28125" style="0" customWidth="1"/>
    <col min="5" max="5" width="9.00390625" style="0" customWidth="1"/>
    <col min="6" max="7" width="10.28125" style="0" customWidth="1"/>
    <col min="8" max="8" width="9.140625" style="0" customWidth="1"/>
    <col min="9" max="9" width="9.57421875" style="0" customWidth="1"/>
    <col min="10" max="10" width="9.8515625" style="0" customWidth="1"/>
    <col min="11" max="11" width="10.57421875" style="0" customWidth="1"/>
    <col min="12" max="12" width="9.7109375" style="0" customWidth="1"/>
    <col min="13" max="13" width="9.28125" style="0" customWidth="1"/>
    <col min="14" max="14" width="12.421875" style="0" customWidth="1"/>
    <col min="15" max="15" width="11.8515625" style="0" customWidth="1"/>
    <col min="16" max="16" width="9.7109375" style="0" customWidth="1"/>
    <col min="17" max="17" width="9.421875" style="0" customWidth="1"/>
    <col min="18" max="18" width="12.140625" style="0" customWidth="1"/>
    <col min="19" max="19" width="11.8515625" style="0" customWidth="1"/>
    <col min="20" max="20" width="10.00390625" style="0" customWidth="1"/>
    <col min="21" max="21" width="10.421875" style="0" customWidth="1"/>
  </cols>
  <sheetData>
    <row r="1" spans="1:21" s="625" customFormat="1" ht="18" customHeight="1">
      <c r="A1" s="1675" t="s">
        <v>806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  <c r="L1" s="1675"/>
      <c r="M1" s="1675"/>
      <c r="N1" s="1675"/>
      <c r="O1" s="1675"/>
      <c r="P1" s="1675"/>
      <c r="Q1" s="1675"/>
      <c r="R1" s="1675"/>
      <c r="S1" s="1675"/>
      <c r="T1" s="1675"/>
      <c r="U1" s="1675"/>
    </row>
    <row r="2" spans="1:21" ht="12.75" customHeight="1">
      <c r="A2" s="1521" t="s">
        <v>1350</v>
      </c>
      <c r="B2" s="1521"/>
      <c r="C2" s="1521"/>
      <c r="D2" s="1521"/>
      <c r="E2" s="1521"/>
      <c r="F2" s="1521"/>
      <c r="G2" s="1521"/>
      <c r="H2" s="1521"/>
      <c r="I2" s="1521"/>
      <c r="J2" s="1521"/>
      <c r="K2" s="1521"/>
      <c r="L2" s="1521"/>
      <c r="M2" s="1521"/>
      <c r="N2" s="1521"/>
      <c r="O2" s="1521"/>
      <c r="P2" s="1521"/>
      <c r="Q2" s="1521"/>
      <c r="R2" s="1521"/>
      <c r="S2" s="1521"/>
      <c r="T2" s="1521"/>
      <c r="U2" s="1521"/>
    </row>
    <row r="3" spans="1:21" ht="12.75" customHeight="1">
      <c r="A3" s="1521" t="s">
        <v>1351</v>
      </c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  <c r="Q3" s="1521"/>
      <c r="R3" s="1521"/>
      <c r="S3" s="1521"/>
      <c r="T3" s="1521"/>
      <c r="U3" s="1485"/>
    </row>
    <row r="4" spans="1:21" ht="12.75" customHeight="1">
      <c r="A4" s="1676" t="s">
        <v>2</v>
      </c>
      <c r="B4" s="1676"/>
      <c r="C4" s="1676"/>
      <c r="D4" s="1676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  <c r="P4" s="1676"/>
      <c r="Q4" s="1676"/>
      <c r="R4" s="1676"/>
      <c r="S4" s="1676"/>
      <c r="T4" s="1676"/>
      <c r="U4" s="1676"/>
    </row>
    <row r="5" spans="1:21" ht="15.75" customHeight="1">
      <c r="A5" s="1576" t="s">
        <v>807</v>
      </c>
      <c r="B5" s="1576"/>
      <c r="C5" s="1576"/>
      <c r="D5" s="1576"/>
      <c r="E5" s="1576"/>
      <c r="F5" s="1576"/>
      <c r="G5" s="1576"/>
      <c r="H5" s="1576"/>
      <c r="I5" s="1576"/>
      <c r="J5" s="1576"/>
      <c r="K5" s="1576"/>
      <c r="L5" s="1576"/>
      <c r="M5" s="1576"/>
      <c r="N5" s="1576"/>
      <c r="O5" s="1576"/>
      <c r="P5" s="1576"/>
      <c r="Q5" s="1576"/>
      <c r="R5" s="1576"/>
      <c r="S5" s="1576"/>
      <c r="T5" s="1576"/>
      <c r="U5" s="1576"/>
    </row>
    <row r="6" spans="1:19" ht="9" customHeight="1">
      <c r="A6" s="4"/>
      <c r="B6" s="4"/>
      <c r="C6" s="4"/>
      <c r="F6" s="4"/>
      <c r="G6" s="4"/>
      <c r="J6" s="4"/>
      <c r="K6" s="4"/>
      <c r="N6" s="4"/>
      <c r="O6" s="4"/>
      <c r="R6" s="4"/>
      <c r="S6" s="4"/>
    </row>
    <row r="7" spans="1:21" ht="13.5" customHeight="1" thickBot="1">
      <c r="A7" s="1674" t="s">
        <v>155</v>
      </c>
      <c r="B7" s="1674"/>
      <c r="C7" s="1674"/>
      <c r="D7" s="1674"/>
      <c r="E7" s="1674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</row>
    <row r="8" spans="1:21" ht="12.75" customHeight="1" thickBot="1">
      <c r="A8" s="1673" t="s">
        <v>808</v>
      </c>
      <c r="B8" s="1677" t="s">
        <v>809</v>
      </c>
      <c r="C8" s="1678" t="s">
        <v>810</v>
      </c>
      <c r="D8" s="1678"/>
      <c r="E8" s="1678"/>
      <c r="F8" s="1671" t="s">
        <v>809</v>
      </c>
      <c r="G8" s="1669" t="s">
        <v>811</v>
      </c>
      <c r="H8" s="1669"/>
      <c r="I8" s="1670"/>
      <c r="J8" s="1671" t="s">
        <v>809</v>
      </c>
      <c r="K8" s="1669" t="s">
        <v>812</v>
      </c>
      <c r="L8" s="1669"/>
      <c r="M8" s="1670"/>
      <c r="N8" s="1671" t="s">
        <v>809</v>
      </c>
      <c r="O8" s="1669" t="s">
        <v>910</v>
      </c>
      <c r="P8" s="1669"/>
      <c r="Q8" s="1670"/>
      <c r="R8" s="1671" t="s">
        <v>809</v>
      </c>
      <c r="S8" s="1669" t="s">
        <v>1213</v>
      </c>
      <c r="T8" s="1669"/>
      <c r="U8" s="1670"/>
    </row>
    <row r="9" spans="1:21" s="1235" customFormat="1" ht="33.75" customHeight="1" thickBot="1">
      <c r="A9" s="1673"/>
      <c r="B9" s="1677"/>
      <c r="C9" s="1234" t="s">
        <v>813</v>
      </c>
      <c r="D9" s="1234" t="s">
        <v>814</v>
      </c>
      <c r="E9" s="826" t="s">
        <v>815</v>
      </c>
      <c r="F9" s="1679"/>
      <c r="G9" s="1250" t="s">
        <v>813</v>
      </c>
      <c r="H9" s="1250" t="s">
        <v>814</v>
      </c>
      <c r="I9" s="1251" t="s">
        <v>815</v>
      </c>
      <c r="J9" s="1672"/>
      <c r="K9" s="1234" t="s">
        <v>813</v>
      </c>
      <c r="L9" s="1234" t="s">
        <v>814</v>
      </c>
      <c r="M9" s="1239" t="s">
        <v>815</v>
      </c>
      <c r="N9" s="1672"/>
      <c r="O9" s="1234" t="s">
        <v>813</v>
      </c>
      <c r="P9" s="1234" t="s">
        <v>814</v>
      </c>
      <c r="Q9" s="1239" t="s">
        <v>815</v>
      </c>
      <c r="R9" s="1672"/>
      <c r="S9" s="1234" t="s">
        <v>813</v>
      </c>
      <c r="T9" s="1234" t="s">
        <v>814</v>
      </c>
      <c r="U9" s="1239" t="s">
        <v>815</v>
      </c>
    </row>
    <row r="10" spans="1:21" ht="15" customHeight="1" thickBot="1">
      <c r="A10" s="827" t="s">
        <v>2</v>
      </c>
      <c r="B10" s="1041">
        <f>SUM(B11:B27)</f>
        <v>557239</v>
      </c>
      <c r="C10" s="1041">
        <f>SUM(C11:C25)</f>
        <v>290780</v>
      </c>
      <c r="D10" s="1041">
        <f>SUM(D11:D25)</f>
        <v>17688</v>
      </c>
      <c r="E10" s="1244">
        <f>SUM(E11:E25)</f>
        <v>0</v>
      </c>
      <c r="F10" s="1058">
        <f>SUM(F11:F27)</f>
        <v>663709</v>
      </c>
      <c r="G10" s="1252">
        <f>SUM(G11:G27)</f>
        <v>646021</v>
      </c>
      <c r="H10" s="1252">
        <f>SUM(H11:H27)</f>
        <v>17688</v>
      </c>
      <c r="I10" s="1253">
        <f>SUM(I11:I25)</f>
        <v>0</v>
      </c>
      <c r="J10" s="1050">
        <f>SUM(J11:J27)</f>
        <v>669339</v>
      </c>
      <c r="K10" s="118">
        <f>SUM(K11:K27)</f>
        <v>646510</v>
      </c>
      <c r="L10" s="118">
        <f>SUM(L11:L27)</f>
        <v>22829</v>
      </c>
      <c r="M10" s="1240">
        <f>SUM(M11:M25)</f>
        <v>0</v>
      </c>
      <c r="N10" s="1050">
        <f>SUM(N11:N27)</f>
        <v>657710</v>
      </c>
      <c r="O10" s="118">
        <f>SUM(O11:O27)</f>
        <v>633286</v>
      </c>
      <c r="P10" s="118">
        <f>SUM(P11:P27)</f>
        <v>24424</v>
      </c>
      <c r="Q10" s="1240">
        <f>SUM(Q11:Q25)</f>
        <v>0</v>
      </c>
      <c r="R10" s="1050">
        <f>SUM(R11:R28)</f>
        <v>662522</v>
      </c>
      <c r="S10" s="118">
        <f>SUM(S11:S28)</f>
        <v>548411</v>
      </c>
      <c r="T10" s="118">
        <f>SUM(T11:T28)</f>
        <v>114111</v>
      </c>
      <c r="U10" s="1240">
        <f>SUM(U11:U28)</f>
        <v>0</v>
      </c>
    </row>
    <row r="11" spans="1:21" s="1" customFormat="1" ht="15" customHeight="1">
      <c r="A11" s="250" t="s">
        <v>816</v>
      </c>
      <c r="B11" s="1267">
        <v>551</v>
      </c>
      <c r="C11" s="1076"/>
      <c r="D11" s="1076">
        <v>551</v>
      </c>
      <c r="E11" s="1043"/>
      <c r="F11" s="1254">
        <v>551</v>
      </c>
      <c r="G11" s="1255"/>
      <c r="H11" s="1255">
        <v>551</v>
      </c>
      <c r="I11" s="1247"/>
      <c r="J11" s="1241">
        <v>551</v>
      </c>
      <c r="K11" s="828"/>
      <c r="L11" s="828">
        <v>551</v>
      </c>
      <c r="M11" s="1049"/>
      <c r="N11" s="1241">
        <v>551</v>
      </c>
      <c r="O11" s="828"/>
      <c r="P11" s="828">
        <v>551</v>
      </c>
      <c r="Q11" s="1049"/>
      <c r="R11" s="1241"/>
      <c r="S11" s="828"/>
      <c r="T11" s="828"/>
      <c r="U11" s="1049"/>
    </row>
    <row r="12" spans="1:21" s="1" customFormat="1" ht="15" customHeight="1">
      <c r="A12" s="242" t="s">
        <v>817</v>
      </c>
      <c r="B12" s="1242">
        <v>8200</v>
      </c>
      <c r="C12" s="665">
        <v>8200</v>
      </c>
      <c r="D12" s="665"/>
      <c r="E12" s="1045"/>
      <c r="F12" s="1245">
        <v>8200</v>
      </c>
      <c r="G12" s="1237">
        <v>8200</v>
      </c>
      <c r="H12" s="1237"/>
      <c r="I12" s="1248"/>
      <c r="J12" s="1242">
        <v>8200</v>
      </c>
      <c r="K12" s="665">
        <v>8200</v>
      </c>
      <c r="L12" s="665"/>
      <c r="M12" s="1045"/>
      <c r="N12" s="1242">
        <v>8200</v>
      </c>
      <c r="O12" s="665">
        <v>8200</v>
      </c>
      <c r="P12" s="665"/>
      <c r="Q12" s="1045"/>
      <c r="R12" s="1242">
        <v>6756</v>
      </c>
      <c r="S12" s="665">
        <v>6756</v>
      </c>
      <c r="T12" s="665"/>
      <c r="U12" s="1045"/>
    </row>
    <row r="13" spans="1:21" s="1" customFormat="1" ht="15" customHeight="1">
      <c r="A13" s="242" t="s">
        <v>818</v>
      </c>
      <c r="B13" s="1242">
        <v>130</v>
      </c>
      <c r="C13" s="831">
        <v>130</v>
      </c>
      <c r="D13" s="665"/>
      <c r="E13" s="1045"/>
      <c r="F13" s="1245">
        <v>130</v>
      </c>
      <c r="G13" s="1238">
        <v>130</v>
      </c>
      <c r="H13" s="1237"/>
      <c r="I13" s="1248"/>
      <c r="J13" s="1242">
        <v>130</v>
      </c>
      <c r="K13" s="831">
        <v>130</v>
      </c>
      <c r="L13" s="665"/>
      <c r="M13" s="1045"/>
      <c r="N13" s="1242">
        <v>130</v>
      </c>
      <c r="O13" s="831">
        <v>130</v>
      </c>
      <c r="P13" s="665"/>
      <c r="Q13" s="1045"/>
      <c r="R13" s="1242"/>
      <c r="S13" s="831"/>
      <c r="T13" s="665"/>
      <c r="U13" s="1045"/>
    </row>
    <row r="14" spans="1:21" s="1" customFormat="1" ht="15" customHeight="1">
      <c r="A14" s="242" t="s">
        <v>819</v>
      </c>
      <c r="B14" s="1242">
        <f>SUM(35014+236)</f>
        <v>35250</v>
      </c>
      <c r="C14" s="665">
        <v>35250</v>
      </c>
      <c r="D14" s="665"/>
      <c r="E14" s="1045"/>
      <c r="F14" s="1245">
        <v>35250</v>
      </c>
      <c r="G14" s="1237">
        <v>35250</v>
      </c>
      <c r="H14" s="1237"/>
      <c r="I14" s="1248"/>
      <c r="J14" s="1242">
        <v>35250</v>
      </c>
      <c r="K14" s="665">
        <v>35250</v>
      </c>
      <c r="L14" s="665"/>
      <c r="M14" s="1045"/>
      <c r="N14" s="1242">
        <v>35250</v>
      </c>
      <c r="O14" s="665">
        <v>35250</v>
      </c>
      <c r="P14" s="665"/>
      <c r="Q14" s="1045"/>
      <c r="R14" s="1242">
        <f>SUM(S14)</f>
        <v>36022</v>
      </c>
      <c r="S14" s="665">
        <f>SUM(35813+209)</f>
        <v>36022</v>
      </c>
      <c r="T14" s="665"/>
      <c r="U14" s="1045"/>
    </row>
    <row r="15" spans="1:21" s="1" customFormat="1" ht="15" customHeight="1">
      <c r="A15" s="242" t="s">
        <v>820</v>
      </c>
      <c r="B15" s="1242">
        <v>3210</v>
      </c>
      <c r="C15" s="665">
        <v>3010</v>
      </c>
      <c r="D15" s="665">
        <v>200</v>
      </c>
      <c r="E15" s="1045"/>
      <c r="F15" s="1245">
        <v>3210</v>
      </c>
      <c r="G15" s="1237">
        <v>3010</v>
      </c>
      <c r="H15" s="1237">
        <v>200</v>
      </c>
      <c r="I15" s="1248"/>
      <c r="J15" s="1242">
        <v>3210</v>
      </c>
      <c r="K15" s="665">
        <v>3010</v>
      </c>
      <c r="L15" s="665">
        <v>200</v>
      </c>
      <c r="M15" s="1045"/>
      <c r="N15" s="1242">
        <v>3274</v>
      </c>
      <c r="O15" s="665">
        <v>3074</v>
      </c>
      <c r="P15" s="665">
        <v>200</v>
      </c>
      <c r="Q15" s="1045"/>
      <c r="R15" s="1242"/>
      <c r="S15" s="665"/>
      <c r="T15" s="665"/>
      <c r="U15" s="1045"/>
    </row>
    <row r="16" spans="1:21" s="1" customFormat="1" ht="15" customHeight="1">
      <c r="A16" s="242" t="s">
        <v>1243</v>
      </c>
      <c r="B16" s="1242"/>
      <c r="C16" s="665"/>
      <c r="D16" s="665"/>
      <c r="E16" s="1045"/>
      <c r="F16" s="1245"/>
      <c r="G16" s="1237"/>
      <c r="H16" s="1237"/>
      <c r="I16" s="1248"/>
      <c r="J16" s="1242"/>
      <c r="K16" s="665"/>
      <c r="L16" s="665"/>
      <c r="M16" s="1045"/>
      <c r="N16" s="1242"/>
      <c r="O16" s="665"/>
      <c r="P16" s="665"/>
      <c r="Q16" s="1045"/>
      <c r="R16" s="1242">
        <v>2136</v>
      </c>
      <c r="S16" s="665">
        <v>2136</v>
      </c>
      <c r="T16" s="665"/>
      <c r="U16" s="1045"/>
    </row>
    <row r="17" spans="1:21" s="1" customFormat="1" ht="15" customHeight="1">
      <c r="A17" s="242" t="s">
        <v>1244</v>
      </c>
      <c r="B17" s="1242"/>
      <c r="C17" s="665"/>
      <c r="D17" s="665"/>
      <c r="E17" s="1045"/>
      <c r="F17" s="1245"/>
      <c r="G17" s="1237"/>
      <c r="H17" s="1237"/>
      <c r="I17" s="1248"/>
      <c r="J17" s="1242"/>
      <c r="K17" s="665"/>
      <c r="L17" s="665"/>
      <c r="M17" s="1045"/>
      <c r="N17" s="1242"/>
      <c r="O17" s="665"/>
      <c r="P17" s="665"/>
      <c r="Q17" s="1045"/>
      <c r="R17" s="1242">
        <v>116</v>
      </c>
      <c r="S17" s="665">
        <v>116</v>
      </c>
      <c r="T17" s="665"/>
      <c r="U17" s="1045"/>
    </row>
    <row r="18" spans="1:21" s="1" customFormat="1" ht="15" customHeight="1">
      <c r="A18" s="242" t="s">
        <v>1245</v>
      </c>
      <c r="B18" s="1242"/>
      <c r="C18" s="665"/>
      <c r="D18" s="665"/>
      <c r="E18" s="1045"/>
      <c r="F18" s="1245"/>
      <c r="G18" s="1237"/>
      <c r="H18" s="1237"/>
      <c r="I18" s="1248"/>
      <c r="J18" s="1242"/>
      <c r="K18" s="665"/>
      <c r="L18" s="665"/>
      <c r="M18" s="1045"/>
      <c r="N18" s="1242"/>
      <c r="O18" s="665"/>
      <c r="P18" s="665"/>
      <c r="Q18" s="1045"/>
      <c r="R18" s="1242">
        <v>116</v>
      </c>
      <c r="S18" s="665">
        <v>116</v>
      </c>
      <c r="T18" s="665"/>
      <c r="U18" s="1045"/>
    </row>
    <row r="19" spans="1:21" s="1" customFormat="1" ht="15" customHeight="1">
      <c r="A19" s="242" t="s">
        <v>1246</v>
      </c>
      <c r="B19" s="1242"/>
      <c r="C19" s="665"/>
      <c r="D19" s="665"/>
      <c r="E19" s="1045"/>
      <c r="F19" s="1245"/>
      <c r="G19" s="1237"/>
      <c r="H19" s="1237"/>
      <c r="I19" s="1248"/>
      <c r="J19" s="1242"/>
      <c r="K19" s="665"/>
      <c r="L19" s="665"/>
      <c r="M19" s="1045"/>
      <c r="N19" s="1242"/>
      <c r="O19" s="665"/>
      <c r="P19" s="665"/>
      <c r="Q19" s="1045"/>
      <c r="R19" s="1242">
        <v>1681</v>
      </c>
      <c r="S19" s="665">
        <v>1681</v>
      </c>
      <c r="T19" s="665"/>
      <c r="U19" s="1045"/>
    </row>
    <row r="20" spans="1:21" s="1" customFormat="1" ht="15" customHeight="1">
      <c r="A20" s="242" t="s">
        <v>821</v>
      </c>
      <c r="B20" s="1242">
        <v>88748</v>
      </c>
      <c r="C20" s="665">
        <v>88748</v>
      </c>
      <c r="D20" s="665"/>
      <c r="E20" s="1045"/>
      <c r="F20" s="1245">
        <v>157456</v>
      </c>
      <c r="G20" s="1237">
        <v>157456</v>
      </c>
      <c r="H20" s="1237"/>
      <c r="I20" s="1248"/>
      <c r="J20" s="1242">
        <v>303181</v>
      </c>
      <c r="K20" s="665">
        <v>303181</v>
      </c>
      <c r="L20" s="665"/>
      <c r="M20" s="1045"/>
      <c r="N20" s="1242">
        <v>288511</v>
      </c>
      <c r="O20" s="665">
        <v>288511</v>
      </c>
      <c r="P20" s="665"/>
      <c r="Q20" s="1045"/>
      <c r="R20" s="1242">
        <v>226953</v>
      </c>
      <c r="S20" s="665">
        <v>226953</v>
      </c>
      <c r="T20" s="665"/>
      <c r="U20" s="1045"/>
    </row>
    <row r="21" spans="1:21" s="1" customFormat="1" ht="15" customHeight="1">
      <c r="A21" s="242" t="s">
        <v>1247</v>
      </c>
      <c r="B21" s="1242"/>
      <c r="C21" s="665"/>
      <c r="D21" s="665"/>
      <c r="E21" s="1045"/>
      <c r="F21" s="1245"/>
      <c r="G21" s="1237"/>
      <c r="H21" s="1237"/>
      <c r="I21" s="1248"/>
      <c r="J21" s="1242"/>
      <c r="K21" s="665"/>
      <c r="L21" s="665"/>
      <c r="M21" s="1045"/>
      <c r="N21" s="1242"/>
      <c r="O21" s="665"/>
      <c r="P21" s="665"/>
      <c r="Q21" s="1045"/>
      <c r="R21" s="1242">
        <v>33572</v>
      </c>
      <c r="S21" s="665"/>
      <c r="T21" s="665">
        <v>33572</v>
      </c>
      <c r="U21" s="1045"/>
    </row>
    <row r="22" spans="1:21" s="1" customFormat="1" ht="15" customHeight="1">
      <c r="A22" s="242" t="s">
        <v>347</v>
      </c>
      <c r="B22" s="1242">
        <v>31264</v>
      </c>
      <c r="C22" s="665">
        <v>15000</v>
      </c>
      <c r="D22" s="665">
        <v>16264</v>
      </c>
      <c r="E22" s="1045"/>
      <c r="F22" s="1245">
        <v>32112</v>
      </c>
      <c r="G22" s="1237">
        <v>15848</v>
      </c>
      <c r="H22" s="1237">
        <v>16264</v>
      </c>
      <c r="I22" s="1248"/>
      <c r="J22" s="1242">
        <v>34077</v>
      </c>
      <c r="K22" s="665">
        <v>12672</v>
      </c>
      <c r="L22" s="665">
        <v>21405</v>
      </c>
      <c r="M22" s="1045"/>
      <c r="N22" s="1242">
        <v>34172</v>
      </c>
      <c r="O22" s="665">
        <v>11172</v>
      </c>
      <c r="P22" s="665">
        <v>23000</v>
      </c>
      <c r="Q22" s="1045"/>
      <c r="R22" s="1242"/>
      <c r="S22" s="665"/>
      <c r="T22" s="665"/>
      <c r="U22" s="1045"/>
    </row>
    <row r="23" spans="1:21" s="1" customFormat="1" ht="15" customHeight="1">
      <c r="A23" s="242" t="s">
        <v>822</v>
      </c>
      <c r="B23" s="1242"/>
      <c r="C23" s="665"/>
      <c r="D23" s="665"/>
      <c r="E23" s="1045"/>
      <c r="F23" s="1245">
        <v>7406</v>
      </c>
      <c r="G23" s="1237">
        <v>7406</v>
      </c>
      <c r="H23" s="1237"/>
      <c r="I23" s="1248"/>
      <c r="J23" s="1242">
        <v>9718</v>
      </c>
      <c r="K23" s="665">
        <v>9718</v>
      </c>
      <c r="L23" s="665"/>
      <c r="M23" s="1045"/>
      <c r="N23" s="1242">
        <v>10204</v>
      </c>
      <c r="O23" s="665">
        <v>10204</v>
      </c>
      <c r="P23" s="665"/>
      <c r="Q23" s="1045"/>
      <c r="R23" s="1242">
        <v>11841</v>
      </c>
      <c r="S23" s="665">
        <v>11841</v>
      </c>
      <c r="T23" s="665"/>
      <c r="U23" s="1045"/>
    </row>
    <row r="24" spans="1:21" s="1" customFormat="1" ht="15" customHeight="1">
      <c r="A24" s="261" t="s">
        <v>824</v>
      </c>
      <c r="B24" s="1243">
        <v>140442</v>
      </c>
      <c r="C24" s="186">
        <v>140442</v>
      </c>
      <c r="D24" s="186"/>
      <c r="E24" s="1047"/>
      <c r="F24" s="1246">
        <v>166356</v>
      </c>
      <c r="G24" s="1237">
        <v>166356</v>
      </c>
      <c r="H24" s="1237"/>
      <c r="I24" s="1249"/>
      <c r="J24" s="1243"/>
      <c r="K24" s="186"/>
      <c r="L24" s="186"/>
      <c r="M24" s="1047"/>
      <c r="N24" s="1243"/>
      <c r="O24" s="186"/>
      <c r="P24" s="186"/>
      <c r="Q24" s="1047"/>
      <c r="R24" s="1243"/>
      <c r="S24" s="186"/>
      <c r="T24" s="186"/>
      <c r="U24" s="1047"/>
    </row>
    <row r="25" spans="1:21" s="1" customFormat="1" ht="15" customHeight="1">
      <c r="A25" s="242" t="s">
        <v>825</v>
      </c>
      <c r="B25" s="1242">
        <v>673</v>
      </c>
      <c r="C25" s="665"/>
      <c r="D25" s="831">
        <v>673</v>
      </c>
      <c r="E25" s="1045"/>
      <c r="F25" s="1245">
        <v>673</v>
      </c>
      <c r="G25" s="1237"/>
      <c r="H25" s="1238">
        <v>673</v>
      </c>
      <c r="I25" s="1248"/>
      <c r="J25" s="1242">
        <v>673</v>
      </c>
      <c r="K25" s="665"/>
      <c r="L25" s="831">
        <v>673</v>
      </c>
      <c r="M25" s="1045"/>
      <c r="N25" s="1242">
        <v>673</v>
      </c>
      <c r="O25" s="665"/>
      <c r="P25" s="831">
        <v>673</v>
      </c>
      <c r="Q25" s="1045"/>
      <c r="R25" s="1242">
        <v>539</v>
      </c>
      <c r="S25" s="665"/>
      <c r="T25" s="831">
        <v>539</v>
      </c>
      <c r="U25" s="1045"/>
    </row>
    <row r="26" spans="1:21" s="1" customFormat="1" ht="15" customHeight="1">
      <c r="A26" s="261" t="s">
        <v>1248</v>
      </c>
      <c r="B26" s="1243"/>
      <c r="C26" s="186"/>
      <c r="D26" s="1236"/>
      <c r="E26" s="1047"/>
      <c r="F26" s="1246"/>
      <c r="G26" s="1237"/>
      <c r="H26" s="1238"/>
      <c r="I26" s="1249"/>
      <c r="J26" s="1243"/>
      <c r="K26" s="186"/>
      <c r="L26" s="1236"/>
      <c r="M26" s="1047"/>
      <c r="N26" s="1243"/>
      <c r="O26" s="186"/>
      <c r="P26" s="1236"/>
      <c r="Q26" s="1047"/>
      <c r="R26" s="1243">
        <v>80000</v>
      </c>
      <c r="S26" s="186"/>
      <c r="T26" s="1236">
        <v>80000</v>
      </c>
      <c r="U26" s="1047"/>
    </row>
    <row r="27" spans="1:21" s="1" customFormat="1" ht="15" customHeight="1">
      <c r="A27" s="256" t="s">
        <v>802</v>
      </c>
      <c r="B27" s="1243">
        <v>248771</v>
      </c>
      <c r="C27" s="186">
        <v>248771</v>
      </c>
      <c r="D27" s="1236">
        <v>0</v>
      </c>
      <c r="E27" s="1047"/>
      <c r="F27" s="1246">
        <v>252365</v>
      </c>
      <c r="G27" s="1237">
        <v>252365</v>
      </c>
      <c r="H27" s="1238"/>
      <c r="I27" s="1249"/>
      <c r="J27" s="1243">
        <v>274349</v>
      </c>
      <c r="K27" s="186">
        <v>274349</v>
      </c>
      <c r="L27" s="1236"/>
      <c r="M27" s="1047"/>
      <c r="N27" s="1243">
        <v>276745</v>
      </c>
      <c r="O27" s="186">
        <v>276745</v>
      </c>
      <c r="P27" s="1236"/>
      <c r="Q27" s="1047"/>
      <c r="R27" s="1243">
        <v>262445</v>
      </c>
      <c r="S27" s="186">
        <v>262445</v>
      </c>
      <c r="T27" s="1236"/>
      <c r="U27" s="1047"/>
    </row>
    <row r="28" spans="1:21" s="1" customFormat="1" ht="15" customHeight="1" thickBot="1">
      <c r="A28" s="1270" t="s">
        <v>1242</v>
      </c>
      <c r="B28" s="1268"/>
      <c r="C28" s="1257"/>
      <c r="D28" s="1258"/>
      <c r="E28" s="1269"/>
      <c r="F28" s="1256"/>
      <c r="G28" s="1257"/>
      <c r="H28" s="1258"/>
      <c r="I28" s="1259"/>
      <c r="J28" s="1263"/>
      <c r="K28" s="1264"/>
      <c r="L28" s="1265"/>
      <c r="M28" s="1266"/>
      <c r="N28" s="1263"/>
      <c r="O28" s="1264"/>
      <c r="P28" s="1265"/>
      <c r="Q28" s="1266"/>
      <c r="R28" s="1263">
        <v>345</v>
      </c>
      <c r="S28" s="1264">
        <v>345</v>
      </c>
      <c r="T28" s="1265"/>
      <c r="U28" s="1266"/>
    </row>
    <row r="29" spans="1:21" s="12" customFormat="1" ht="15" customHeight="1" thickBot="1">
      <c r="A29" s="1271" t="s">
        <v>826</v>
      </c>
      <c r="B29" s="1012">
        <f>SUM(B30:B40)</f>
        <v>102425</v>
      </c>
      <c r="C29" s="833">
        <f>SUM(C33:C40)</f>
        <v>69908</v>
      </c>
      <c r="D29" s="833">
        <f>SUM(D33:D40)</f>
        <v>0</v>
      </c>
      <c r="E29" s="834">
        <f>SUM(E33:E40)</f>
        <v>0</v>
      </c>
      <c r="F29" s="1260">
        <f>SUM(F30:F40)</f>
        <v>104393</v>
      </c>
      <c r="G29" s="1261">
        <f>SUM(G30:G40)</f>
        <v>104393</v>
      </c>
      <c r="H29" s="1261">
        <f>SUM(H33:H40)</f>
        <v>0</v>
      </c>
      <c r="I29" s="1262">
        <f>SUM(I33:I40)</f>
        <v>0</v>
      </c>
      <c r="J29" s="1058">
        <f>SUM(J30:J40)</f>
        <v>108076</v>
      </c>
      <c r="K29" s="1016">
        <f>SUM(K30:K40)</f>
        <v>108076</v>
      </c>
      <c r="L29" s="1016">
        <f>SUM(L33:L40)</f>
        <v>0</v>
      </c>
      <c r="M29" s="1018">
        <f>SUM(M33:M40)</f>
        <v>0</v>
      </c>
      <c r="N29" s="1058">
        <f>SUM(N30:N40)</f>
        <v>108076</v>
      </c>
      <c r="O29" s="1016">
        <f>SUM(O30:O40)</f>
        <v>108076</v>
      </c>
      <c r="P29" s="1016">
        <f>SUM(P33:P40)</f>
        <v>0</v>
      </c>
      <c r="Q29" s="1018">
        <f>SUM(Q33:Q40)</f>
        <v>0</v>
      </c>
      <c r="R29" s="1058">
        <f>SUM(R30:R40)</f>
        <v>107832</v>
      </c>
      <c r="S29" s="1016">
        <f>SUM(S30:S40)</f>
        <v>91168</v>
      </c>
      <c r="T29" s="1016">
        <f>SUM(T33:T40)</f>
        <v>16664</v>
      </c>
      <c r="U29" s="1018">
        <f>SUM(U33:U40)</f>
        <v>0</v>
      </c>
    </row>
    <row r="30" spans="1:21" s="1" customFormat="1" ht="15" customHeight="1">
      <c r="A30" s="250" t="s">
        <v>508</v>
      </c>
      <c r="B30" s="251">
        <v>27847</v>
      </c>
      <c r="C30" s="828">
        <v>27847</v>
      </c>
      <c r="D30" s="828"/>
      <c r="E30" s="830"/>
      <c r="F30" s="251">
        <v>27847</v>
      </c>
      <c r="G30" s="829">
        <v>27847</v>
      </c>
      <c r="H30" s="1048"/>
      <c r="I30" s="1049"/>
      <c r="J30" s="1032">
        <v>27847</v>
      </c>
      <c r="K30" s="828">
        <v>27847</v>
      </c>
      <c r="L30" s="828"/>
      <c r="M30" s="830"/>
      <c r="N30" s="251">
        <v>27847</v>
      </c>
      <c r="O30" s="828">
        <v>27847</v>
      </c>
      <c r="P30" s="828"/>
      <c r="Q30" s="830"/>
      <c r="R30" s="251">
        <v>26281</v>
      </c>
      <c r="S30" s="828">
        <v>26281</v>
      </c>
      <c r="T30" s="828"/>
      <c r="U30" s="830"/>
    </row>
    <row r="31" spans="1:21" s="1" customFormat="1" ht="15" customHeight="1">
      <c r="A31" s="250" t="s">
        <v>513</v>
      </c>
      <c r="B31" s="251">
        <v>4479</v>
      </c>
      <c r="C31" s="828">
        <v>4479</v>
      </c>
      <c r="D31" s="828"/>
      <c r="E31" s="830"/>
      <c r="F31" s="251">
        <v>4479</v>
      </c>
      <c r="G31" s="829">
        <v>4479</v>
      </c>
      <c r="H31" s="1048"/>
      <c r="I31" s="1049"/>
      <c r="J31" s="1032">
        <v>4479</v>
      </c>
      <c r="K31" s="828">
        <v>4479</v>
      </c>
      <c r="L31" s="828"/>
      <c r="M31" s="830"/>
      <c r="N31" s="251">
        <v>4479</v>
      </c>
      <c r="O31" s="828">
        <v>4479</v>
      </c>
      <c r="P31" s="828"/>
      <c r="Q31" s="830"/>
      <c r="R31" s="251">
        <v>8053</v>
      </c>
      <c r="S31" s="828">
        <v>8053</v>
      </c>
      <c r="T31" s="828"/>
      <c r="U31" s="830"/>
    </row>
    <row r="32" spans="1:21" s="1" customFormat="1" ht="15" customHeight="1">
      <c r="A32" s="250" t="s">
        <v>518</v>
      </c>
      <c r="B32" s="251">
        <v>191</v>
      </c>
      <c r="C32" s="828">
        <v>191</v>
      </c>
      <c r="D32" s="828"/>
      <c r="E32" s="830"/>
      <c r="F32" s="251">
        <v>191</v>
      </c>
      <c r="G32" s="829">
        <v>191</v>
      </c>
      <c r="H32" s="1048"/>
      <c r="I32" s="1049"/>
      <c r="J32" s="1032">
        <v>191</v>
      </c>
      <c r="K32" s="828">
        <v>191</v>
      </c>
      <c r="L32" s="828"/>
      <c r="M32" s="830"/>
      <c r="N32" s="251">
        <v>191</v>
      </c>
      <c r="O32" s="828">
        <v>191</v>
      </c>
      <c r="P32" s="828"/>
      <c r="Q32" s="830"/>
      <c r="R32" s="251">
        <v>4</v>
      </c>
      <c r="S32" s="828">
        <v>4</v>
      </c>
      <c r="T32" s="828"/>
      <c r="U32" s="830"/>
    </row>
    <row r="33" spans="1:21" s="1" customFormat="1" ht="15" customHeight="1">
      <c r="A33" s="242" t="s">
        <v>827</v>
      </c>
      <c r="B33" s="171">
        <v>1500</v>
      </c>
      <c r="C33" s="665">
        <v>1500</v>
      </c>
      <c r="D33" s="665"/>
      <c r="E33" s="354"/>
      <c r="F33" s="171">
        <v>1400</v>
      </c>
      <c r="G33" s="635">
        <v>1400</v>
      </c>
      <c r="H33" s="1044"/>
      <c r="I33" s="1045"/>
      <c r="J33" s="1033">
        <v>1400</v>
      </c>
      <c r="K33" s="665">
        <v>1400</v>
      </c>
      <c r="L33" s="665"/>
      <c r="M33" s="354"/>
      <c r="N33" s="171">
        <v>1400</v>
      </c>
      <c r="O33" s="665">
        <v>1400</v>
      </c>
      <c r="P33" s="665"/>
      <c r="Q33" s="354"/>
      <c r="R33" s="171">
        <v>538</v>
      </c>
      <c r="S33" s="665">
        <v>538</v>
      </c>
      <c r="T33" s="665"/>
      <c r="U33" s="354"/>
    </row>
    <row r="34" spans="1:21" s="1" customFormat="1" ht="15" customHeight="1">
      <c r="A34" s="242" t="s">
        <v>828</v>
      </c>
      <c r="B34" s="171">
        <v>430</v>
      </c>
      <c r="C34" s="831">
        <v>430</v>
      </c>
      <c r="D34" s="665"/>
      <c r="E34" s="354"/>
      <c r="F34" s="171">
        <v>430</v>
      </c>
      <c r="G34" s="1021">
        <v>430</v>
      </c>
      <c r="H34" s="1044"/>
      <c r="I34" s="1045"/>
      <c r="J34" s="1033">
        <v>430</v>
      </c>
      <c r="K34" s="831">
        <v>430</v>
      </c>
      <c r="L34" s="665"/>
      <c r="M34" s="354"/>
      <c r="N34" s="171">
        <v>430</v>
      </c>
      <c r="O34" s="831">
        <v>430</v>
      </c>
      <c r="P34" s="665"/>
      <c r="Q34" s="354"/>
      <c r="R34" s="171">
        <v>264</v>
      </c>
      <c r="S34" s="831">
        <v>264</v>
      </c>
      <c r="T34" s="665"/>
      <c r="U34" s="354"/>
    </row>
    <row r="35" spans="1:21" s="1" customFormat="1" ht="15" customHeight="1">
      <c r="A35" s="242" t="s">
        <v>829</v>
      </c>
      <c r="B35" s="171">
        <v>27780</v>
      </c>
      <c r="C35" s="665">
        <v>27780</v>
      </c>
      <c r="D35" s="665"/>
      <c r="E35" s="354"/>
      <c r="F35" s="171">
        <v>34303</v>
      </c>
      <c r="G35" s="635">
        <v>34303</v>
      </c>
      <c r="H35" s="1044"/>
      <c r="I35" s="1045"/>
      <c r="J35" s="1033">
        <v>34303</v>
      </c>
      <c r="K35" s="665">
        <v>34303</v>
      </c>
      <c r="L35" s="665"/>
      <c r="M35" s="354"/>
      <c r="N35" s="171">
        <v>34303</v>
      </c>
      <c r="O35" s="665">
        <v>34303</v>
      </c>
      <c r="P35" s="665"/>
      <c r="Q35" s="354"/>
      <c r="R35" s="171">
        <v>36156</v>
      </c>
      <c r="S35" s="665">
        <v>36156</v>
      </c>
      <c r="T35" s="665"/>
      <c r="U35" s="354"/>
    </row>
    <row r="36" spans="1:21" s="1" customFormat="1" ht="17.25" customHeight="1">
      <c r="A36" s="242" t="s">
        <v>745</v>
      </c>
      <c r="B36" s="171">
        <v>6349</v>
      </c>
      <c r="C36" s="665">
        <v>6349</v>
      </c>
      <c r="D36" s="665"/>
      <c r="E36" s="354"/>
      <c r="F36" s="171">
        <v>6349</v>
      </c>
      <c r="G36" s="635">
        <v>6349</v>
      </c>
      <c r="H36" s="1044"/>
      <c r="I36" s="1045"/>
      <c r="J36" s="1033">
        <v>6349</v>
      </c>
      <c r="K36" s="665">
        <v>6349</v>
      </c>
      <c r="L36" s="665"/>
      <c r="M36" s="354"/>
      <c r="N36" s="171">
        <v>6349</v>
      </c>
      <c r="O36" s="665">
        <v>6349</v>
      </c>
      <c r="P36" s="665"/>
      <c r="Q36" s="354"/>
      <c r="R36" s="171">
        <v>6094</v>
      </c>
      <c r="S36" s="665">
        <v>6094</v>
      </c>
      <c r="T36" s="665"/>
      <c r="U36" s="354"/>
    </row>
    <row r="37" spans="1:21" s="1" customFormat="1" ht="15" customHeight="1">
      <c r="A37" s="242" t="s">
        <v>830</v>
      </c>
      <c r="B37" s="171">
        <v>800</v>
      </c>
      <c r="C37" s="665">
        <v>800</v>
      </c>
      <c r="D37" s="665"/>
      <c r="E37" s="354"/>
      <c r="F37" s="171">
        <v>400</v>
      </c>
      <c r="G37" s="635">
        <v>400</v>
      </c>
      <c r="H37" s="1044"/>
      <c r="I37" s="1045"/>
      <c r="J37" s="1033">
        <v>400</v>
      </c>
      <c r="K37" s="665">
        <v>400</v>
      </c>
      <c r="L37" s="665"/>
      <c r="M37" s="354"/>
      <c r="N37" s="171">
        <v>400</v>
      </c>
      <c r="O37" s="665">
        <v>400</v>
      </c>
      <c r="P37" s="665"/>
      <c r="Q37" s="354"/>
      <c r="R37" s="171">
        <v>638</v>
      </c>
      <c r="S37" s="665">
        <v>638</v>
      </c>
      <c r="T37" s="665"/>
      <c r="U37" s="354"/>
    </row>
    <row r="38" spans="1:21" s="1" customFormat="1" ht="15" customHeight="1">
      <c r="A38" s="242" t="s">
        <v>831</v>
      </c>
      <c r="B38" s="171">
        <v>18041</v>
      </c>
      <c r="C38" s="665">
        <v>18041</v>
      </c>
      <c r="D38" s="665"/>
      <c r="E38" s="354"/>
      <c r="F38" s="171">
        <v>13986</v>
      </c>
      <c r="G38" s="635">
        <v>13986</v>
      </c>
      <c r="H38" s="1044"/>
      <c r="I38" s="1045"/>
      <c r="J38" s="1033">
        <v>15669</v>
      </c>
      <c r="K38" s="665">
        <v>15669</v>
      </c>
      <c r="L38" s="665"/>
      <c r="M38" s="354"/>
      <c r="N38" s="171">
        <v>15669</v>
      </c>
      <c r="O38" s="665">
        <v>15669</v>
      </c>
      <c r="P38" s="665"/>
      <c r="Q38" s="354"/>
      <c r="R38" s="171">
        <f>SUM(7159+5981)</f>
        <v>13140</v>
      </c>
      <c r="S38" s="665">
        <v>13140</v>
      </c>
      <c r="T38" s="665"/>
      <c r="U38" s="354"/>
    </row>
    <row r="39" spans="1:21" s="1" customFormat="1" ht="15" customHeight="1">
      <c r="A39" s="242" t="s">
        <v>832</v>
      </c>
      <c r="B39" s="171">
        <v>720</v>
      </c>
      <c r="C39" s="665">
        <v>720</v>
      </c>
      <c r="D39" s="665"/>
      <c r="E39" s="354"/>
      <c r="F39" s="171">
        <v>720</v>
      </c>
      <c r="G39" s="635">
        <v>720</v>
      </c>
      <c r="H39" s="1044"/>
      <c r="I39" s="1045"/>
      <c r="J39" s="1033">
        <v>720</v>
      </c>
      <c r="K39" s="665">
        <v>720</v>
      </c>
      <c r="L39" s="665"/>
      <c r="M39" s="354"/>
      <c r="N39" s="171">
        <v>720</v>
      </c>
      <c r="O39" s="665">
        <v>720</v>
      </c>
      <c r="P39" s="665"/>
      <c r="Q39" s="354"/>
      <c r="R39" s="171"/>
      <c r="S39" s="665"/>
      <c r="T39" s="665"/>
      <c r="U39" s="354"/>
    </row>
    <row r="40" spans="1:21" s="1" customFormat="1" ht="15" customHeight="1" thickBot="1">
      <c r="A40" s="261" t="s">
        <v>833</v>
      </c>
      <c r="B40" s="185">
        <v>14288</v>
      </c>
      <c r="C40" s="186">
        <v>14288</v>
      </c>
      <c r="D40" s="186"/>
      <c r="E40" s="664"/>
      <c r="F40" s="185">
        <v>14288</v>
      </c>
      <c r="G40" s="832">
        <v>14288</v>
      </c>
      <c r="H40" s="1046"/>
      <c r="I40" s="1047"/>
      <c r="J40" s="1034">
        <v>16288</v>
      </c>
      <c r="K40" s="186">
        <v>16288</v>
      </c>
      <c r="L40" s="186"/>
      <c r="M40" s="664"/>
      <c r="N40" s="185">
        <v>16288</v>
      </c>
      <c r="O40" s="186">
        <v>16288</v>
      </c>
      <c r="P40" s="186"/>
      <c r="Q40" s="664"/>
      <c r="R40" s="185">
        <v>16664</v>
      </c>
      <c r="S40" s="186"/>
      <c r="T40" s="186">
        <v>16664</v>
      </c>
      <c r="U40" s="664"/>
    </row>
    <row r="41" spans="1:21" ht="15" customHeight="1" thickBot="1">
      <c r="A41" s="1069" t="s">
        <v>305</v>
      </c>
      <c r="B41" s="1041">
        <v>77406</v>
      </c>
      <c r="C41" s="1074"/>
      <c r="D41" s="1074">
        <f>SUM(D42:D43)</f>
        <v>0</v>
      </c>
      <c r="E41" s="1075">
        <v>77406</v>
      </c>
      <c r="F41" s="118">
        <f>SUM(F42:F43)</f>
        <v>77432</v>
      </c>
      <c r="G41" s="1022"/>
      <c r="H41" s="1050">
        <f>SUM(H42:H43)</f>
        <v>0</v>
      </c>
      <c r="I41" s="1051">
        <v>77432</v>
      </c>
      <c r="J41" s="1035">
        <f>SUM(J42:J43)</f>
        <v>77432</v>
      </c>
      <c r="K41" s="836"/>
      <c r="L41" s="836">
        <f>SUM(L42:L43)</f>
        <v>0</v>
      </c>
      <c r="M41" s="837">
        <v>77432</v>
      </c>
      <c r="N41" s="1041">
        <f>SUM(N42:N44)</f>
        <v>76902</v>
      </c>
      <c r="O41" s="1074"/>
      <c r="P41" s="1074">
        <f>SUM(P42:P43)</f>
        <v>0</v>
      </c>
      <c r="Q41" s="1075">
        <v>76902</v>
      </c>
      <c r="R41" s="1041">
        <f>SUM(R42:R44)</f>
        <v>69712</v>
      </c>
      <c r="S41" s="1074"/>
      <c r="T41" s="1074">
        <f>SUM(T42:T43)</f>
        <v>0</v>
      </c>
      <c r="U41" s="1075">
        <v>69712</v>
      </c>
    </row>
    <row r="42" spans="1:21" s="348" customFormat="1" ht="15" customHeight="1">
      <c r="A42" s="1278" t="s">
        <v>834</v>
      </c>
      <c r="B42" s="1272">
        <v>77406</v>
      </c>
      <c r="C42" s="1273"/>
      <c r="D42" s="1273"/>
      <c r="E42" s="1274">
        <v>77406</v>
      </c>
      <c r="F42" s="1007">
        <v>74378</v>
      </c>
      <c r="G42" s="1023"/>
      <c r="H42" s="1052"/>
      <c r="I42" s="1053">
        <v>74378</v>
      </c>
      <c r="J42" s="1007">
        <v>74378</v>
      </c>
      <c r="K42" s="1008"/>
      <c r="L42" s="1008"/>
      <c r="M42" s="1023">
        <v>74378</v>
      </c>
      <c r="N42" s="1272">
        <v>72897</v>
      </c>
      <c r="O42" s="1273">
        <v>0</v>
      </c>
      <c r="P42" s="1273"/>
      <c r="Q42" s="1274">
        <v>72897</v>
      </c>
      <c r="R42" s="1272">
        <v>66592</v>
      </c>
      <c r="S42" s="1273">
        <v>0</v>
      </c>
      <c r="T42" s="1273"/>
      <c r="U42" s="1274">
        <v>66592</v>
      </c>
    </row>
    <row r="43" spans="1:21" s="348" customFormat="1" ht="15" customHeight="1">
      <c r="A43" s="1279" t="s">
        <v>429</v>
      </c>
      <c r="B43" s="1054">
        <v>0</v>
      </c>
      <c r="C43" s="1010">
        <v>0</v>
      </c>
      <c r="D43" s="1010">
        <v>0</v>
      </c>
      <c r="E43" s="1055">
        <v>0</v>
      </c>
      <c r="F43" s="1011">
        <v>3054</v>
      </c>
      <c r="G43" s="1024"/>
      <c r="H43" s="1054"/>
      <c r="I43" s="1055">
        <v>3054</v>
      </c>
      <c r="J43" s="1011">
        <v>3054</v>
      </c>
      <c r="K43" s="1010"/>
      <c r="L43" s="1010"/>
      <c r="M43" s="1024">
        <v>3054</v>
      </c>
      <c r="N43" s="1054">
        <v>3054</v>
      </c>
      <c r="O43" s="1010">
        <v>0</v>
      </c>
      <c r="P43" s="1010"/>
      <c r="Q43" s="1055">
        <v>3054</v>
      </c>
      <c r="R43" s="1054">
        <v>2169</v>
      </c>
      <c r="S43" s="1010">
        <v>0</v>
      </c>
      <c r="T43" s="1010"/>
      <c r="U43" s="1055">
        <v>2169</v>
      </c>
    </row>
    <row r="44" spans="1:21" s="348" customFormat="1" ht="15" customHeight="1" thickBot="1">
      <c r="A44" s="1280" t="s">
        <v>909</v>
      </c>
      <c r="B44" s="1275"/>
      <c r="C44" s="1276"/>
      <c r="D44" s="1276"/>
      <c r="E44" s="1277"/>
      <c r="F44" s="1013"/>
      <c r="G44" s="1025"/>
      <c r="H44" s="1056"/>
      <c r="I44" s="1057"/>
      <c r="J44" s="1013"/>
      <c r="K44" s="1014"/>
      <c r="L44" s="1014"/>
      <c r="M44" s="1025"/>
      <c r="N44" s="1275">
        <v>951</v>
      </c>
      <c r="O44" s="1276"/>
      <c r="P44" s="1276"/>
      <c r="Q44" s="1277">
        <v>951</v>
      </c>
      <c r="R44" s="1275">
        <v>951</v>
      </c>
      <c r="S44" s="1276"/>
      <c r="T44" s="1276"/>
      <c r="U44" s="1277">
        <v>951</v>
      </c>
    </row>
    <row r="45" spans="1:21" ht="15" customHeight="1" thickBot="1">
      <c r="A45" s="1271" t="s">
        <v>835</v>
      </c>
      <c r="B45" s="1015">
        <f aca="true" t="shared" si="0" ref="B45:M45">SUM(B46:B53)</f>
        <v>104966</v>
      </c>
      <c r="C45" s="1016">
        <f t="shared" si="0"/>
        <v>98168</v>
      </c>
      <c r="D45" s="1016">
        <f t="shared" si="0"/>
        <v>6798</v>
      </c>
      <c r="E45" s="1017">
        <f t="shared" si="0"/>
        <v>0</v>
      </c>
      <c r="F45" s="1016">
        <f t="shared" si="0"/>
        <v>105612</v>
      </c>
      <c r="G45" s="1026">
        <f t="shared" si="0"/>
        <v>98547</v>
      </c>
      <c r="H45" s="1058">
        <f t="shared" si="0"/>
        <v>7065</v>
      </c>
      <c r="I45" s="1018">
        <f t="shared" si="0"/>
        <v>0</v>
      </c>
      <c r="J45" s="1015">
        <f t="shared" si="0"/>
        <v>107495</v>
      </c>
      <c r="K45" s="1016">
        <f t="shared" si="0"/>
        <v>99757</v>
      </c>
      <c r="L45" s="1016">
        <f t="shared" si="0"/>
        <v>7738</v>
      </c>
      <c r="M45" s="1017">
        <f t="shared" si="0"/>
        <v>0</v>
      </c>
      <c r="N45" s="1016">
        <f aca="true" t="shared" si="1" ref="N45:U45">SUM(N46:N53)</f>
        <v>108818</v>
      </c>
      <c r="O45" s="1016">
        <f t="shared" si="1"/>
        <v>101080</v>
      </c>
      <c r="P45" s="1016">
        <f t="shared" si="1"/>
        <v>7738</v>
      </c>
      <c r="Q45" s="1018">
        <f t="shared" si="1"/>
        <v>0</v>
      </c>
      <c r="R45" s="1016">
        <f t="shared" si="1"/>
        <v>106798</v>
      </c>
      <c r="S45" s="1016">
        <f t="shared" si="1"/>
        <v>98972</v>
      </c>
      <c r="T45" s="1016">
        <f t="shared" si="1"/>
        <v>7826</v>
      </c>
      <c r="U45" s="1018">
        <f t="shared" si="1"/>
        <v>0</v>
      </c>
    </row>
    <row r="46" spans="1:21" s="348" customFormat="1" ht="15" customHeight="1">
      <c r="A46" s="250" t="s">
        <v>836</v>
      </c>
      <c r="B46" s="138">
        <v>64293</v>
      </c>
      <c r="C46" s="838">
        <v>64293</v>
      </c>
      <c r="D46" s="838"/>
      <c r="E46" s="839"/>
      <c r="F46" s="138">
        <v>60748</v>
      </c>
      <c r="G46" s="1027">
        <v>60748</v>
      </c>
      <c r="H46" s="1059"/>
      <c r="I46" s="1060"/>
      <c r="J46" s="1036">
        <v>61938</v>
      </c>
      <c r="K46" s="838">
        <v>61938</v>
      </c>
      <c r="L46" s="838"/>
      <c r="M46" s="839"/>
      <c r="N46" s="138">
        <v>61938</v>
      </c>
      <c r="O46" s="838">
        <v>61938</v>
      </c>
      <c r="P46" s="838"/>
      <c r="Q46" s="839"/>
      <c r="R46" s="138">
        <v>58952</v>
      </c>
      <c r="S46" s="838">
        <v>58952</v>
      </c>
      <c r="T46" s="838"/>
      <c r="U46" s="839"/>
    </row>
    <row r="47" spans="1:21" s="348" customFormat="1" ht="15" customHeight="1">
      <c r="A47" s="242" t="s">
        <v>837</v>
      </c>
      <c r="B47" s="840">
        <v>13559</v>
      </c>
      <c r="C47" s="581">
        <v>13559</v>
      </c>
      <c r="D47" s="581"/>
      <c r="E47" s="582"/>
      <c r="F47" s="840">
        <v>15606</v>
      </c>
      <c r="G47" s="1028">
        <v>15606</v>
      </c>
      <c r="H47" s="1061"/>
      <c r="I47" s="1062"/>
      <c r="J47" s="1037">
        <v>15626</v>
      </c>
      <c r="K47" s="581">
        <v>15626</v>
      </c>
      <c r="L47" s="581"/>
      <c r="M47" s="582"/>
      <c r="N47" s="840">
        <v>15626</v>
      </c>
      <c r="O47" s="581">
        <v>15626</v>
      </c>
      <c r="P47" s="581"/>
      <c r="Q47" s="582"/>
      <c r="R47" s="840">
        <v>15413</v>
      </c>
      <c r="S47" s="581">
        <v>15413</v>
      </c>
      <c r="T47" s="581"/>
      <c r="U47" s="582"/>
    </row>
    <row r="48" spans="1:21" s="348" customFormat="1" ht="15" customHeight="1">
      <c r="A48" s="242" t="s">
        <v>838</v>
      </c>
      <c r="B48" s="840">
        <v>14541</v>
      </c>
      <c r="C48" s="581">
        <v>14541</v>
      </c>
      <c r="D48" s="581"/>
      <c r="E48" s="582"/>
      <c r="F48" s="840">
        <v>14541</v>
      </c>
      <c r="G48" s="1028">
        <v>14541</v>
      </c>
      <c r="H48" s="1061"/>
      <c r="I48" s="1062"/>
      <c r="J48" s="1037">
        <v>14541</v>
      </c>
      <c r="K48" s="581">
        <v>14541</v>
      </c>
      <c r="L48" s="581"/>
      <c r="M48" s="582"/>
      <c r="N48" s="840">
        <v>14541</v>
      </c>
      <c r="O48" s="581">
        <v>14541</v>
      </c>
      <c r="P48" s="581"/>
      <c r="Q48" s="582"/>
      <c r="R48" s="840">
        <v>17247</v>
      </c>
      <c r="S48" s="581">
        <v>17247</v>
      </c>
      <c r="T48" s="581"/>
      <c r="U48" s="582"/>
    </row>
    <row r="49" spans="1:21" s="348" customFormat="1" ht="15" customHeight="1">
      <c r="A49" s="242" t="s">
        <v>839</v>
      </c>
      <c r="B49" s="840">
        <v>0</v>
      </c>
      <c r="C49" s="581">
        <v>0</v>
      </c>
      <c r="D49" s="581">
        <v>0</v>
      </c>
      <c r="E49" s="582">
        <v>0</v>
      </c>
      <c r="F49" s="840">
        <v>194</v>
      </c>
      <c r="G49" s="1028">
        <v>194</v>
      </c>
      <c r="H49" s="1061"/>
      <c r="I49" s="1062"/>
      <c r="J49" s="1037">
        <v>194</v>
      </c>
      <c r="K49" s="581">
        <v>194</v>
      </c>
      <c r="L49" s="581"/>
      <c r="M49" s="582"/>
      <c r="N49" s="840">
        <v>194</v>
      </c>
      <c r="O49" s="581">
        <v>194</v>
      </c>
      <c r="P49" s="581"/>
      <c r="Q49" s="582"/>
      <c r="R49" s="840">
        <v>226</v>
      </c>
      <c r="S49" s="581">
        <v>226</v>
      </c>
      <c r="T49" s="581"/>
      <c r="U49" s="582"/>
    </row>
    <row r="50" spans="1:21" s="348" customFormat="1" ht="15" customHeight="1">
      <c r="A50" s="242" t="s">
        <v>840</v>
      </c>
      <c r="B50" s="840">
        <v>1845</v>
      </c>
      <c r="C50" s="581">
        <v>1845</v>
      </c>
      <c r="D50" s="581"/>
      <c r="E50" s="582"/>
      <c r="F50" s="840">
        <v>1845</v>
      </c>
      <c r="G50" s="1028">
        <v>1845</v>
      </c>
      <c r="H50" s="1061"/>
      <c r="I50" s="1062"/>
      <c r="J50" s="1037">
        <v>1845</v>
      </c>
      <c r="K50" s="581">
        <v>1845</v>
      </c>
      <c r="L50" s="581"/>
      <c r="M50" s="582"/>
      <c r="N50" s="840">
        <v>1845</v>
      </c>
      <c r="O50" s="581">
        <v>1845</v>
      </c>
      <c r="P50" s="581"/>
      <c r="Q50" s="582"/>
      <c r="R50" s="840">
        <v>1644</v>
      </c>
      <c r="S50" s="581">
        <v>1644</v>
      </c>
      <c r="T50" s="581"/>
      <c r="U50" s="582"/>
    </row>
    <row r="51" spans="1:21" s="348" customFormat="1" ht="15" customHeight="1">
      <c r="A51" s="242" t="s">
        <v>1249</v>
      </c>
      <c r="B51" s="840"/>
      <c r="C51" s="581"/>
      <c r="D51" s="581"/>
      <c r="E51" s="582"/>
      <c r="F51" s="840"/>
      <c r="G51" s="1028"/>
      <c r="H51" s="1061"/>
      <c r="I51" s="1062"/>
      <c r="J51" s="1037"/>
      <c r="K51" s="581"/>
      <c r="L51" s="581"/>
      <c r="M51" s="582"/>
      <c r="N51" s="840"/>
      <c r="O51" s="581"/>
      <c r="P51" s="581"/>
      <c r="Q51" s="582"/>
      <c r="R51" s="840">
        <v>11</v>
      </c>
      <c r="S51" s="581">
        <v>11</v>
      </c>
      <c r="T51" s="581"/>
      <c r="U51" s="582"/>
    </row>
    <row r="52" spans="1:21" s="348" customFormat="1" ht="15" customHeight="1">
      <c r="A52" s="19" t="s">
        <v>841</v>
      </c>
      <c r="B52" s="840">
        <v>6798</v>
      </c>
      <c r="C52" s="581"/>
      <c r="D52" s="581">
        <v>6798</v>
      </c>
      <c r="E52" s="582"/>
      <c r="F52" s="840">
        <v>7065</v>
      </c>
      <c r="G52" s="1028"/>
      <c r="H52" s="1061">
        <v>7065</v>
      </c>
      <c r="I52" s="1062"/>
      <c r="J52" s="1037">
        <v>7738</v>
      </c>
      <c r="K52" s="581"/>
      <c r="L52" s="581">
        <v>7738</v>
      </c>
      <c r="M52" s="582"/>
      <c r="N52" s="840">
        <v>7738</v>
      </c>
      <c r="O52" s="581"/>
      <c r="P52" s="581">
        <v>7738</v>
      </c>
      <c r="Q52" s="582"/>
      <c r="R52" s="840">
        <v>7826</v>
      </c>
      <c r="S52" s="581"/>
      <c r="T52" s="581">
        <v>7826</v>
      </c>
      <c r="U52" s="582"/>
    </row>
    <row r="53" spans="1:21" s="348" customFormat="1" ht="15" customHeight="1" thickBot="1">
      <c r="A53" s="841" t="s">
        <v>842</v>
      </c>
      <c r="B53" s="145">
        <v>3930</v>
      </c>
      <c r="C53" s="146">
        <v>3930</v>
      </c>
      <c r="D53" s="146"/>
      <c r="E53" s="586"/>
      <c r="F53" s="145">
        <v>5613</v>
      </c>
      <c r="G53" s="1029">
        <v>5613</v>
      </c>
      <c r="H53" s="1063"/>
      <c r="I53" s="1064"/>
      <c r="J53" s="1038">
        <v>5613</v>
      </c>
      <c r="K53" s="146">
        <v>5613</v>
      </c>
      <c r="L53" s="146"/>
      <c r="M53" s="586"/>
      <c r="N53" s="145">
        <v>6936</v>
      </c>
      <c r="O53" s="146">
        <v>6936</v>
      </c>
      <c r="P53" s="146"/>
      <c r="Q53" s="586"/>
      <c r="R53" s="145">
        <v>5479</v>
      </c>
      <c r="S53" s="146">
        <v>5479</v>
      </c>
      <c r="T53" s="146"/>
      <c r="U53" s="586"/>
    </row>
    <row r="54" spans="1:21" ht="15" customHeight="1" thickBot="1">
      <c r="A54" s="1069" t="s">
        <v>320</v>
      </c>
      <c r="B54" s="1041">
        <v>11554</v>
      </c>
      <c r="C54" s="1074">
        <v>11554</v>
      </c>
      <c r="D54" s="1074"/>
      <c r="E54" s="1075"/>
      <c r="F54" s="118">
        <f>SUM(F55:F57)</f>
        <v>12508</v>
      </c>
      <c r="G54" s="1022">
        <v>12508</v>
      </c>
      <c r="H54" s="1050"/>
      <c r="I54" s="1051"/>
      <c r="J54" s="1035">
        <f>SUM(J55:J57)</f>
        <v>14658</v>
      </c>
      <c r="K54" s="118">
        <f>SUM(K55:K57)</f>
        <v>14658</v>
      </c>
      <c r="L54" s="836"/>
      <c r="M54" s="837"/>
      <c r="N54" s="1041">
        <f aca="true" t="shared" si="2" ref="N54:U54">SUM(N55:N58)</f>
        <v>15449</v>
      </c>
      <c r="O54" s="1041">
        <f t="shared" si="2"/>
        <v>14087</v>
      </c>
      <c r="P54" s="1041">
        <f t="shared" si="2"/>
        <v>1362</v>
      </c>
      <c r="Q54" s="1041">
        <f t="shared" si="2"/>
        <v>0</v>
      </c>
      <c r="R54" s="1041">
        <f t="shared" si="2"/>
        <v>14862</v>
      </c>
      <c r="S54" s="1041">
        <f t="shared" si="2"/>
        <v>13683</v>
      </c>
      <c r="T54" s="1244">
        <f t="shared" si="2"/>
        <v>1179</v>
      </c>
      <c r="U54" s="1281">
        <f t="shared" si="2"/>
        <v>0</v>
      </c>
    </row>
    <row r="55" spans="1:21" ht="15" customHeight="1">
      <c r="A55" s="1070" t="s">
        <v>843</v>
      </c>
      <c r="B55" s="1042">
        <v>9553</v>
      </c>
      <c r="C55" s="1076">
        <v>9553</v>
      </c>
      <c r="D55" s="1077"/>
      <c r="E55" s="1078"/>
      <c r="F55" s="1039">
        <v>10507</v>
      </c>
      <c r="G55" s="829">
        <v>10507</v>
      </c>
      <c r="H55" s="1059"/>
      <c r="I55" s="1065"/>
      <c r="J55" s="1039">
        <v>12657</v>
      </c>
      <c r="K55" s="828">
        <v>12657</v>
      </c>
      <c r="L55" s="838"/>
      <c r="M55" s="430"/>
      <c r="N55" s="1042">
        <v>14087</v>
      </c>
      <c r="O55" s="1076">
        <v>14087</v>
      </c>
      <c r="P55" s="1077"/>
      <c r="Q55" s="1078"/>
      <c r="R55" s="1042">
        <f>SUM(12304+1379)</f>
        <v>13683</v>
      </c>
      <c r="S55" s="1076">
        <v>13683</v>
      </c>
      <c r="T55" s="1077"/>
      <c r="U55" s="1078"/>
    </row>
    <row r="56" spans="1:21" ht="7.5" customHeight="1" hidden="1">
      <c r="A56" s="1071" t="s">
        <v>844</v>
      </c>
      <c r="B56" s="1079"/>
      <c r="C56" s="176"/>
      <c r="D56" s="146"/>
      <c r="E56" s="1066"/>
      <c r="F56" s="1040"/>
      <c r="G56" s="646"/>
      <c r="H56" s="1063"/>
      <c r="I56" s="1066"/>
      <c r="J56" s="1040"/>
      <c r="K56" s="176"/>
      <c r="L56" s="146"/>
      <c r="M56" s="646"/>
      <c r="N56" s="1079"/>
      <c r="O56" s="176"/>
      <c r="P56" s="146"/>
      <c r="Q56" s="1066"/>
      <c r="R56" s="1079"/>
      <c r="S56" s="176"/>
      <c r="T56" s="146"/>
      <c r="U56" s="1066"/>
    </row>
    <row r="57" spans="1:21" s="348" customFormat="1" ht="15" customHeight="1">
      <c r="A57" s="1072" t="s">
        <v>845</v>
      </c>
      <c r="B57" s="1054">
        <v>2001</v>
      </c>
      <c r="C57" s="1020">
        <v>2001</v>
      </c>
      <c r="D57" s="1010"/>
      <c r="E57" s="1055"/>
      <c r="F57" s="1011">
        <v>2001</v>
      </c>
      <c r="G57" s="1030">
        <v>2001</v>
      </c>
      <c r="H57" s="1054"/>
      <c r="I57" s="1055"/>
      <c r="J57" s="1011">
        <v>2001</v>
      </c>
      <c r="K57" s="1020">
        <v>2001</v>
      </c>
      <c r="L57" s="1010"/>
      <c r="M57" s="1024"/>
      <c r="N57" s="1054">
        <v>669</v>
      </c>
      <c r="O57" s="1020">
        <v>0</v>
      </c>
      <c r="P57" s="1010">
        <v>669</v>
      </c>
      <c r="Q57" s="1055"/>
      <c r="R57" s="1054">
        <v>678</v>
      </c>
      <c r="S57" s="1020">
        <v>0</v>
      </c>
      <c r="T57" s="1010">
        <v>678</v>
      </c>
      <c r="U57" s="1055"/>
    </row>
    <row r="58" spans="1:21" s="348" customFormat="1" ht="15" customHeight="1" thickBot="1">
      <c r="A58" s="1073" t="s">
        <v>930</v>
      </c>
      <c r="B58" s="1067">
        <v>0</v>
      </c>
      <c r="C58" s="1080">
        <v>0</v>
      </c>
      <c r="D58" s="1081">
        <v>0</v>
      </c>
      <c r="E58" s="1068">
        <v>0</v>
      </c>
      <c r="F58" s="1007">
        <v>0</v>
      </c>
      <c r="G58" s="1031">
        <v>0</v>
      </c>
      <c r="H58" s="1067">
        <v>0</v>
      </c>
      <c r="I58" s="1068">
        <v>0</v>
      </c>
      <c r="J58" s="1007">
        <v>0</v>
      </c>
      <c r="K58" s="1019">
        <v>0</v>
      </c>
      <c r="L58" s="1008">
        <v>0</v>
      </c>
      <c r="M58" s="1023">
        <v>0</v>
      </c>
      <c r="N58" s="1067">
        <v>693</v>
      </c>
      <c r="O58" s="1080">
        <v>0</v>
      </c>
      <c r="P58" s="1081">
        <v>693</v>
      </c>
      <c r="Q58" s="1068">
        <v>0</v>
      </c>
      <c r="R58" s="1067">
        <v>501</v>
      </c>
      <c r="S58" s="1080">
        <v>0</v>
      </c>
      <c r="T58" s="1081">
        <v>501</v>
      </c>
      <c r="U58" s="1068">
        <v>0</v>
      </c>
    </row>
    <row r="59" spans="1:21" s="12" customFormat="1" ht="15" customHeight="1" thickBot="1">
      <c r="A59" s="1009" t="s">
        <v>25</v>
      </c>
      <c r="B59" s="833">
        <f aca="true" t="shared" si="3" ref="B59:M59">SUM(B10+B29+B41+B45+B54)</f>
        <v>853590</v>
      </c>
      <c r="C59" s="833">
        <f t="shared" si="3"/>
        <v>470410</v>
      </c>
      <c r="D59" s="833">
        <f t="shared" si="3"/>
        <v>24486</v>
      </c>
      <c r="E59" s="835">
        <f t="shared" si="3"/>
        <v>77406</v>
      </c>
      <c r="F59" s="836">
        <f t="shared" si="3"/>
        <v>963654</v>
      </c>
      <c r="G59" s="836">
        <f t="shared" si="3"/>
        <v>861469</v>
      </c>
      <c r="H59" s="833">
        <f t="shared" si="3"/>
        <v>24753</v>
      </c>
      <c r="I59" s="835">
        <f t="shared" si="3"/>
        <v>77432</v>
      </c>
      <c r="J59" s="836">
        <f t="shared" si="3"/>
        <v>977000</v>
      </c>
      <c r="K59" s="836">
        <f t="shared" si="3"/>
        <v>869001</v>
      </c>
      <c r="L59" s="836">
        <f t="shared" si="3"/>
        <v>30567</v>
      </c>
      <c r="M59" s="837">
        <f t="shared" si="3"/>
        <v>77432</v>
      </c>
      <c r="N59" s="833">
        <f aca="true" t="shared" si="4" ref="N59:U59">SUM(N10+N29+N41+N45+N54)</f>
        <v>966955</v>
      </c>
      <c r="O59" s="833">
        <f t="shared" si="4"/>
        <v>856529</v>
      </c>
      <c r="P59" s="833">
        <f t="shared" si="4"/>
        <v>33524</v>
      </c>
      <c r="Q59" s="835">
        <f t="shared" si="4"/>
        <v>76902</v>
      </c>
      <c r="R59" s="833">
        <f t="shared" si="4"/>
        <v>961726</v>
      </c>
      <c r="S59" s="833">
        <f t="shared" si="4"/>
        <v>752234</v>
      </c>
      <c r="T59" s="833">
        <f t="shared" si="4"/>
        <v>139780</v>
      </c>
      <c r="U59" s="835">
        <f t="shared" si="4"/>
        <v>69712</v>
      </c>
    </row>
  </sheetData>
  <sheetProtection selectLockedCells="1" selectUnlockedCells="1"/>
  <mergeCells count="17">
    <mergeCell ref="A3:T3"/>
    <mergeCell ref="A5:U5"/>
    <mergeCell ref="A7:U7"/>
    <mergeCell ref="A1:U1"/>
    <mergeCell ref="A2:U2"/>
    <mergeCell ref="A4:U4"/>
    <mergeCell ref="B8:B9"/>
    <mergeCell ref="C8:E8"/>
    <mergeCell ref="F8:F9"/>
    <mergeCell ref="G8:I8"/>
    <mergeCell ref="R8:R9"/>
    <mergeCell ref="S8:U8"/>
    <mergeCell ref="J8:J9"/>
    <mergeCell ref="K8:M8"/>
    <mergeCell ref="N8:N9"/>
    <mergeCell ref="O8:Q8"/>
    <mergeCell ref="A8:A9"/>
  </mergeCells>
  <printOptions/>
  <pageMargins left="0.6692913385826772" right="0.11811023622047245" top="0.984251968503937" bottom="0.984251968503937" header="0.5118110236220472" footer="0.5118110236220472"/>
  <pageSetup horizontalDpi="300" verticalDpi="300" orientation="landscape" paperSize="9" scale="57" r:id="rId1"/>
  <rowBreaks count="2" manualBreakCount="2">
    <brk id="53" max="20" man="1"/>
    <brk id="5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view="pageBreakPreview" zoomScaleSheetLayoutView="100" zoomScalePageLayoutView="0" workbookViewId="0" topLeftCell="A3">
      <selection activeCell="J20" sqref="J20"/>
    </sheetView>
  </sheetViews>
  <sheetFormatPr defaultColWidth="11.57421875" defaultRowHeight="12.75" customHeight="1"/>
  <cols>
    <col min="1" max="1" width="7.140625" style="0" customWidth="1"/>
    <col min="2" max="2" width="54.421875" style="0" customWidth="1"/>
    <col min="3" max="3" width="13.7109375" style="57" customWidth="1"/>
    <col min="4" max="5" width="12.421875" style="57" customWidth="1"/>
    <col min="6" max="7" width="11.28125" style="57" customWidth="1"/>
  </cols>
  <sheetData>
    <row r="1" spans="1:7" s="625" customFormat="1" ht="18" customHeight="1">
      <c r="A1" s="1551" t="s">
        <v>846</v>
      </c>
      <c r="B1" s="1551"/>
      <c r="C1" s="1551"/>
      <c r="D1" s="1551"/>
      <c r="E1" s="1551"/>
      <c r="F1" s="1551"/>
      <c r="G1" s="1551"/>
    </row>
    <row r="2" spans="1:7" s="625" customFormat="1" ht="18" customHeight="1">
      <c r="A2" s="549"/>
      <c r="C2" s="57"/>
      <c r="D2" s="57"/>
      <c r="E2" s="57"/>
      <c r="F2" s="57"/>
      <c r="G2" s="57"/>
    </row>
    <row r="3" spans="1:7" ht="14.25" customHeight="1">
      <c r="A3" s="1683" t="s">
        <v>1352</v>
      </c>
      <c r="B3" s="1683"/>
      <c r="C3" s="1683"/>
      <c r="D3" s="1683"/>
      <c r="E3" s="1683"/>
      <c r="F3" s="1683"/>
      <c r="G3" s="1683"/>
    </row>
    <row r="4" spans="1:7" ht="14.25" customHeight="1">
      <c r="A4" s="1683" t="s">
        <v>1353</v>
      </c>
      <c r="B4" s="1683"/>
      <c r="C4" s="1683"/>
      <c r="D4" s="1683"/>
      <c r="E4" s="1683"/>
      <c r="F4" s="1683"/>
      <c r="G4" s="1683"/>
    </row>
    <row r="5" spans="1:7" ht="36.75" customHeight="1">
      <c r="A5" s="1682" t="s">
        <v>847</v>
      </c>
      <c r="B5" s="1682"/>
      <c r="C5" s="1682"/>
      <c r="D5" s="1682"/>
      <c r="E5" s="1682"/>
      <c r="F5" s="1682"/>
      <c r="G5" s="1682"/>
    </row>
    <row r="6" spans="2:7" ht="20.25" customHeight="1">
      <c r="B6" s="842"/>
      <c r="C6" s="1681" t="s">
        <v>155</v>
      </c>
      <c r="D6" s="1681"/>
      <c r="E6" s="1681"/>
      <c r="F6" s="1681"/>
      <c r="G6" s="1681"/>
    </row>
    <row r="7" spans="1:7" s="12" customFormat="1" ht="50.25" customHeight="1">
      <c r="A7" s="1684" t="s">
        <v>156</v>
      </c>
      <c r="B7" s="843" t="s">
        <v>157</v>
      </c>
      <c r="C7" s="8" t="s">
        <v>159</v>
      </c>
      <c r="D7" s="8" t="s">
        <v>584</v>
      </c>
      <c r="E7" s="8" t="s">
        <v>585</v>
      </c>
      <c r="F7" s="8" t="s">
        <v>915</v>
      </c>
      <c r="G7" s="8" t="s">
        <v>1211</v>
      </c>
    </row>
    <row r="8" spans="1:7" s="394" customFormat="1" ht="13.5" customHeight="1">
      <c r="A8" s="1684"/>
      <c r="B8" s="844" t="s">
        <v>163</v>
      </c>
      <c r="C8" s="845" t="s">
        <v>164</v>
      </c>
      <c r="D8" s="845" t="s">
        <v>165</v>
      </c>
      <c r="E8" s="845" t="s">
        <v>166</v>
      </c>
      <c r="F8" s="845" t="s">
        <v>167</v>
      </c>
      <c r="G8" s="845" t="s">
        <v>168</v>
      </c>
    </row>
    <row r="9" spans="1:7" s="385" customFormat="1" ht="15.75" customHeight="1">
      <c r="A9" s="846" t="s">
        <v>38</v>
      </c>
      <c r="B9" s="847" t="s">
        <v>848</v>
      </c>
      <c r="C9" s="848"/>
      <c r="D9" s="848"/>
      <c r="E9" s="848"/>
      <c r="F9" s="848"/>
      <c r="G9" s="848"/>
    </row>
    <row r="10" spans="1:7" ht="15.75" customHeight="1">
      <c r="A10" s="849" t="s">
        <v>40</v>
      </c>
      <c r="B10" s="850" t="s">
        <v>849</v>
      </c>
      <c r="C10" s="851">
        <v>500</v>
      </c>
      <c r="D10" s="851">
        <v>500</v>
      </c>
      <c r="E10" s="851">
        <v>0</v>
      </c>
      <c r="F10" s="851">
        <v>0</v>
      </c>
      <c r="G10" s="851">
        <v>0</v>
      </c>
    </row>
    <row r="11" spans="1:7" ht="15.75" customHeight="1">
      <c r="A11" s="849" t="s">
        <v>47</v>
      </c>
      <c r="B11" s="344" t="s">
        <v>850</v>
      </c>
      <c r="C11" s="852">
        <v>3000</v>
      </c>
      <c r="D11" s="852">
        <v>7200</v>
      </c>
      <c r="E11" s="852">
        <v>3000</v>
      </c>
      <c r="F11" s="852">
        <v>3000</v>
      </c>
      <c r="G11" s="852">
        <v>3000</v>
      </c>
    </row>
    <row r="12" spans="1:7" ht="15.75" customHeight="1">
      <c r="A12" s="849" t="s">
        <v>49</v>
      </c>
      <c r="B12" s="344" t="s">
        <v>851</v>
      </c>
      <c r="C12" s="852">
        <v>5400</v>
      </c>
      <c r="D12" s="852">
        <v>5400</v>
      </c>
      <c r="E12" s="1680">
        <v>3000</v>
      </c>
      <c r="F12" s="1680">
        <v>3000</v>
      </c>
      <c r="G12" s="1680">
        <v>3000</v>
      </c>
    </row>
    <row r="13" spans="1:7" ht="26.25" customHeight="1">
      <c r="A13" s="849" t="s">
        <v>51</v>
      </c>
      <c r="B13" s="352" t="s">
        <v>852</v>
      </c>
      <c r="C13" s="852">
        <v>3200</v>
      </c>
      <c r="D13" s="852">
        <v>3200</v>
      </c>
      <c r="E13" s="1680"/>
      <c r="F13" s="1680"/>
      <c r="G13" s="1680"/>
    </row>
    <row r="14" spans="1:7" ht="30.75" customHeight="1">
      <c r="A14" s="849" t="s">
        <v>53</v>
      </c>
      <c r="B14" s="853" t="s">
        <v>853</v>
      </c>
      <c r="C14" s="852">
        <v>3000</v>
      </c>
      <c r="D14" s="852">
        <v>0</v>
      </c>
      <c r="E14" s="852">
        <v>0</v>
      </c>
      <c r="F14" s="852">
        <v>0</v>
      </c>
      <c r="G14" s="852">
        <v>0</v>
      </c>
    </row>
    <row r="15" spans="1:7" ht="30.75" customHeight="1">
      <c r="A15" s="849" t="s">
        <v>55</v>
      </c>
      <c r="B15" s="853" t="s">
        <v>854</v>
      </c>
      <c r="C15" s="852">
        <v>0</v>
      </c>
      <c r="D15" s="852">
        <v>2500</v>
      </c>
      <c r="E15" s="852">
        <v>3100</v>
      </c>
      <c r="F15" s="852">
        <v>3100</v>
      </c>
      <c r="G15" s="852">
        <v>3100</v>
      </c>
    </row>
    <row r="16" spans="1:7" ht="30.75" customHeight="1">
      <c r="A16" s="849" t="s">
        <v>57</v>
      </c>
      <c r="B16" s="853" t="s">
        <v>855</v>
      </c>
      <c r="C16" s="852">
        <v>0</v>
      </c>
      <c r="D16" s="852">
        <v>3800</v>
      </c>
      <c r="E16" s="852">
        <v>1700</v>
      </c>
      <c r="F16" s="852">
        <v>1700</v>
      </c>
      <c r="G16" s="852">
        <v>1700</v>
      </c>
    </row>
    <row r="17" spans="1:7" ht="30.75" customHeight="1">
      <c r="A17" s="849" t="s">
        <v>86</v>
      </c>
      <c r="B17" s="853" t="s">
        <v>856</v>
      </c>
      <c r="C17" s="852"/>
      <c r="D17" s="852">
        <v>400</v>
      </c>
      <c r="E17" s="852">
        <v>400</v>
      </c>
      <c r="F17" s="852">
        <v>400</v>
      </c>
      <c r="G17" s="852">
        <v>400</v>
      </c>
    </row>
    <row r="18" spans="1:7" ht="15.75" customHeight="1">
      <c r="A18" s="849" t="s">
        <v>59</v>
      </c>
      <c r="B18" s="850" t="s">
        <v>857</v>
      </c>
      <c r="C18" s="168">
        <v>1524</v>
      </c>
      <c r="D18" s="168">
        <v>1524</v>
      </c>
      <c r="E18" s="168">
        <v>0</v>
      </c>
      <c r="F18" s="168">
        <v>0</v>
      </c>
      <c r="G18" s="168">
        <v>0</v>
      </c>
    </row>
    <row r="19" spans="1:7" s="856" customFormat="1" ht="15.75" customHeight="1">
      <c r="A19" s="849" t="s">
        <v>61</v>
      </c>
      <c r="B19" s="854" t="s">
        <v>858</v>
      </c>
      <c r="C19" s="855">
        <v>6000</v>
      </c>
      <c r="D19" s="855">
        <v>3000</v>
      </c>
      <c r="E19" s="855">
        <v>3000</v>
      </c>
      <c r="F19" s="855">
        <v>3000</v>
      </c>
      <c r="G19" s="855">
        <v>3000</v>
      </c>
    </row>
    <row r="20" spans="1:7" ht="15.75" customHeight="1">
      <c r="A20" s="849" t="s">
        <v>63</v>
      </c>
      <c r="B20" s="857" t="s">
        <v>859</v>
      </c>
      <c r="C20" s="858">
        <f>SUM(C10:C19)</f>
        <v>22624</v>
      </c>
      <c r="D20" s="858">
        <f>SUM(D10:D19)</f>
        <v>27524</v>
      </c>
      <c r="E20" s="858">
        <f>SUM(E10:E19)</f>
        <v>14200</v>
      </c>
      <c r="F20" s="858">
        <f>SUM(F10:F19)</f>
        <v>14200</v>
      </c>
      <c r="G20" s="858">
        <f>SUM(G10:G19)</f>
        <v>14200</v>
      </c>
    </row>
    <row r="21" spans="1:7" ht="15.75" customHeight="1">
      <c r="A21" s="859" t="s">
        <v>65</v>
      </c>
      <c r="B21" s="85" t="s">
        <v>860</v>
      </c>
      <c r="C21" s="860"/>
      <c r="D21" s="860"/>
      <c r="E21" s="860"/>
      <c r="F21" s="860"/>
      <c r="G21" s="860"/>
    </row>
    <row r="22" spans="1:7" ht="15.75" customHeight="1">
      <c r="A22" s="849" t="s">
        <v>92</v>
      </c>
      <c r="B22" s="850"/>
      <c r="C22" s="860"/>
      <c r="D22" s="860"/>
      <c r="E22" s="860"/>
      <c r="F22" s="860"/>
      <c r="G22" s="860"/>
    </row>
    <row r="23" spans="1:7" ht="15.75" customHeight="1">
      <c r="A23" s="849" t="s">
        <v>66</v>
      </c>
      <c r="B23" s="850" t="s">
        <v>861</v>
      </c>
      <c r="C23" s="860">
        <v>500</v>
      </c>
      <c r="D23" s="860">
        <v>500</v>
      </c>
      <c r="E23" s="860">
        <v>288</v>
      </c>
      <c r="F23" s="860">
        <v>0</v>
      </c>
      <c r="G23" s="860">
        <v>0</v>
      </c>
    </row>
    <row r="24" spans="1:7" ht="15.75" customHeight="1">
      <c r="A24" s="849" t="s">
        <v>67</v>
      </c>
      <c r="B24" s="857" t="s">
        <v>859</v>
      </c>
      <c r="C24" s="858">
        <f>SUM(C23:C23)</f>
        <v>500</v>
      </c>
      <c r="D24" s="858">
        <f>SUM(D23:D23)</f>
        <v>500</v>
      </c>
      <c r="E24" s="858">
        <f>SUM(E23:E23)</f>
        <v>288</v>
      </c>
      <c r="F24" s="858">
        <f>SUM(F23:F23)</f>
        <v>0</v>
      </c>
      <c r="G24" s="858">
        <f>SUM(G23:G23)</f>
        <v>0</v>
      </c>
    </row>
    <row r="25" spans="1:7" ht="15.75" customHeight="1">
      <c r="A25" s="849" t="s">
        <v>68</v>
      </c>
      <c r="B25" s="1167" t="s">
        <v>1212</v>
      </c>
      <c r="C25" s="858"/>
      <c r="D25" s="858"/>
      <c r="E25" s="858"/>
      <c r="F25" s="858"/>
      <c r="G25" s="1168">
        <v>3852</v>
      </c>
    </row>
    <row r="26" spans="1:7" ht="15.75" customHeight="1">
      <c r="A26" s="849" t="s">
        <v>70</v>
      </c>
      <c r="B26" s="857" t="s">
        <v>859</v>
      </c>
      <c r="C26" s="858"/>
      <c r="D26" s="858"/>
      <c r="E26" s="858"/>
      <c r="F26" s="858"/>
      <c r="G26" s="858">
        <v>3852</v>
      </c>
    </row>
    <row r="27" spans="1:7" ht="15.75" customHeight="1">
      <c r="A27" s="859" t="s">
        <v>97</v>
      </c>
      <c r="B27" s="85" t="s">
        <v>862</v>
      </c>
      <c r="C27" s="860"/>
      <c r="D27" s="860"/>
      <c r="E27" s="860"/>
      <c r="F27" s="860"/>
      <c r="G27" s="860"/>
    </row>
    <row r="28" spans="1:7" ht="15.75" customHeight="1">
      <c r="A28" s="849" t="s">
        <v>99</v>
      </c>
      <c r="B28" s="645" t="s">
        <v>863</v>
      </c>
      <c r="C28" s="860">
        <v>1841</v>
      </c>
      <c r="D28" s="860">
        <v>1841</v>
      </c>
      <c r="E28" s="860">
        <v>0</v>
      </c>
      <c r="F28" s="860">
        <v>0</v>
      </c>
      <c r="G28" s="860">
        <v>0</v>
      </c>
    </row>
    <row r="29" spans="1:7" ht="15.75" customHeight="1">
      <c r="A29" s="849" t="s">
        <v>101</v>
      </c>
      <c r="B29" s="645" t="s">
        <v>864</v>
      </c>
      <c r="C29" s="860">
        <v>2400</v>
      </c>
      <c r="D29" s="860">
        <v>2400</v>
      </c>
      <c r="E29" s="860">
        <v>0</v>
      </c>
      <c r="F29" s="860">
        <v>0</v>
      </c>
      <c r="G29" s="860">
        <v>0</v>
      </c>
    </row>
    <row r="30" spans="1:7" ht="15.75" customHeight="1">
      <c r="A30" s="849" t="s">
        <v>103</v>
      </c>
      <c r="B30" s="857" t="s">
        <v>859</v>
      </c>
      <c r="C30" s="858">
        <f>SUM(C28:C29)</f>
        <v>4241</v>
      </c>
      <c r="D30" s="858">
        <f>SUM(D28:D29)</f>
        <v>4241</v>
      </c>
      <c r="E30" s="858">
        <f>SUM(E28:E29)</f>
        <v>0</v>
      </c>
      <c r="F30" s="858">
        <f>SUM(F28:F29)</f>
        <v>0</v>
      </c>
      <c r="G30" s="858">
        <f>SUM(G28:G29)</f>
        <v>0</v>
      </c>
    </row>
    <row r="31" spans="1:7" s="861" customFormat="1" ht="15.75" customHeight="1">
      <c r="A31" s="859" t="s">
        <v>105</v>
      </c>
      <c r="B31" s="179" t="s">
        <v>865</v>
      </c>
      <c r="C31" s="860"/>
      <c r="D31" s="860"/>
      <c r="E31" s="860"/>
      <c r="F31" s="860"/>
      <c r="G31" s="860"/>
    </row>
    <row r="32" spans="1:7" s="383" customFormat="1" ht="25.5" customHeight="1">
      <c r="A32" s="530" t="s">
        <v>107</v>
      </c>
      <c r="B32" s="531" t="s">
        <v>866</v>
      </c>
      <c r="C32" s="168">
        <v>7500</v>
      </c>
      <c r="D32" s="81">
        <v>16038</v>
      </c>
      <c r="E32" s="81">
        <v>16038</v>
      </c>
      <c r="F32" s="81">
        <v>16038</v>
      </c>
      <c r="G32" s="81">
        <v>16038</v>
      </c>
    </row>
    <row r="33" spans="1:7" s="383" customFormat="1" ht="26.25" customHeight="1">
      <c r="A33" s="849" t="s">
        <v>109</v>
      </c>
      <c r="B33" s="862" t="s">
        <v>867</v>
      </c>
      <c r="C33" s="863">
        <v>217</v>
      </c>
      <c r="D33" s="863">
        <v>217</v>
      </c>
      <c r="E33" s="863">
        <v>0</v>
      </c>
      <c r="F33" s="863">
        <v>0</v>
      </c>
      <c r="G33" s="863">
        <v>0</v>
      </c>
    </row>
    <row r="34" spans="1:7" s="383" customFormat="1" ht="15.75" customHeight="1">
      <c r="A34" s="864" t="s">
        <v>111</v>
      </c>
      <c r="B34" s="491" t="s">
        <v>868</v>
      </c>
      <c r="C34" s="168">
        <v>1500</v>
      </c>
      <c r="D34" s="168">
        <v>0</v>
      </c>
      <c r="E34" s="168">
        <v>0</v>
      </c>
      <c r="F34" s="168">
        <v>0</v>
      </c>
      <c r="G34" s="168">
        <v>0</v>
      </c>
    </row>
    <row r="35" spans="1:7" s="383" customFormat="1" ht="33.75" customHeight="1">
      <c r="A35" s="864" t="s">
        <v>113</v>
      </c>
      <c r="B35" s="471" t="s">
        <v>869</v>
      </c>
      <c r="C35" s="860">
        <v>0</v>
      </c>
      <c r="D35" s="81">
        <v>3200</v>
      </c>
      <c r="E35" s="81">
        <v>3200</v>
      </c>
      <c r="F35" s="81">
        <v>3200</v>
      </c>
      <c r="G35" s="81">
        <v>3200</v>
      </c>
    </row>
    <row r="36" spans="1:7" s="383" customFormat="1" ht="15.75" customHeight="1">
      <c r="A36" s="849" t="s">
        <v>115</v>
      </c>
      <c r="B36" s="339"/>
      <c r="C36" s="578"/>
      <c r="D36" s="578"/>
      <c r="E36" s="578"/>
      <c r="F36" s="578"/>
      <c r="G36" s="578"/>
    </row>
    <row r="37" spans="1:7" s="383" customFormat="1" ht="15.75" customHeight="1">
      <c r="A37" s="849" t="s">
        <v>117</v>
      </c>
      <c r="B37" s="339"/>
      <c r="C37" s="578"/>
      <c r="D37" s="578"/>
      <c r="E37" s="578"/>
      <c r="F37" s="578"/>
      <c r="G37" s="578"/>
    </row>
    <row r="38" spans="1:7" s="383" customFormat="1" ht="15.75" customHeight="1">
      <c r="A38" s="859" t="s">
        <v>118</v>
      </c>
      <c r="B38" s="857" t="s">
        <v>859</v>
      </c>
      <c r="C38" s="88">
        <f>SUM(C32:C36)</f>
        <v>9217</v>
      </c>
      <c r="D38" s="88">
        <f>SUM(D32:D36)</f>
        <v>19455</v>
      </c>
      <c r="E38" s="88">
        <f>SUM(E32:E36)</f>
        <v>19238</v>
      </c>
      <c r="F38" s="88">
        <f>SUM(F32:F36)</f>
        <v>19238</v>
      </c>
      <c r="G38" s="88">
        <f>SUM(G32:G36)</f>
        <v>19238</v>
      </c>
    </row>
    <row r="39" spans="1:7" s="383" customFormat="1" ht="15.75" customHeight="1">
      <c r="A39" s="849" t="s">
        <v>120</v>
      </c>
      <c r="B39" s="865"/>
      <c r="C39" s="860"/>
      <c r="D39" s="860"/>
      <c r="E39" s="860"/>
      <c r="F39" s="860"/>
      <c r="G39" s="860"/>
    </row>
    <row r="40" spans="1:7" s="383" customFormat="1" ht="15.75" customHeight="1">
      <c r="A40" s="859" t="s">
        <v>122</v>
      </c>
      <c r="B40" s="857" t="s">
        <v>870</v>
      </c>
      <c r="C40" s="88">
        <f>C20+C24+C30+C38</f>
        <v>36582</v>
      </c>
      <c r="D40" s="88">
        <f>D20+D24+D30+D38</f>
        <v>51720</v>
      </c>
      <c r="E40" s="88">
        <f>E20+E24+E30+E38</f>
        <v>33726</v>
      </c>
      <c r="F40" s="88">
        <f>F20+F24+F30+F38</f>
        <v>33438</v>
      </c>
      <c r="G40" s="88">
        <f>G20+G24+G30+G38+G26</f>
        <v>37290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G12:G13"/>
    <mergeCell ref="C6:G6"/>
    <mergeCell ref="A5:G5"/>
    <mergeCell ref="A3:G3"/>
    <mergeCell ref="A1:G1"/>
    <mergeCell ref="F12:F13"/>
    <mergeCell ref="A7:A8"/>
    <mergeCell ref="E12:E13"/>
    <mergeCell ref="A4:G4"/>
  </mergeCells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21" customWidth="1"/>
    <col min="2" max="2" width="16.00390625" style="21" customWidth="1"/>
    <col min="3" max="4" width="11.57421875" style="21" customWidth="1"/>
    <col min="5" max="5" width="13.7109375" style="21" customWidth="1"/>
    <col min="6" max="16384" width="11.57421875" style="21" customWidth="1"/>
  </cols>
  <sheetData>
    <row r="1" spans="4:5" ht="12.75" customHeight="1">
      <c r="D1" s="1494" t="s">
        <v>846</v>
      </c>
      <c r="E1" s="1494"/>
    </row>
    <row r="2" spans="2:5" ht="12.75" customHeight="1">
      <c r="B2" s="1685" t="s">
        <v>1</v>
      </c>
      <c r="C2" s="1685"/>
      <c r="D2" s="1685"/>
      <c r="E2" s="1685"/>
    </row>
    <row r="3" spans="1:2" ht="29.25" customHeight="1">
      <c r="A3" s="49"/>
      <c r="B3" s="49"/>
    </row>
    <row r="4" spans="1:5" ht="12.75" customHeight="1">
      <c r="A4" s="1686" t="s">
        <v>2</v>
      </c>
      <c r="B4" s="1686"/>
      <c r="C4" s="1686"/>
      <c r="D4" s="1686"/>
      <c r="E4" s="1686"/>
    </row>
    <row r="5" spans="1:5" ht="12.75" customHeight="1">
      <c r="A5" s="1495" t="s">
        <v>871</v>
      </c>
      <c r="B5" s="1495"/>
      <c r="C5" s="1495"/>
      <c r="D5" s="1495"/>
      <c r="E5" s="1495"/>
    </row>
    <row r="6" spans="1:3" ht="27" customHeight="1">
      <c r="A6" s="866"/>
      <c r="B6" s="866"/>
      <c r="C6" s="866"/>
    </row>
    <row r="7" spans="1:5" ht="13.5" customHeight="1">
      <c r="A7" s="866"/>
      <c r="B7" s="866"/>
      <c r="C7" s="866"/>
      <c r="D7" s="1490" t="s">
        <v>5</v>
      </c>
      <c r="E7" s="1490"/>
    </row>
    <row r="8" spans="1:5" ht="12.75" customHeight="1">
      <c r="A8" s="1687" t="s">
        <v>808</v>
      </c>
      <c r="B8" s="1688" t="s">
        <v>809</v>
      </c>
      <c r="C8" s="1689" t="s">
        <v>872</v>
      </c>
      <c r="D8" s="1689"/>
      <c r="E8" s="1689"/>
    </row>
    <row r="9" spans="1:5" ht="33.75" customHeight="1">
      <c r="A9" s="1687"/>
      <c r="B9" s="1688"/>
      <c r="C9" s="867" t="s">
        <v>813</v>
      </c>
      <c r="D9" s="867" t="s">
        <v>814</v>
      </c>
      <c r="E9" s="868" t="s">
        <v>815</v>
      </c>
    </row>
    <row r="10" spans="1:5" ht="15" customHeight="1">
      <c r="A10" s="869" t="s">
        <v>2</v>
      </c>
      <c r="B10" s="870">
        <f>C10+D10+E10</f>
        <v>210979</v>
      </c>
      <c r="C10" s="871">
        <f>SUM(C11:C14)</f>
        <v>202719</v>
      </c>
      <c r="D10" s="871">
        <f>SUM(D11:D14)</f>
        <v>8260</v>
      </c>
      <c r="E10" s="872">
        <f>SUM(E11:E14)</f>
        <v>0</v>
      </c>
    </row>
    <row r="11" spans="1:5" s="876" customFormat="1" ht="15" customHeight="1">
      <c r="A11" s="873" t="s">
        <v>873</v>
      </c>
      <c r="B11" s="874"/>
      <c r="C11" s="874">
        <v>202719</v>
      </c>
      <c r="D11" s="874"/>
      <c r="E11" s="875"/>
    </row>
    <row r="12" spans="1:5" s="876" customFormat="1" ht="15" customHeight="1">
      <c r="A12" s="873" t="s">
        <v>874</v>
      </c>
      <c r="B12" s="874"/>
      <c r="C12" s="874"/>
      <c r="D12" s="874">
        <v>610</v>
      </c>
      <c r="E12" s="875"/>
    </row>
    <row r="13" spans="1:5" s="876" customFormat="1" ht="15" customHeight="1">
      <c r="A13" s="877" t="s">
        <v>875</v>
      </c>
      <c r="B13" s="878"/>
      <c r="C13" s="874"/>
      <c r="D13" s="878">
        <v>7650</v>
      </c>
      <c r="E13" s="875"/>
    </row>
    <row r="14" spans="1:5" s="876" customFormat="1" ht="15" customHeight="1">
      <c r="A14" s="873" t="s">
        <v>876</v>
      </c>
      <c r="B14" s="874"/>
      <c r="C14" s="874"/>
      <c r="D14" s="874"/>
      <c r="E14" s="875" t="s">
        <v>823</v>
      </c>
    </row>
    <row r="15" spans="1:5" ht="15" customHeight="1">
      <c r="A15" s="879" t="s">
        <v>305</v>
      </c>
      <c r="B15" s="870">
        <f>C15+D15+E15</f>
        <v>112004</v>
      </c>
      <c r="C15" s="870">
        <f>SUM(C16:C17)</f>
        <v>91520</v>
      </c>
      <c r="D15" s="870">
        <f>SUM(D16:D17)</f>
        <v>0</v>
      </c>
      <c r="E15" s="880">
        <f>SUM(E16:E17)</f>
        <v>20484</v>
      </c>
    </row>
    <row r="16" spans="1:5" s="876" customFormat="1" ht="15" customHeight="1">
      <c r="A16" s="877" t="s">
        <v>877</v>
      </c>
      <c r="B16" s="878"/>
      <c r="C16" s="874">
        <v>68282</v>
      </c>
      <c r="D16" s="878"/>
      <c r="E16" s="881">
        <v>20484</v>
      </c>
    </row>
    <row r="17" spans="1:5" s="876" customFormat="1" ht="15" customHeight="1">
      <c r="A17" s="877" t="s">
        <v>878</v>
      </c>
      <c r="B17" s="878"/>
      <c r="C17" s="874">
        <v>23238</v>
      </c>
      <c r="D17" s="878"/>
      <c r="E17" s="881"/>
    </row>
    <row r="18" spans="1:5" ht="15" customHeight="1">
      <c r="A18" s="879" t="s">
        <v>835</v>
      </c>
      <c r="B18" s="870">
        <v>80345</v>
      </c>
      <c r="C18" s="882">
        <f>SUM(C19:C20)</f>
        <v>72285</v>
      </c>
      <c r="D18" s="882">
        <f>SUM(D19:D20)</f>
        <v>8060</v>
      </c>
      <c r="E18" s="883">
        <f>SUM(E19:E20)</f>
        <v>0</v>
      </c>
    </row>
    <row r="19" spans="1:5" s="876" customFormat="1" ht="15" customHeight="1">
      <c r="A19" s="877" t="s">
        <v>879</v>
      </c>
      <c r="B19" s="878"/>
      <c r="C19" s="874">
        <v>72285</v>
      </c>
      <c r="D19" s="878"/>
      <c r="E19" s="881"/>
    </row>
    <row r="20" spans="1:5" s="876" customFormat="1" ht="15" customHeight="1">
      <c r="A20" s="877" t="s">
        <v>880</v>
      </c>
      <c r="B20" s="878"/>
      <c r="C20" s="874"/>
      <c r="D20" s="878">
        <v>8060</v>
      </c>
      <c r="E20" s="881"/>
    </row>
    <row r="21" spans="1:5" ht="15" customHeight="1">
      <c r="A21" s="879" t="s">
        <v>881</v>
      </c>
      <c r="B21" s="870">
        <v>16681</v>
      </c>
      <c r="C21" s="870">
        <f>B21</f>
        <v>16681</v>
      </c>
      <c r="D21" s="870"/>
      <c r="E21" s="880"/>
    </row>
    <row r="22" spans="1:5" ht="15" customHeight="1">
      <c r="A22" s="879" t="s">
        <v>320</v>
      </c>
      <c r="B22" s="870">
        <v>10850</v>
      </c>
      <c r="C22" s="870">
        <f>B22</f>
        <v>10850</v>
      </c>
      <c r="D22" s="870"/>
      <c r="E22" s="880"/>
    </row>
    <row r="23" spans="1:5" s="23" customFormat="1" ht="15" customHeight="1">
      <c r="A23" s="884" t="s">
        <v>25</v>
      </c>
      <c r="B23" s="885">
        <f>B10+B15+B18+B21+B22</f>
        <v>430859</v>
      </c>
      <c r="C23" s="885">
        <f>C10+C15+C18+C21+C22</f>
        <v>394055</v>
      </c>
      <c r="D23" s="885">
        <f>D10+D15+D18+D21+D22</f>
        <v>16320</v>
      </c>
      <c r="E23" s="885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J106"/>
  <sheetViews>
    <sheetView tabSelected="1" zoomScalePageLayoutView="0" workbookViewId="0" topLeftCell="A1">
      <selection activeCell="L21" sqref="L21"/>
    </sheetView>
  </sheetViews>
  <sheetFormatPr defaultColWidth="11.57421875" defaultRowHeight="12.75" customHeight="1"/>
  <cols>
    <col min="1" max="1" width="4.00390625" style="241" customWidth="1"/>
    <col min="2" max="2" width="3.28125" style="241" customWidth="1"/>
    <col min="3" max="3" width="32.28125" style="241" customWidth="1"/>
    <col min="4" max="4" width="6.7109375" style="1006" customWidth="1"/>
    <col min="5" max="5" width="14.421875" style="57" customWidth="1"/>
    <col min="6" max="6" width="13.57421875" style="57" customWidth="1"/>
    <col min="7" max="7" width="13.28125" style="57" customWidth="1"/>
    <col min="8" max="8" width="14.28125" style="57" customWidth="1"/>
    <col min="9" max="10" width="13.28125" style="57" customWidth="1"/>
    <col min="11" max="16384" width="11.57421875" style="241" customWidth="1"/>
  </cols>
  <sheetData>
    <row r="1" spans="1:10" ht="12.75" customHeight="1">
      <c r="A1" s="1690" t="s">
        <v>1311</v>
      </c>
      <c r="B1" s="1690"/>
      <c r="C1" s="1690"/>
      <c r="D1" s="1690"/>
      <c r="E1" s="1690"/>
      <c r="F1" s="1690"/>
      <c r="G1" s="1690"/>
      <c r="H1" s="1690"/>
      <c r="I1" s="1690"/>
      <c r="J1" s="1690"/>
    </row>
    <row r="2" spans="1:10" ht="12.75" customHeight="1">
      <c r="A2" s="1692" t="s">
        <v>1354</v>
      </c>
      <c r="B2" s="1692"/>
      <c r="C2" s="1692"/>
      <c r="D2" s="1692"/>
      <c r="E2" s="1692"/>
      <c r="F2" s="1692"/>
      <c r="G2" s="1692"/>
      <c r="H2" s="1692"/>
      <c r="I2" s="1692"/>
      <c r="J2" s="1692"/>
    </row>
    <row r="3" spans="1:10" ht="18" customHeight="1">
      <c r="A3" s="1694" t="s">
        <v>882</v>
      </c>
      <c r="B3" s="1694"/>
      <c r="C3" s="1694"/>
      <c r="D3" s="1694"/>
      <c r="E3" s="1694"/>
      <c r="F3" s="1694"/>
      <c r="G3" s="1694"/>
      <c r="H3" s="1694"/>
      <c r="I3" s="1694"/>
      <c r="J3" s="1694"/>
    </row>
    <row r="4" spans="1:10" ht="24.75" customHeight="1">
      <c r="A4" s="1692" t="s">
        <v>883</v>
      </c>
      <c r="B4" s="1692"/>
      <c r="C4" s="1692"/>
      <c r="D4" s="1692"/>
      <c r="E4" s="1692"/>
      <c r="F4" s="1692"/>
      <c r="G4" s="1692"/>
      <c r="H4" s="1692"/>
      <c r="I4" s="1692"/>
      <c r="J4" s="1692"/>
    </row>
    <row r="5" spans="1:10" ht="24.75" customHeight="1">
      <c r="A5" s="1692"/>
      <c r="B5" s="1692"/>
      <c r="C5" s="1692"/>
      <c r="D5" s="1692"/>
      <c r="E5" s="1692"/>
      <c r="F5" s="241"/>
      <c r="G5" s="241"/>
      <c r="H5" s="241"/>
      <c r="I5" s="241"/>
      <c r="J5" s="241"/>
    </row>
    <row r="6" spans="1:10" ht="12.75" customHeight="1" thickBot="1">
      <c r="A6" s="1693" t="s">
        <v>155</v>
      </c>
      <c r="B6" s="1693"/>
      <c r="C6" s="1693"/>
      <c r="D6" s="1693"/>
      <c r="E6" s="1693"/>
      <c r="F6" s="1693"/>
      <c r="G6" s="1693"/>
      <c r="H6" s="1693"/>
      <c r="I6" s="1693"/>
      <c r="J6" s="1693"/>
    </row>
    <row r="7" spans="1:10" ht="39" customHeight="1" thickBot="1">
      <c r="A7" s="1503" t="s">
        <v>156</v>
      </c>
      <c r="B7" s="1503"/>
      <c r="C7" s="1589" t="s">
        <v>157</v>
      </c>
      <c r="D7" s="1589"/>
      <c r="E7" s="8" t="s">
        <v>158</v>
      </c>
      <c r="F7" s="8" t="s">
        <v>159</v>
      </c>
      <c r="G7" s="8" t="s">
        <v>811</v>
      </c>
      <c r="H7" s="8" t="s">
        <v>812</v>
      </c>
      <c r="I7" s="8" t="s">
        <v>910</v>
      </c>
      <c r="J7" s="8" t="s">
        <v>1213</v>
      </c>
    </row>
    <row r="8" spans="1:10" ht="12.75" customHeight="1" thickBot="1">
      <c r="A8" s="1503"/>
      <c r="B8" s="1503"/>
      <c r="C8" s="1654" t="s">
        <v>163</v>
      </c>
      <c r="D8" s="1654"/>
      <c r="E8" s="335" t="s">
        <v>164</v>
      </c>
      <c r="F8" s="335" t="s">
        <v>165</v>
      </c>
      <c r="G8" s="335" t="s">
        <v>166</v>
      </c>
      <c r="H8" s="335" t="s">
        <v>167</v>
      </c>
      <c r="I8" s="335" t="s">
        <v>168</v>
      </c>
      <c r="J8" s="335" t="s">
        <v>226</v>
      </c>
    </row>
    <row r="9" spans="1:10" s="394" customFormat="1" ht="12.75" customHeight="1">
      <c r="A9" s="405" t="s">
        <v>38</v>
      </c>
      <c r="B9" s="596" t="s">
        <v>169</v>
      </c>
      <c r="C9" s="886" t="s">
        <v>884</v>
      </c>
      <c r="D9" s="990"/>
      <c r="E9" s="76">
        <f aca="true" t="shared" si="0" ref="E9:J9">SUM(E10:E14)</f>
        <v>105273</v>
      </c>
      <c r="F9" s="76">
        <f t="shared" si="0"/>
        <v>104966</v>
      </c>
      <c r="G9" s="76">
        <f t="shared" si="0"/>
        <v>105612</v>
      </c>
      <c r="H9" s="76">
        <f t="shared" si="0"/>
        <v>107495</v>
      </c>
      <c r="I9" s="76">
        <f t="shared" si="0"/>
        <v>108818</v>
      </c>
      <c r="J9" s="76">
        <f t="shared" si="0"/>
        <v>106798</v>
      </c>
    </row>
    <row r="10" spans="1:10" ht="12.75" customHeight="1">
      <c r="A10" s="411" t="s">
        <v>40</v>
      </c>
      <c r="B10" s="887"/>
      <c r="C10" s="254" t="s">
        <v>885</v>
      </c>
      <c r="D10" s="991"/>
      <c r="E10" s="345">
        <f>SUM('15ovi'!E15)</f>
        <v>5187</v>
      </c>
      <c r="F10" s="345">
        <f>SUM('15ovi'!F10+'15ovi'!F11+'15ovi'!F14)</f>
        <v>3300</v>
      </c>
      <c r="G10" s="345">
        <f>SUM('15ovi'!G10+'15ovi'!G11+'15ovi'!G14)</f>
        <v>3300</v>
      </c>
      <c r="H10" s="345">
        <f>SUM('15ovi'!H10+'15ovi'!H11+'15ovi'!H14)+'15ovi'!H13</f>
        <v>3300</v>
      </c>
      <c r="I10" s="345">
        <f>SUM('15ovi'!I10+'15ovi'!I11+'15ovi'!I14)+'15ovi'!I13</f>
        <v>1840</v>
      </c>
      <c r="J10" s="345">
        <f>SUM('15ovi'!J15)</f>
        <v>1733</v>
      </c>
    </row>
    <row r="11" spans="1:10" ht="12.75" customHeight="1">
      <c r="A11" s="411" t="s">
        <v>47</v>
      </c>
      <c r="B11" s="887"/>
      <c r="C11" s="254" t="s">
        <v>316</v>
      </c>
      <c r="D11" s="991"/>
      <c r="E11" s="345">
        <f>SUM('15ovi'!E16)</f>
        <v>790</v>
      </c>
      <c r="F11" s="345">
        <f>SUM('15ovi'!F16)</f>
        <v>0</v>
      </c>
      <c r="G11" s="345">
        <f>SUM('15ovi'!G16)</f>
        <v>0</v>
      </c>
      <c r="H11" s="345">
        <f>SUM('15ovi'!H16)</f>
        <v>20</v>
      </c>
      <c r="I11" s="345">
        <f>SUM('15ovi'!I16)</f>
        <v>20</v>
      </c>
      <c r="J11" s="345">
        <f>SUM('15ovi'!J16)</f>
        <v>1119</v>
      </c>
    </row>
    <row r="12" spans="1:10" ht="12.75" customHeight="1">
      <c r="A12" s="411" t="s">
        <v>49</v>
      </c>
      <c r="B12" s="887"/>
      <c r="C12" s="79" t="s">
        <v>886</v>
      </c>
      <c r="D12" s="991"/>
      <c r="E12" s="345">
        <f>SUM('15ovi'!E18)</f>
        <v>98574</v>
      </c>
      <c r="F12" s="345">
        <f>SUM('15ovi'!F22)-F13</f>
        <v>98357</v>
      </c>
      <c r="G12" s="345">
        <f>SUM('15ovi'!G22)-G13</f>
        <v>99003</v>
      </c>
      <c r="H12" s="345">
        <f>SUM('15ovi'!H22)-H13</f>
        <v>100866</v>
      </c>
      <c r="I12" s="345">
        <f>SUM('15ovi'!I22)-I13</f>
        <v>103649</v>
      </c>
      <c r="J12" s="345">
        <f>SUM('15ovi'!J22)-J13</f>
        <v>100637</v>
      </c>
    </row>
    <row r="13" spans="1:10" ht="12.75" customHeight="1">
      <c r="A13" s="411" t="s">
        <v>51</v>
      </c>
      <c r="B13" s="887"/>
      <c r="C13" s="79" t="s">
        <v>230</v>
      </c>
      <c r="D13" s="991"/>
      <c r="E13" s="345">
        <f>SUM('15ovi'!E21)</f>
        <v>722</v>
      </c>
      <c r="F13" s="345">
        <f>SUM('15ovi'!F21)</f>
        <v>3309</v>
      </c>
      <c r="G13" s="345">
        <f>SUM('15ovi'!G21)</f>
        <v>3309</v>
      </c>
      <c r="H13" s="345">
        <f>SUM('15ovi'!H21)</f>
        <v>3309</v>
      </c>
      <c r="I13" s="345">
        <f>SUM('15ovi'!I21)</f>
        <v>3309</v>
      </c>
      <c r="J13" s="345">
        <f>SUM('15ovi'!J21)</f>
        <v>3309</v>
      </c>
    </row>
    <row r="14" spans="1:10" ht="12.75" customHeight="1">
      <c r="A14" s="411" t="s">
        <v>53</v>
      </c>
      <c r="B14" s="887"/>
      <c r="C14" s="79"/>
      <c r="D14" s="991"/>
      <c r="E14" s="345"/>
      <c r="F14" s="345"/>
      <c r="G14" s="345"/>
      <c r="H14" s="345"/>
      <c r="I14" s="345"/>
      <c r="J14" s="345"/>
    </row>
    <row r="15" spans="1:10" s="810" customFormat="1" ht="12.75" customHeight="1">
      <c r="A15" s="405" t="s">
        <v>55</v>
      </c>
      <c r="B15" s="888" t="s">
        <v>173</v>
      </c>
      <c r="C15" s="889" t="s">
        <v>320</v>
      </c>
      <c r="D15" s="992"/>
      <c r="E15" s="890">
        <f aca="true" t="shared" si="1" ref="E15:J15">SUM(E16:E18)</f>
        <v>12508</v>
      </c>
      <c r="F15" s="890">
        <f t="shared" si="1"/>
        <v>11554</v>
      </c>
      <c r="G15" s="890">
        <f t="shared" si="1"/>
        <v>12508</v>
      </c>
      <c r="H15" s="890">
        <f t="shared" si="1"/>
        <v>14658</v>
      </c>
      <c r="I15" s="890">
        <f t="shared" si="1"/>
        <v>15449</v>
      </c>
      <c r="J15" s="890">
        <f t="shared" si="1"/>
        <v>14862</v>
      </c>
    </row>
    <row r="16" spans="1:10" ht="12.75" customHeight="1">
      <c r="A16" s="411" t="s">
        <v>57</v>
      </c>
      <c r="B16" s="887"/>
      <c r="C16" s="254" t="s">
        <v>885</v>
      </c>
      <c r="D16" s="991"/>
      <c r="E16" s="345">
        <f>SUM('16 műv ház'!E10)+'16 műv ház'!E11</f>
        <v>475</v>
      </c>
      <c r="F16" s="345">
        <f>SUM('16 műv ház'!F10)</f>
        <v>600</v>
      </c>
      <c r="G16" s="345">
        <f>SUM('16 műv ház'!G10)</f>
        <v>600</v>
      </c>
      <c r="H16" s="345">
        <f>SUM('16 műv ház'!H10)</f>
        <v>600</v>
      </c>
      <c r="I16" s="345">
        <f>SUM('16 műv ház'!I10)</f>
        <v>300</v>
      </c>
      <c r="J16" s="345">
        <f>SUM('16 műv ház'!J10)</f>
        <v>314</v>
      </c>
    </row>
    <row r="17" spans="1:10" ht="12.75" customHeight="1">
      <c r="A17" s="411" t="s">
        <v>86</v>
      </c>
      <c r="B17" s="887"/>
      <c r="C17" s="79" t="s">
        <v>887</v>
      </c>
      <c r="D17" s="991"/>
      <c r="E17" s="345">
        <f>SUM('16 műv ház'!E13)</f>
        <v>11904</v>
      </c>
      <c r="F17" s="345">
        <f>SUM('16 műv ház'!F13)</f>
        <v>10624</v>
      </c>
      <c r="G17" s="345">
        <f>SUM('16 műv ház'!G13)</f>
        <v>11578</v>
      </c>
      <c r="H17" s="345">
        <f>SUM('16 műv ház'!H13)</f>
        <v>13728</v>
      </c>
      <c r="I17" s="345">
        <f>SUM('16 műv ház'!I13)</f>
        <v>14819</v>
      </c>
      <c r="J17" s="345">
        <f>SUM('16 műv ház'!J13)</f>
        <v>14218</v>
      </c>
    </row>
    <row r="18" spans="1:10" ht="12.75" customHeight="1">
      <c r="A18" s="411" t="s">
        <v>59</v>
      </c>
      <c r="B18" s="157"/>
      <c r="C18" s="79" t="s">
        <v>230</v>
      </c>
      <c r="D18" s="991"/>
      <c r="E18" s="345">
        <v>129</v>
      </c>
      <c r="F18" s="345">
        <f>SUM('16 műv ház'!F16)</f>
        <v>330</v>
      </c>
      <c r="G18" s="345">
        <f>SUM('16 műv ház'!G16)</f>
        <v>330</v>
      </c>
      <c r="H18" s="345">
        <f>SUM('16 műv ház'!H16)</f>
        <v>330</v>
      </c>
      <c r="I18" s="345">
        <f>SUM('16 műv ház'!I16)</f>
        <v>330</v>
      </c>
      <c r="J18" s="345">
        <f>SUM('16 műv ház'!J16)</f>
        <v>330</v>
      </c>
    </row>
    <row r="19" spans="1:10" ht="12.75" customHeight="1">
      <c r="A19" s="411" t="s">
        <v>61</v>
      </c>
      <c r="B19" s="891"/>
      <c r="C19" s="79"/>
      <c r="D19" s="991"/>
      <c r="E19" s="345"/>
      <c r="F19" s="345"/>
      <c r="G19" s="345"/>
      <c r="H19" s="345"/>
      <c r="I19" s="345"/>
      <c r="J19" s="345"/>
    </row>
    <row r="20" spans="1:10" s="810" customFormat="1" ht="12.75" customHeight="1">
      <c r="A20" s="405" t="s">
        <v>63</v>
      </c>
      <c r="B20" s="814" t="s">
        <v>177</v>
      </c>
      <c r="C20" s="889" t="s">
        <v>305</v>
      </c>
      <c r="D20" s="992"/>
      <c r="E20" s="892">
        <f aca="true" t="shared" si="2" ref="E20:J20">SUM(E21:E24)</f>
        <v>76676</v>
      </c>
      <c r="F20" s="892">
        <f t="shared" si="2"/>
        <v>77406</v>
      </c>
      <c r="G20" s="892">
        <f t="shared" si="2"/>
        <v>77432</v>
      </c>
      <c r="H20" s="892">
        <f t="shared" si="2"/>
        <v>77432</v>
      </c>
      <c r="I20" s="892">
        <f t="shared" si="2"/>
        <v>76902</v>
      </c>
      <c r="J20" s="892">
        <f t="shared" si="2"/>
        <v>69711.51699999999</v>
      </c>
    </row>
    <row r="21" spans="1:10" ht="12.75" customHeight="1">
      <c r="A21" s="411" t="s">
        <v>65</v>
      </c>
      <c r="B21" s="891"/>
      <c r="C21" s="254" t="s">
        <v>885</v>
      </c>
      <c r="D21" s="991"/>
      <c r="E21" s="345">
        <f>SUM('17 PMH'!E10)</f>
        <v>790</v>
      </c>
      <c r="F21" s="345">
        <f>SUM('17 PMH'!F10)</f>
        <v>799</v>
      </c>
      <c r="G21" s="345">
        <f>SUM('17 PMH'!G10)</f>
        <v>799</v>
      </c>
      <c r="H21" s="345">
        <f>SUM('17 PMH'!H10)</f>
        <v>799</v>
      </c>
      <c r="I21" s="345">
        <f>SUM('17 PMH'!I10)</f>
        <v>796</v>
      </c>
      <c r="J21" s="345">
        <f>SUM('17 PMH'!J10)</f>
        <v>633</v>
      </c>
    </row>
    <row r="22" spans="1:10" ht="12.75" customHeight="1">
      <c r="A22" s="411" t="s">
        <v>92</v>
      </c>
      <c r="B22" s="891"/>
      <c r="C22" s="254" t="s">
        <v>888</v>
      </c>
      <c r="D22" s="991"/>
      <c r="E22" s="345">
        <f>SUM('17 PMH'!E12)</f>
        <v>877</v>
      </c>
      <c r="F22" s="345">
        <f>SUM('17 PMH'!F12)</f>
        <v>0</v>
      </c>
      <c r="G22" s="345">
        <f>SUM('17 PMH'!G12)</f>
        <v>0</v>
      </c>
      <c r="H22" s="345">
        <f>SUM('17 PMH'!H12)</f>
        <v>0</v>
      </c>
      <c r="I22" s="345">
        <f>SUM('17 PMH'!I12)</f>
        <v>951</v>
      </c>
      <c r="J22" s="345">
        <f>SUM('17 PMH'!J12)</f>
        <v>951</v>
      </c>
    </row>
    <row r="23" spans="1:10" ht="12.75" customHeight="1">
      <c r="A23" s="411" t="s">
        <v>66</v>
      </c>
      <c r="B23" s="891"/>
      <c r="C23" s="79" t="s">
        <v>887</v>
      </c>
      <c r="D23" s="991"/>
      <c r="E23" s="345">
        <f>SUM('17 PMH'!E15)</f>
        <v>74821</v>
      </c>
      <c r="F23" s="345">
        <f>SUM('17 PMH'!F15)</f>
        <v>74200</v>
      </c>
      <c r="G23" s="345">
        <f>SUM('17 PMH'!G15)</f>
        <v>74226</v>
      </c>
      <c r="H23" s="345">
        <f>SUM('17 PMH'!H15)</f>
        <v>74226</v>
      </c>
      <c r="I23" s="345">
        <f>SUM('17 PMH'!I15)</f>
        <v>72748</v>
      </c>
      <c r="J23" s="345">
        <f>SUM('17 PMH'!J15)</f>
        <v>65720.51699999999</v>
      </c>
    </row>
    <row r="24" spans="1:10" ht="12.75" customHeight="1">
      <c r="A24" s="411" t="s">
        <v>67</v>
      </c>
      <c r="B24" s="891"/>
      <c r="C24" s="79" t="s">
        <v>230</v>
      </c>
      <c r="D24" s="991"/>
      <c r="E24" s="345">
        <f>SUM('17 PMH'!E14)</f>
        <v>188</v>
      </c>
      <c r="F24" s="345">
        <f>SUM('17 PMH'!F14)</f>
        <v>2407</v>
      </c>
      <c r="G24" s="345">
        <f>SUM('17 PMH'!G14)</f>
        <v>2407</v>
      </c>
      <c r="H24" s="345">
        <f>SUM('17 PMH'!H14)</f>
        <v>2407</v>
      </c>
      <c r="I24" s="345">
        <f>SUM('17 PMH'!I14)</f>
        <v>2407</v>
      </c>
      <c r="J24" s="345">
        <f>SUM('17 PMH'!J14)</f>
        <v>2407</v>
      </c>
    </row>
    <row r="25" spans="1:10" ht="12.75" customHeight="1">
      <c r="A25" s="411" t="s">
        <v>68</v>
      </c>
      <c r="B25" s="891"/>
      <c r="C25" s="79"/>
      <c r="D25" s="991"/>
      <c r="E25" s="345"/>
      <c r="F25" s="345"/>
      <c r="G25" s="345"/>
      <c r="H25" s="345"/>
      <c r="I25" s="345"/>
      <c r="J25" s="345"/>
    </row>
    <row r="26" spans="1:10" s="394" customFormat="1" ht="12.75" customHeight="1">
      <c r="A26" s="405" t="s">
        <v>70</v>
      </c>
      <c r="B26" s="234" t="s">
        <v>179</v>
      </c>
      <c r="C26" s="86" t="s">
        <v>889</v>
      </c>
      <c r="D26" s="993"/>
      <c r="E26" s="167">
        <f>SUM(E27:E29)</f>
        <v>96426</v>
      </c>
      <c r="F26" s="167">
        <f>SUM(F27:F30)</f>
        <v>102425</v>
      </c>
      <c r="G26" s="167">
        <f>SUM(G27:G30)</f>
        <v>104393</v>
      </c>
      <c r="H26" s="167">
        <f>SUM(H27:H30)</f>
        <v>108076</v>
      </c>
      <c r="I26" s="167">
        <f>SUM(I27:I30)</f>
        <v>108076</v>
      </c>
      <c r="J26" s="167">
        <f>SUM(J27:J30)</f>
        <v>107831</v>
      </c>
    </row>
    <row r="27" spans="1:10" ht="12.75" customHeight="1">
      <c r="A27" s="411" t="s">
        <v>97</v>
      </c>
      <c r="B27" s="891"/>
      <c r="C27" s="254" t="s">
        <v>885</v>
      </c>
      <c r="D27" s="991"/>
      <c r="E27" s="345">
        <v>21184</v>
      </c>
      <c r="F27" s="345">
        <f>SUM('18VÜKI'!F12)</f>
        <v>19500</v>
      </c>
      <c r="G27" s="345">
        <f>SUM('18VÜKI'!G12)</f>
        <v>19500</v>
      </c>
      <c r="H27" s="345">
        <f>SUM('18VÜKI'!H12)</f>
        <v>19500</v>
      </c>
      <c r="I27" s="345">
        <f>SUM('18VÜKI'!I12)</f>
        <v>19500</v>
      </c>
      <c r="J27" s="345">
        <f>SUM('18VÜKI'!J12)</f>
        <v>22914</v>
      </c>
    </row>
    <row r="28" spans="1:10" ht="12.75" customHeight="1">
      <c r="A28" s="411" t="s">
        <v>99</v>
      </c>
      <c r="B28" s="891"/>
      <c r="C28" s="254" t="s">
        <v>888</v>
      </c>
      <c r="D28" s="991"/>
      <c r="E28" s="345">
        <v>5010</v>
      </c>
      <c r="F28" s="345">
        <f>SUM('18VÜKI'!F13)</f>
        <v>14288</v>
      </c>
      <c r="G28" s="345">
        <f>SUM('18VÜKI'!G13)</f>
        <v>14288</v>
      </c>
      <c r="H28" s="345">
        <f>SUM('18VÜKI'!H13)</f>
        <v>0</v>
      </c>
      <c r="I28" s="345">
        <f>SUM('18VÜKI'!I13)</f>
        <v>0</v>
      </c>
      <c r="J28" s="345">
        <f>SUM('18VÜKI'!J13)</f>
        <v>0</v>
      </c>
    </row>
    <row r="29" spans="1:10" ht="12.75" customHeight="1">
      <c r="A29" s="411" t="s">
        <v>101</v>
      </c>
      <c r="B29" s="891"/>
      <c r="C29" s="79" t="s">
        <v>887</v>
      </c>
      <c r="D29" s="991"/>
      <c r="E29" s="345">
        <f>SUM('18VÜKI'!E16)</f>
        <v>70232</v>
      </c>
      <c r="F29" s="345">
        <f>SUM('18VÜKI'!F18)</f>
        <v>65590</v>
      </c>
      <c r="G29" s="345">
        <f>SUM('18VÜKI'!G18)</f>
        <v>67558</v>
      </c>
      <c r="H29" s="345">
        <f>SUM('18VÜKI'!H18)</f>
        <v>85529</v>
      </c>
      <c r="I29" s="345">
        <f>SUM('18VÜKI'!I18)</f>
        <v>85529</v>
      </c>
      <c r="J29" s="345">
        <f>SUM('18VÜKI'!J18)</f>
        <v>81870</v>
      </c>
    </row>
    <row r="30" spans="1:10" ht="12.75" customHeight="1">
      <c r="A30" s="411" t="s">
        <v>103</v>
      </c>
      <c r="B30" s="891"/>
      <c r="C30" s="79" t="s">
        <v>230</v>
      </c>
      <c r="D30" s="991"/>
      <c r="E30" s="345">
        <f>SUM('18VÜKI'!E17)</f>
        <v>0</v>
      </c>
      <c r="F30" s="345">
        <f>SUM('18VÜKI'!F17)</f>
        <v>3047</v>
      </c>
      <c r="G30" s="345">
        <f>SUM('18VÜKI'!G17)</f>
        <v>3047</v>
      </c>
      <c r="H30" s="345">
        <f>SUM('18VÜKI'!H17)</f>
        <v>3047</v>
      </c>
      <c r="I30" s="345">
        <f>SUM('18VÜKI'!I17)</f>
        <v>3047</v>
      </c>
      <c r="J30" s="345">
        <f>SUM('18VÜKI'!J17)</f>
        <v>3047</v>
      </c>
    </row>
    <row r="31" spans="1:10" ht="12.75" customHeight="1">
      <c r="A31" s="411" t="s">
        <v>105</v>
      </c>
      <c r="B31" s="891"/>
      <c r="C31" s="79"/>
      <c r="D31" s="991"/>
      <c r="E31" s="345"/>
      <c r="F31" s="345"/>
      <c r="G31" s="345"/>
      <c r="H31" s="345"/>
      <c r="I31" s="345"/>
      <c r="J31" s="345"/>
    </row>
    <row r="32" spans="1:10" ht="12.75" customHeight="1">
      <c r="A32" s="405" t="s">
        <v>107</v>
      </c>
      <c r="B32" s="234" t="s">
        <v>180</v>
      </c>
      <c r="C32" s="86" t="s">
        <v>279</v>
      </c>
      <c r="D32" s="991"/>
      <c r="E32" s="165">
        <f aca="true" t="shared" si="3" ref="E32:J32">SUM(E33:E46)</f>
        <v>798572</v>
      </c>
      <c r="F32" s="165">
        <f t="shared" si="3"/>
        <v>557239</v>
      </c>
      <c r="G32" s="165">
        <f t="shared" si="3"/>
        <v>663709</v>
      </c>
      <c r="H32" s="165">
        <f t="shared" si="3"/>
        <v>669339</v>
      </c>
      <c r="I32" s="165">
        <f t="shared" si="3"/>
        <v>657710</v>
      </c>
      <c r="J32" s="165">
        <f t="shared" si="3"/>
        <v>662522</v>
      </c>
    </row>
    <row r="33" spans="1:10" ht="12.75" customHeight="1">
      <c r="A33" s="411" t="s">
        <v>99</v>
      </c>
      <c r="B33" s="891"/>
      <c r="C33" s="254" t="s">
        <v>885</v>
      </c>
      <c r="D33" s="991"/>
      <c r="E33" s="345">
        <f>SUM('19 önkormányzat'!E10)+'19 önkormányzat'!E19</f>
        <v>15099</v>
      </c>
      <c r="F33" s="345">
        <f>SUM('19 önkormányzat'!F10)+'19 önkormányzat'!F19</f>
        <v>20863</v>
      </c>
      <c r="G33" s="345">
        <f>SUM('19 önkormányzat'!G10)+'19 önkormányzat'!G19</f>
        <v>20863</v>
      </c>
      <c r="H33" s="345">
        <f>SUM('19 önkormányzat'!H10)+'19 önkormányzat'!H19</f>
        <v>25113</v>
      </c>
      <c r="I33" s="345">
        <f>SUM('19 önkormányzat'!I10)+'19 önkormányzat'!I19</f>
        <v>19318</v>
      </c>
      <c r="J33" s="1232">
        <f>SUM('19 önkormányzat'!J10)+'19 önkormányzat'!J19</f>
        <v>20623</v>
      </c>
    </row>
    <row r="34" spans="1:10" ht="12.75" customHeight="1">
      <c r="A34" s="411" t="s">
        <v>101</v>
      </c>
      <c r="B34" s="891"/>
      <c r="C34" s="254" t="s">
        <v>890</v>
      </c>
      <c r="D34" s="991"/>
      <c r="E34" s="345">
        <f>SUM('19 önkormányzat'!E13+'19 önkormányzat'!E18)</f>
        <v>36800</v>
      </c>
      <c r="F34" s="345">
        <f>SUM('19 önkormányzat'!F13+'19 önkormányzat'!F18)</f>
        <v>37625</v>
      </c>
      <c r="G34" s="345">
        <f>SUM('19 önkormányzat'!G13+'19 önkormányzat'!G18)</f>
        <v>37625</v>
      </c>
      <c r="H34" s="345">
        <f>SUM('19 önkormányzat'!H13+'19 önkormányzat'!H18)</f>
        <v>47018</v>
      </c>
      <c r="I34" s="345">
        <f>SUM('19 önkormányzat'!I13+'19 önkormányzat'!I18)</f>
        <v>44500</v>
      </c>
      <c r="J34" s="1232">
        <v>53977</v>
      </c>
    </row>
    <row r="35" spans="1:10" ht="12.75" customHeight="1">
      <c r="A35" s="411" t="s">
        <v>103</v>
      </c>
      <c r="B35" s="891"/>
      <c r="C35" s="254" t="s">
        <v>891</v>
      </c>
      <c r="D35" s="991"/>
      <c r="E35" s="345">
        <v>295</v>
      </c>
      <c r="F35" s="345">
        <v>1205</v>
      </c>
      <c r="G35" s="345">
        <v>1205</v>
      </c>
      <c r="H35" s="345">
        <v>1605</v>
      </c>
      <c r="I35" s="987">
        <v>468</v>
      </c>
      <c r="J35" s="1233">
        <v>859</v>
      </c>
    </row>
    <row r="36" spans="1:10" ht="30" customHeight="1">
      <c r="A36" s="411" t="s">
        <v>105</v>
      </c>
      <c r="B36" s="891"/>
      <c r="C36" s="893" t="s">
        <v>194</v>
      </c>
      <c r="D36" s="991"/>
      <c r="E36" s="345">
        <f>SUM('19 önkormányzat'!E31)</f>
        <v>10166</v>
      </c>
      <c r="F36" s="345">
        <f>SUM('19 önkormányzat'!F31)</f>
        <v>6052</v>
      </c>
      <c r="G36" s="345">
        <f>SUM('19 önkormányzat'!G31)</f>
        <v>6052</v>
      </c>
      <c r="H36" s="345">
        <f>SUM('19 önkormányzat'!H31)</f>
        <v>6052</v>
      </c>
      <c r="I36" s="345">
        <f>SUM('19 önkormányzat'!I31)</f>
        <v>4153</v>
      </c>
      <c r="J36" s="1232">
        <f>SUM('19 önkormányzat'!J31)</f>
        <v>11934</v>
      </c>
    </row>
    <row r="37" spans="1:10" ht="42" customHeight="1">
      <c r="A37" s="411" t="s">
        <v>107</v>
      </c>
      <c r="B37" s="891"/>
      <c r="C37" s="893" t="s">
        <v>753</v>
      </c>
      <c r="D37" s="991"/>
      <c r="E37" s="345">
        <f>SUM('19 önkormányzat'!E17)</f>
        <v>9214</v>
      </c>
      <c r="F37" s="345">
        <f>SUM('19 önkormányzat'!F17)</f>
        <v>0</v>
      </c>
      <c r="G37" s="345">
        <f>SUM('19 önkormányzat'!G17)</f>
        <v>0</v>
      </c>
      <c r="H37" s="345">
        <f>SUM('19 önkormányzat'!H17)</f>
        <v>1000</v>
      </c>
      <c r="I37" s="345">
        <f>SUM('19 önkormányzat'!I17)</f>
        <v>907</v>
      </c>
      <c r="J37" s="1232">
        <f>SUM('19 önkormányzat'!J17)</f>
        <v>956</v>
      </c>
    </row>
    <row r="38" spans="1:10" ht="12.75" customHeight="1">
      <c r="A38" s="411" t="s">
        <v>109</v>
      </c>
      <c r="B38" s="891"/>
      <c r="C38" s="254" t="s">
        <v>301</v>
      </c>
      <c r="D38" s="991"/>
      <c r="E38" s="345">
        <f>SUM('19 önkormányzat'!E26)</f>
        <v>189812</v>
      </c>
      <c r="F38" s="345">
        <f>SUM('19 önkormányzat'!F26)</f>
        <v>0</v>
      </c>
      <c r="G38" s="345">
        <f>SUM('19 önkormányzat'!G26)</f>
        <v>80000</v>
      </c>
      <c r="H38" s="345">
        <f>SUM('19 önkormányzat'!H26)</f>
        <v>80000</v>
      </c>
      <c r="I38" s="345">
        <f>SUM('19 önkormányzat'!I26)</f>
        <v>80000</v>
      </c>
      <c r="J38" s="1232">
        <f>SUM('19 önkormányzat'!J26)</f>
        <v>80110</v>
      </c>
    </row>
    <row r="39" spans="1:10" ht="12.75" customHeight="1">
      <c r="A39" s="411" t="s">
        <v>111</v>
      </c>
      <c r="B39" s="891"/>
      <c r="C39" s="254" t="s">
        <v>680</v>
      </c>
      <c r="D39" s="991"/>
      <c r="E39" s="345">
        <v>0</v>
      </c>
      <c r="F39" s="345">
        <v>0</v>
      </c>
      <c r="G39" s="345">
        <v>0</v>
      </c>
      <c r="H39" s="345">
        <v>0</v>
      </c>
      <c r="I39" s="345">
        <f>SUM('19 önkormányzat'!I27)</f>
        <v>805</v>
      </c>
      <c r="J39" s="1232">
        <f>SUM('19 önkormányzat'!J27)</f>
        <v>1577</v>
      </c>
    </row>
    <row r="40" spans="1:10" ht="12.75" customHeight="1">
      <c r="A40" s="411" t="s">
        <v>113</v>
      </c>
      <c r="B40" s="891"/>
      <c r="C40" s="254" t="s">
        <v>756</v>
      </c>
      <c r="D40" s="991"/>
      <c r="E40" s="345">
        <f>SUM('19 önkormányzat'!E22)</f>
        <v>9241</v>
      </c>
      <c r="F40" s="345">
        <f>SUM('19 önkormányzat'!F22)</f>
        <v>35000</v>
      </c>
      <c r="G40" s="345">
        <f>SUM('19 önkormányzat'!G22)</f>
        <v>47903</v>
      </c>
      <c r="H40" s="345">
        <f>SUM('19 önkormányzat'!H22)</f>
        <v>47903</v>
      </c>
      <c r="I40" s="345">
        <f>SUM('19 önkormányzat'!I22)</f>
        <v>39695</v>
      </c>
      <c r="J40" s="1232">
        <f>SUM('19 önkormányzat'!J22)</f>
        <v>7399</v>
      </c>
    </row>
    <row r="41" spans="1:10" ht="12.75" customHeight="1">
      <c r="A41" s="411" t="s">
        <v>115</v>
      </c>
      <c r="B41" s="891"/>
      <c r="C41" s="254" t="s">
        <v>299</v>
      </c>
      <c r="D41" s="991"/>
      <c r="E41" s="345">
        <v>0</v>
      </c>
      <c r="F41" s="345">
        <v>0</v>
      </c>
      <c r="G41" s="345">
        <v>12410</v>
      </c>
      <c r="H41" s="345">
        <f>SUM('19 önkormányzat'!H23)</f>
        <v>12410</v>
      </c>
      <c r="I41" s="345">
        <f>SUM('19 önkormányzat'!I23)</f>
        <v>1773</v>
      </c>
      <c r="J41" s="1232">
        <f>SUM('19 önkormányzat'!J23)</f>
        <v>0</v>
      </c>
    </row>
    <row r="42" spans="1:10" ht="12.75" customHeight="1">
      <c r="A42" s="411" t="s">
        <v>117</v>
      </c>
      <c r="B42" s="891"/>
      <c r="C42" s="254" t="s">
        <v>302</v>
      </c>
      <c r="D42" s="991"/>
      <c r="E42" s="345">
        <f>SUM('19 önkormányzat'!E29)</f>
        <v>0</v>
      </c>
      <c r="F42" s="345">
        <f>SUM('19 önkormányzat'!F29)</f>
        <v>90000</v>
      </c>
      <c r="G42" s="345">
        <f>SUM('19 önkormányzat'!G29)</f>
        <v>90000</v>
      </c>
      <c r="H42" s="345">
        <f>SUM('19 önkormányzat'!H29)</f>
        <v>80000</v>
      </c>
      <c r="I42" s="345">
        <f>SUM('19 önkormányzat'!I29)</f>
        <v>80000</v>
      </c>
      <c r="J42" s="1232">
        <f>SUM('19 önkormányzat'!J29)</f>
        <v>80000</v>
      </c>
    </row>
    <row r="43" spans="1:10" ht="12.75" customHeight="1">
      <c r="A43" s="411" t="s">
        <v>118</v>
      </c>
      <c r="B43" s="891"/>
      <c r="C43" s="254" t="s">
        <v>892</v>
      </c>
      <c r="D43" s="991"/>
      <c r="E43" s="345">
        <f>SUM('19 önkormányzat'!E12)</f>
        <v>175920</v>
      </c>
      <c r="F43" s="345">
        <f>SUM('19 önkormányzat'!F12)</f>
        <v>172951</v>
      </c>
      <c r="G43" s="345">
        <f>SUM('19 önkormányzat'!G12)</f>
        <v>174108</v>
      </c>
      <c r="H43" s="345">
        <f>SUM('19 önkormányzat'!H12)</f>
        <v>174695</v>
      </c>
      <c r="I43" s="345">
        <f>SUM('19 önkormányzat'!I12)</f>
        <v>185145</v>
      </c>
      <c r="J43" s="1232">
        <f>SUM('19 önkormányzat'!J12)</f>
        <v>185377</v>
      </c>
    </row>
    <row r="44" spans="1:10" ht="12.75" customHeight="1">
      <c r="A44" s="411" t="s">
        <v>120</v>
      </c>
      <c r="B44" s="891"/>
      <c r="C44" s="254" t="s">
        <v>893</v>
      </c>
      <c r="D44" s="991"/>
      <c r="E44" s="345">
        <f>SUM('19 önkormányzat'!E11)</f>
        <v>168798</v>
      </c>
      <c r="F44" s="345">
        <f>SUM('19 önkormányzat'!F11)</f>
        <v>142477</v>
      </c>
      <c r="G44" s="345">
        <f>SUM('19 önkormányzat'!G11)</f>
        <v>142477</v>
      </c>
      <c r="H44" s="345">
        <f>SUM('19 önkormányzat'!H11)</f>
        <v>142477</v>
      </c>
      <c r="I44" s="345">
        <f>SUM('19 önkormányzat'!I11)</f>
        <v>149880</v>
      </c>
      <c r="J44" s="1232">
        <f>SUM('19 önkormányzat'!J11)</f>
        <v>168644</v>
      </c>
    </row>
    <row r="45" spans="1:10" ht="12.75" customHeight="1">
      <c r="A45" s="411" t="s">
        <v>122</v>
      </c>
      <c r="B45" s="891"/>
      <c r="C45" s="79" t="s">
        <v>230</v>
      </c>
      <c r="D45" s="991"/>
      <c r="E45" s="354">
        <f>SUM('19 önkormányzat'!E32)</f>
        <v>73227</v>
      </c>
      <c r="F45" s="354">
        <f>SUM('19 önkormányzat'!F32)</f>
        <v>51066</v>
      </c>
      <c r="G45" s="354">
        <f>SUM('19 önkormányzat'!G32)</f>
        <v>51066</v>
      </c>
      <c r="H45" s="354">
        <f>SUM('19 önkormányzat'!H32)</f>
        <v>51066</v>
      </c>
      <c r="I45" s="354">
        <f>SUM('19 önkormányzat'!I32)</f>
        <v>51066</v>
      </c>
      <c r="J45" s="1232">
        <f>SUM('19 önkormányzat'!J32)</f>
        <v>51066</v>
      </c>
    </row>
    <row r="46" spans="1:10" ht="12.75" customHeight="1">
      <c r="A46" s="411" t="s">
        <v>124</v>
      </c>
      <c r="B46" s="891"/>
      <c r="C46" s="79" t="s">
        <v>894</v>
      </c>
      <c r="D46" s="991"/>
      <c r="E46" s="345">
        <f>SUM('19 önkormányzat'!E30)</f>
        <v>110000</v>
      </c>
      <c r="F46" s="345">
        <f>SUM('19 önkormányzat'!F30)</f>
        <v>0</v>
      </c>
      <c r="G46" s="345">
        <f>SUM('19 önkormányzat'!G30)</f>
        <v>0</v>
      </c>
      <c r="H46" s="345">
        <f>SUM('19 önkormányzat'!H30)</f>
        <v>0</v>
      </c>
      <c r="I46" s="345">
        <f>SUM('19 önkormányzat'!I30)</f>
        <v>0</v>
      </c>
      <c r="J46" s="1232">
        <f>SUM('19 önkormányzat'!J30)</f>
        <v>0</v>
      </c>
    </row>
    <row r="47" spans="1:10" ht="12.75" customHeight="1">
      <c r="A47" s="411" t="s">
        <v>126</v>
      </c>
      <c r="B47" s="891"/>
      <c r="C47" s="79" t="s">
        <v>709</v>
      </c>
      <c r="D47" s="991"/>
      <c r="E47" s="345">
        <f>SUM(-'15ovi'!E18-'16 műv ház'!E13)-'17 PMH'!E15-'18VÜKI'!E18</f>
        <v>-255531</v>
      </c>
      <c r="F47" s="345">
        <f>SUM(-'15ovi'!F18-'16 műv ház'!F13)-'17 PMH'!F15-'18VÜKI'!F18</f>
        <v>-248771</v>
      </c>
      <c r="G47" s="345">
        <f>SUM(-'15ovi'!G18-'16 műv ház'!G13)-'17 PMH'!G15-'18VÜKI'!G18</f>
        <v>-252365</v>
      </c>
      <c r="H47" s="345">
        <f>SUM(-'15ovi'!H18-'16 műv ház'!H13)-'17 PMH'!H15-'18VÜKI'!H18</f>
        <v>-274349</v>
      </c>
      <c r="I47" s="345">
        <f>SUM(-'15ovi'!I18-'16 műv ház'!I13)-'17 PMH'!I15-'18VÜKI'!I18</f>
        <v>-276745</v>
      </c>
      <c r="J47" s="345">
        <f>SUM(-'15ovi'!J18-'16 műv ház'!J13)-'17 PMH'!J15-'18VÜKI'!J18</f>
        <v>-262445.517</v>
      </c>
    </row>
    <row r="48" spans="1:10" s="394" customFormat="1" ht="12.75" customHeight="1" thickBot="1">
      <c r="A48" s="894" t="s">
        <v>128</v>
      </c>
      <c r="B48" s="895"/>
      <c r="C48" s="896" t="s">
        <v>116</v>
      </c>
      <c r="D48" s="994"/>
      <c r="E48" s="897">
        <f aca="true" t="shared" si="4" ref="E48:J48">E32+E26+E20+E15+E9+E47</f>
        <v>833924</v>
      </c>
      <c r="F48" s="897">
        <f t="shared" si="4"/>
        <v>604819</v>
      </c>
      <c r="G48" s="897">
        <f t="shared" si="4"/>
        <v>711289</v>
      </c>
      <c r="H48" s="897">
        <f t="shared" si="4"/>
        <v>702651</v>
      </c>
      <c r="I48" s="897">
        <f t="shared" si="4"/>
        <v>690210</v>
      </c>
      <c r="J48" s="897">
        <f t="shared" si="4"/>
        <v>699279</v>
      </c>
    </row>
    <row r="49" spans="1:4" ht="12.75" customHeight="1">
      <c r="A49" s="898"/>
      <c r="B49" s="898"/>
      <c r="C49" s="898"/>
      <c r="D49" s="995"/>
    </row>
    <row r="50" spans="1:10" ht="33.75" customHeight="1" thickBot="1">
      <c r="A50" s="1691" t="s">
        <v>156</v>
      </c>
      <c r="B50" s="1691"/>
      <c r="C50" s="900" t="s">
        <v>895</v>
      </c>
      <c r="D50" s="996" t="s">
        <v>725</v>
      </c>
      <c r="E50" s="467" t="s">
        <v>158</v>
      </c>
      <c r="F50" s="467" t="s">
        <v>159</v>
      </c>
      <c r="G50" s="467" t="s">
        <v>811</v>
      </c>
      <c r="H50" s="467" t="s">
        <v>812</v>
      </c>
      <c r="I50" s="467" t="s">
        <v>910</v>
      </c>
      <c r="J50" s="467" t="s">
        <v>1214</v>
      </c>
    </row>
    <row r="51" spans="1:10" ht="12.75" customHeight="1" thickBot="1" thickTop="1">
      <c r="A51" s="1691"/>
      <c r="B51" s="1691"/>
      <c r="C51" s="899" t="s">
        <v>163</v>
      </c>
      <c r="D51" s="997" t="s">
        <v>164</v>
      </c>
      <c r="E51" s="901" t="s">
        <v>165</v>
      </c>
      <c r="F51" s="901" t="s">
        <v>166</v>
      </c>
      <c r="G51" s="901" t="s">
        <v>167</v>
      </c>
      <c r="H51" s="901" t="s">
        <v>168</v>
      </c>
      <c r="I51" s="901" t="s">
        <v>226</v>
      </c>
      <c r="J51" s="901" t="s">
        <v>690</v>
      </c>
    </row>
    <row r="52" spans="1:10" ht="24.75" customHeight="1" thickTop="1">
      <c r="A52" s="902" t="s">
        <v>38</v>
      </c>
      <c r="B52" s="596" t="s">
        <v>169</v>
      </c>
      <c r="C52" s="753" t="s">
        <v>310</v>
      </c>
      <c r="D52" s="998">
        <f>'15ovi'!D60</f>
        <v>23</v>
      </c>
      <c r="E52" s="74">
        <f aca="true" t="shared" si="5" ref="E52:J52">SUM(E53:E56)</f>
        <v>105273</v>
      </c>
      <c r="F52" s="74">
        <f t="shared" si="5"/>
        <v>104966</v>
      </c>
      <c r="G52" s="74">
        <f t="shared" si="5"/>
        <v>105612</v>
      </c>
      <c r="H52" s="74">
        <f t="shared" si="5"/>
        <v>107495</v>
      </c>
      <c r="I52" s="74">
        <f t="shared" si="5"/>
        <v>108818</v>
      </c>
      <c r="J52" s="74">
        <f t="shared" si="5"/>
        <v>106798</v>
      </c>
    </row>
    <row r="53" spans="1:10" ht="12.75" customHeight="1">
      <c r="A53" s="903" t="s">
        <v>40</v>
      </c>
      <c r="B53" s="600"/>
      <c r="C53" s="92" t="str">
        <f>'15ovi'!C61</f>
        <v>Ebből: Személyi juttatás</v>
      </c>
      <c r="D53" s="999"/>
      <c r="E53" s="168">
        <f>SUM('15ovi'!E61)</f>
        <v>66474</v>
      </c>
      <c r="F53" s="168">
        <f>SUM('15ovi'!F61)</f>
        <v>66790</v>
      </c>
      <c r="G53" s="168">
        <f>SUM('15ovi'!G61)</f>
        <v>67323</v>
      </c>
      <c r="H53" s="168">
        <f>SUM('15ovi'!H61)</f>
        <v>67533</v>
      </c>
      <c r="I53" s="168">
        <f>SUM('15ovi'!I61)</f>
        <v>67533</v>
      </c>
      <c r="J53" s="168">
        <f>SUM('15ovi'!J61)</f>
        <v>64788</v>
      </c>
    </row>
    <row r="54" spans="1:10" ht="12.75" customHeight="1">
      <c r="A54" s="903" t="s">
        <v>47</v>
      </c>
      <c r="B54" s="600"/>
      <c r="C54" s="92" t="str">
        <f>'15ovi'!C62</f>
        <v>          Járulékok</v>
      </c>
      <c r="D54" s="999"/>
      <c r="E54" s="168">
        <f>SUM('15ovi'!E62)</f>
        <v>18144</v>
      </c>
      <c r="F54" s="168">
        <f>SUM('15ovi'!F62)</f>
        <v>17241</v>
      </c>
      <c r="G54" s="168">
        <f>SUM('15ovi'!G62)</f>
        <v>17354</v>
      </c>
      <c r="H54" s="168">
        <f>SUM('15ovi'!H62)</f>
        <v>17441</v>
      </c>
      <c r="I54" s="168">
        <f>SUM('15ovi'!I62)</f>
        <v>17441</v>
      </c>
      <c r="J54" s="168">
        <f>SUM('15ovi'!J62)</f>
        <v>17780</v>
      </c>
    </row>
    <row r="55" spans="1:10" ht="12.75" customHeight="1">
      <c r="A55" s="903" t="s">
        <v>49</v>
      </c>
      <c r="B55" s="600"/>
      <c r="C55" s="92" t="str">
        <f>'15ovi'!C63</f>
        <v>          Dologi kiadás</v>
      </c>
      <c r="D55" s="1000"/>
      <c r="E55" s="168">
        <f>SUM('15ovi'!E63)</f>
        <v>20189</v>
      </c>
      <c r="F55" s="168">
        <f>SUM('15ovi'!F63)</f>
        <v>20255</v>
      </c>
      <c r="G55" s="168">
        <f>SUM('15ovi'!G63)</f>
        <v>20255</v>
      </c>
      <c r="H55" s="168">
        <f>SUM('15ovi'!H63)</f>
        <v>21841</v>
      </c>
      <c r="I55" s="168">
        <f>SUM('15ovi'!I63)</f>
        <v>23164</v>
      </c>
      <c r="J55" s="168">
        <f>SUM('15ovi'!J63)</f>
        <v>23094</v>
      </c>
    </row>
    <row r="56" spans="1:10" ht="12.75" customHeight="1">
      <c r="A56" s="903" t="s">
        <v>51</v>
      </c>
      <c r="B56" s="600"/>
      <c r="C56" s="92" t="s">
        <v>374</v>
      </c>
      <c r="D56" s="999"/>
      <c r="E56" s="168">
        <f>SUM('15ovi'!E64)</f>
        <v>466</v>
      </c>
      <c r="F56" s="168">
        <f>SUM('15ovi'!F64)</f>
        <v>680</v>
      </c>
      <c r="G56" s="168">
        <f>SUM('15ovi'!G64)</f>
        <v>680</v>
      </c>
      <c r="H56" s="168">
        <f>SUM('15ovi'!H64)</f>
        <v>680</v>
      </c>
      <c r="I56" s="168">
        <f>SUM('15ovi'!I64)</f>
        <v>680</v>
      </c>
      <c r="J56" s="168">
        <f>SUM('15ovi'!J64)</f>
        <v>1136</v>
      </c>
    </row>
    <row r="57" spans="1:10" ht="12.75" customHeight="1">
      <c r="A57" s="902" t="s">
        <v>53</v>
      </c>
      <c r="B57" s="602" t="s">
        <v>173</v>
      </c>
      <c r="C57" s="86" t="s">
        <v>320</v>
      </c>
      <c r="D57" s="999">
        <f>'16 műv ház'!D40</f>
        <v>3</v>
      </c>
      <c r="E57" s="165">
        <f aca="true" t="shared" si="6" ref="E57:J57">SUM(E58:E61)</f>
        <v>12508</v>
      </c>
      <c r="F57" s="165">
        <f t="shared" si="6"/>
        <v>11554</v>
      </c>
      <c r="G57" s="165">
        <f t="shared" si="6"/>
        <v>12508</v>
      </c>
      <c r="H57" s="165">
        <f t="shared" si="6"/>
        <v>14658</v>
      </c>
      <c r="I57" s="165">
        <f t="shared" si="6"/>
        <v>15449</v>
      </c>
      <c r="J57" s="165">
        <f t="shared" si="6"/>
        <v>14862</v>
      </c>
    </row>
    <row r="58" spans="1:10" ht="12.75" customHeight="1">
      <c r="A58" s="903" t="s">
        <v>55</v>
      </c>
      <c r="B58" s="602"/>
      <c r="C58" s="431" t="str">
        <f>'16 műv ház'!C41</f>
        <v>Ebből: Személyi juttatás</v>
      </c>
      <c r="D58" s="1001"/>
      <c r="E58" s="168">
        <f>SUM('16 műv ház'!E41)</f>
        <v>5922</v>
      </c>
      <c r="F58" s="168">
        <f>SUM('16 műv ház'!F41)</f>
        <v>6552</v>
      </c>
      <c r="G58" s="168">
        <f>SUM('16 műv ház'!G41)</f>
        <v>6589</v>
      </c>
      <c r="H58" s="168">
        <f>SUM('16 műv ház'!H41)</f>
        <v>6589</v>
      </c>
      <c r="I58" s="168">
        <f>SUM('16 műv ház'!I41)</f>
        <v>6589</v>
      </c>
      <c r="J58" s="168">
        <f>SUM('16 műv ház'!J41)</f>
        <v>6754</v>
      </c>
    </row>
    <row r="59" spans="1:10" ht="12.75" customHeight="1">
      <c r="A59" s="903" t="s">
        <v>57</v>
      </c>
      <c r="B59" s="602"/>
      <c r="C59" s="431" t="str">
        <f>'16 műv ház'!C42</f>
        <v>          Járulékok</v>
      </c>
      <c r="D59" s="999"/>
      <c r="E59" s="168">
        <f>SUM('16 műv ház'!E42)</f>
        <v>1591</v>
      </c>
      <c r="F59" s="168">
        <f>SUM('16 műv ház'!F42)</f>
        <v>1792</v>
      </c>
      <c r="G59" s="168">
        <f>SUM('16 műv ház'!G42)</f>
        <v>1945</v>
      </c>
      <c r="H59" s="168">
        <f>SUM('16 műv ház'!H42)</f>
        <v>1945</v>
      </c>
      <c r="I59" s="168">
        <f>SUM('16 műv ház'!I42)</f>
        <v>1945</v>
      </c>
      <c r="J59" s="168">
        <f>SUM('16 műv ház'!J42)</f>
        <v>1824</v>
      </c>
    </row>
    <row r="60" spans="1:10" ht="12.75" customHeight="1">
      <c r="A60" s="903" t="s">
        <v>86</v>
      </c>
      <c r="B60" s="602"/>
      <c r="C60" s="431" t="str">
        <f>'16 műv ház'!C43</f>
        <v>          Dologi kiadás</v>
      </c>
      <c r="D60" s="1000"/>
      <c r="E60" s="168">
        <f>SUM('16 műv ház'!E43)</f>
        <v>4435</v>
      </c>
      <c r="F60" s="168">
        <f>SUM('16 műv ház'!F43)</f>
        <v>3210</v>
      </c>
      <c r="G60" s="168">
        <f>SUM('16 műv ház'!G43)</f>
        <v>3974</v>
      </c>
      <c r="H60" s="168">
        <f>SUM('16 műv ház'!H43)</f>
        <v>6124</v>
      </c>
      <c r="I60" s="168">
        <f>SUM('16 műv ház'!I43)</f>
        <v>6517</v>
      </c>
      <c r="J60" s="168">
        <f>SUM('16 műv ház'!J43)</f>
        <v>5921</v>
      </c>
    </row>
    <row r="61" spans="1:10" ht="12.75" customHeight="1">
      <c r="A61" s="903" t="s">
        <v>59</v>
      </c>
      <c r="B61" s="602"/>
      <c r="C61" s="431" t="s">
        <v>374</v>
      </c>
      <c r="D61" s="1000"/>
      <c r="E61" s="168">
        <f>SUM('16 műv ház'!E44)</f>
        <v>560</v>
      </c>
      <c r="F61" s="168">
        <f>SUM('16 műv ház'!F44)</f>
        <v>0</v>
      </c>
      <c r="G61" s="168">
        <f>SUM('16 műv ház'!G44)</f>
        <v>0</v>
      </c>
      <c r="H61" s="168">
        <f>SUM('16 műv ház'!H44)</f>
        <v>0</v>
      </c>
      <c r="I61" s="168">
        <f>SUM('16 műv ház'!I44)</f>
        <v>398</v>
      </c>
      <c r="J61" s="168">
        <f>SUM('16 műv ház'!J44)</f>
        <v>363</v>
      </c>
    </row>
    <row r="62" spans="1:10" ht="12.75" customHeight="1">
      <c r="A62" s="902" t="s">
        <v>61</v>
      </c>
      <c r="B62" s="602" t="s">
        <v>177</v>
      </c>
      <c r="C62" s="10" t="s">
        <v>305</v>
      </c>
      <c r="D62" s="1000">
        <f>'17 PMH'!D42</f>
        <v>16</v>
      </c>
      <c r="E62" s="165">
        <f aca="true" t="shared" si="7" ref="E62:J62">SUM(E63:E66)</f>
        <v>76676</v>
      </c>
      <c r="F62" s="165">
        <f t="shared" si="7"/>
        <v>77406</v>
      </c>
      <c r="G62" s="165">
        <f t="shared" si="7"/>
        <v>77432</v>
      </c>
      <c r="H62" s="165">
        <f t="shared" si="7"/>
        <v>77432</v>
      </c>
      <c r="I62" s="165">
        <f t="shared" si="7"/>
        <v>76902</v>
      </c>
      <c r="J62" s="165">
        <f t="shared" si="7"/>
        <v>69712</v>
      </c>
    </row>
    <row r="63" spans="1:10" ht="12.75" customHeight="1">
      <c r="A63" s="903" t="s">
        <v>63</v>
      </c>
      <c r="B63" s="602"/>
      <c r="C63" s="92" t="str">
        <f>'17 PMH'!C43</f>
        <v>Ebből: Személyi juttatás</v>
      </c>
      <c r="D63" s="999"/>
      <c r="E63" s="168">
        <f>SUM('17 PMH'!E43)</f>
        <v>50056</v>
      </c>
      <c r="F63" s="168">
        <f>SUM('17 PMH'!F43)</f>
        <v>50191</v>
      </c>
      <c r="G63" s="168">
        <f>SUM('17 PMH'!G43)</f>
        <v>50217</v>
      </c>
      <c r="H63" s="168">
        <f>SUM('17 PMH'!H43)</f>
        <v>50217</v>
      </c>
      <c r="I63" s="168">
        <f>SUM('17 PMH'!I43)</f>
        <v>50857</v>
      </c>
      <c r="J63" s="168">
        <f>SUM('17 PMH'!J43)</f>
        <v>45938</v>
      </c>
    </row>
    <row r="64" spans="1:10" ht="12.75" customHeight="1">
      <c r="A64" s="903" t="s">
        <v>65</v>
      </c>
      <c r="B64" s="602"/>
      <c r="C64" s="92" t="str">
        <f>'17 PMH'!C44</f>
        <v>          Járulékok</v>
      </c>
      <c r="D64" s="1000"/>
      <c r="E64" s="168">
        <f>SUM('17 PMH'!E44)</f>
        <v>12903</v>
      </c>
      <c r="F64" s="168">
        <f>SUM('17 PMH'!F44)</f>
        <v>13715</v>
      </c>
      <c r="G64" s="168">
        <f>SUM('17 PMH'!G44)</f>
        <v>13715</v>
      </c>
      <c r="H64" s="168">
        <f>SUM('17 PMH'!H44)</f>
        <v>13715</v>
      </c>
      <c r="I64" s="168">
        <f>SUM('17 PMH'!I44)</f>
        <v>13890</v>
      </c>
      <c r="J64" s="168">
        <f>SUM('17 PMH'!J44)</f>
        <v>12636</v>
      </c>
    </row>
    <row r="65" spans="1:10" ht="12.75" customHeight="1">
      <c r="A65" s="903" t="s">
        <v>92</v>
      </c>
      <c r="B65" s="602"/>
      <c r="C65" s="92" t="str">
        <f>'17 PMH'!C45</f>
        <v>          Dologi kiadás</v>
      </c>
      <c r="D65" s="999"/>
      <c r="E65" s="168">
        <f>SUM('17 PMH'!E45)</f>
        <v>13543</v>
      </c>
      <c r="F65" s="168">
        <f>SUM('17 PMH'!F45)</f>
        <v>13000</v>
      </c>
      <c r="G65" s="168">
        <f>SUM('17 PMH'!G45)</f>
        <v>13000</v>
      </c>
      <c r="H65" s="168">
        <f>SUM('17 PMH'!H45)</f>
        <v>13000</v>
      </c>
      <c r="I65" s="168">
        <f>SUM('17 PMH'!I45)</f>
        <v>12155</v>
      </c>
      <c r="J65" s="168">
        <f>SUM('17 PMH'!J45)</f>
        <v>11138</v>
      </c>
    </row>
    <row r="66" spans="1:10" ht="12.75" customHeight="1">
      <c r="A66" s="903" t="s">
        <v>66</v>
      </c>
      <c r="B66" s="602"/>
      <c r="C66" s="92" t="s">
        <v>374</v>
      </c>
      <c r="D66" s="999"/>
      <c r="E66" s="168">
        <f>SUM('17 PMH'!E46)</f>
        <v>174</v>
      </c>
      <c r="F66" s="168">
        <f>SUM('17 PMH'!F46)</f>
        <v>500</v>
      </c>
      <c r="G66" s="168">
        <f>SUM('17 PMH'!G46)</f>
        <v>500</v>
      </c>
      <c r="H66" s="168">
        <f>SUM('17 PMH'!H46)</f>
        <v>500</v>
      </c>
      <c r="I66" s="168">
        <f>SUM('17 PMH'!I46)</f>
        <v>0</v>
      </c>
      <c r="J66" s="168">
        <f>SUM('17 PMH'!J46)</f>
        <v>0</v>
      </c>
    </row>
    <row r="67" spans="1:10" s="394" customFormat="1" ht="12.75" customHeight="1">
      <c r="A67" s="902" t="s">
        <v>67</v>
      </c>
      <c r="B67" s="602" t="s">
        <v>179</v>
      </c>
      <c r="C67" s="10" t="s">
        <v>896</v>
      </c>
      <c r="D67" s="1000">
        <v>34.5</v>
      </c>
      <c r="E67" s="165">
        <f aca="true" t="shared" si="8" ref="E67:J67">SUM(E68:E71)</f>
        <v>96426</v>
      </c>
      <c r="F67" s="165">
        <f t="shared" si="8"/>
        <v>102425</v>
      </c>
      <c r="G67" s="165">
        <f t="shared" si="8"/>
        <v>104393</v>
      </c>
      <c r="H67" s="165">
        <f t="shared" si="8"/>
        <v>108076</v>
      </c>
      <c r="I67" s="165">
        <f t="shared" si="8"/>
        <v>108076</v>
      </c>
      <c r="J67" s="165">
        <f t="shared" si="8"/>
        <v>107831</v>
      </c>
    </row>
    <row r="68" spans="1:10" ht="12.75" customHeight="1">
      <c r="A68" s="903" t="s">
        <v>68</v>
      </c>
      <c r="B68" s="602"/>
      <c r="C68" s="92" t="s">
        <v>203</v>
      </c>
      <c r="D68" s="1000"/>
      <c r="E68" s="168">
        <f>SUM('18VÜKI'!E85)</f>
        <v>41422</v>
      </c>
      <c r="F68" s="168">
        <f>SUM('18VÜKI'!F85)</f>
        <v>50440</v>
      </c>
      <c r="G68" s="168">
        <f>SUM('18VÜKI'!G85)</f>
        <v>50508</v>
      </c>
      <c r="H68" s="168">
        <f>SUM('18VÜKI'!H85)</f>
        <v>50508</v>
      </c>
      <c r="I68" s="168">
        <f>SUM('18VÜKI'!I85)</f>
        <v>50508</v>
      </c>
      <c r="J68" s="168">
        <f>SUM('18VÜKI'!J85)</f>
        <v>48819</v>
      </c>
    </row>
    <row r="69" spans="1:10" ht="12.75" customHeight="1">
      <c r="A69" s="903" t="s">
        <v>70</v>
      </c>
      <c r="B69" s="602"/>
      <c r="C69" s="92" t="s">
        <v>897</v>
      </c>
      <c r="D69" s="1000"/>
      <c r="E69" s="168">
        <f>SUM('18VÜKI'!E86)</f>
        <v>10804</v>
      </c>
      <c r="F69" s="168">
        <f>SUM('18VÜKI'!F86)</f>
        <v>12285</v>
      </c>
      <c r="G69" s="168">
        <f>SUM('18VÜKI'!G86)</f>
        <v>12285</v>
      </c>
      <c r="H69" s="168">
        <f>SUM('18VÜKI'!H86)</f>
        <v>12285</v>
      </c>
      <c r="I69" s="168">
        <f>SUM('18VÜKI'!I86)</f>
        <v>12285</v>
      </c>
      <c r="J69" s="168">
        <f>SUM('18VÜKI'!J86)</f>
        <v>11558</v>
      </c>
    </row>
    <row r="70" spans="1:10" ht="12.75" customHeight="1">
      <c r="A70" s="903" t="s">
        <v>97</v>
      </c>
      <c r="B70" s="602"/>
      <c r="C70" s="92" t="s">
        <v>478</v>
      </c>
      <c r="D70" s="1000"/>
      <c r="E70" s="168">
        <f>SUM('18VÜKI'!E87)</f>
        <v>43079</v>
      </c>
      <c r="F70" s="168">
        <f>SUM('18VÜKI'!F87)</f>
        <v>39250</v>
      </c>
      <c r="G70" s="168">
        <f>SUM('18VÜKI'!G87)</f>
        <v>41150</v>
      </c>
      <c r="H70" s="168">
        <f>SUM('18VÜKI'!H87)</f>
        <v>42833</v>
      </c>
      <c r="I70" s="168">
        <f>SUM('18VÜKI'!I87)</f>
        <v>42833</v>
      </c>
      <c r="J70" s="168">
        <f>SUM('18VÜKI'!J87)</f>
        <v>45687</v>
      </c>
    </row>
    <row r="71" spans="1:10" ht="12.75" customHeight="1">
      <c r="A71" s="903" t="s">
        <v>99</v>
      </c>
      <c r="B71" s="602"/>
      <c r="C71" s="92" t="s">
        <v>374</v>
      </c>
      <c r="D71" s="1000"/>
      <c r="E71" s="168">
        <f>'18VÜKI'!E88</f>
        <v>1121</v>
      </c>
      <c r="F71" s="168">
        <f>'18VÜKI'!F88</f>
        <v>450</v>
      </c>
      <c r="G71" s="168">
        <f>'18VÜKI'!G88</f>
        <v>450</v>
      </c>
      <c r="H71" s="168">
        <f>'18VÜKI'!H88</f>
        <v>2450</v>
      </c>
      <c r="I71" s="168">
        <f>'18VÜKI'!I88</f>
        <v>2450</v>
      </c>
      <c r="J71" s="168">
        <f>'18VÜKI'!J88</f>
        <v>1767</v>
      </c>
    </row>
    <row r="72" spans="1:10" ht="12.75" customHeight="1">
      <c r="A72" s="902" t="s">
        <v>101</v>
      </c>
      <c r="B72" s="602" t="s">
        <v>180</v>
      </c>
      <c r="C72" s="10" t="s">
        <v>2</v>
      </c>
      <c r="D72" s="999">
        <v>4</v>
      </c>
      <c r="E72" s="165">
        <f>SUM(E73:E86)</f>
        <v>798572</v>
      </c>
      <c r="F72" s="165">
        <f>SUM(F73:F86)</f>
        <v>557239</v>
      </c>
      <c r="G72" s="165">
        <f>SUM(G73:G86)</f>
        <v>663709</v>
      </c>
      <c r="H72" s="165">
        <f>SUM(H73:H87)</f>
        <v>669339</v>
      </c>
      <c r="I72" s="165">
        <f>SUM(I73:I87)</f>
        <v>657710</v>
      </c>
      <c r="J72" s="165">
        <f>SUM(J73:J87)</f>
        <v>662522.517</v>
      </c>
    </row>
    <row r="73" spans="1:10" ht="12.75" customHeight="1">
      <c r="A73" s="903" t="s">
        <v>103</v>
      </c>
      <c r="B73" s="602"/>
      <c r="C73" s="92" t="s">
        <v>203</v>
      </c>
      <c r="D73" s="1000"/>
      <c r="E73" s="168">
        <f>SUM('19 önkormányzat'!E151)</f>
        <v>50286</v>
      </c>
      <c r="F73" s="168">
        <f>SUM('19 önkormányzat'!F151)</f>
        <v>38905</v>
      </c>
      <c r="G73" s="168">
        <f>SUM('19 önkormányzat'!G151)</f>
        <v>39062</v>
      </c>
      <c r="H73" s="168">
        <f>SUM('19 önkormányzat'!H151)</f>
        <v>40317</v>
      </c>
      <c r="I73" s="168">
        <f>SUM('19 önkormányzat'!I151)</f>
        <v>40317</v>
      </c>
      <c r="J73" s="1127">
        <f>SUM('19 önkormányzat'!J151)</f>
        <v>42461</v>
      </c>
    </row>
    <row r="74" spans="1:10" ht="12.75" customHeight="1">
      <c r="A74" s="903" t="s">
        <v>105</v>
      </c>
      <c r="B74" s="602"/>
      <c r="C74" s="92" t="s">
        <v>897</v>
      </c>
      <c r="D74" s="999"/>
      <c r="E74" s="168">
        <f>SUM('19 önkormányzat'!E152)</f>
        <v>12814</v>
      </c>
      <c r="F74" s="168">
        <f>SUM('19 önkormányzat'!F152)</f>
        <v>9959</v>
      </c>
      <c r="G74" s="168">
        <f>SUM('19 önkormányzat'!G152)</f>
        <v>9959</v>
      </c>
      <c r="H74" s="168">
        <f>SUM('19 önkormányzat'!H152)</f>
        <v>10283</v>
      </c>
      <c r="I74" s="168">
        <f>SUM('19 önkormányzat'!I152)</f>
        <v>10283</v>
      </c>
      <c r="J74" s="1127">
        <f>SUM('19 önkormányzat'!J152)</f>
        <v>10608</v>
      </c>
    </row>
    <row r="75" spans="1:10" ht="12.75" customHeight="1">
      <c r="A75" s="903" t="s">
        <v>107</v>
      </c>
      <c r="B75" s="600"/>
      <c r="C75" s="92" t="s">
        <v>478</v>
      </c>
      <c r="D75" s="999"/>
      <c r="E75" s="168">
        <f>SUM('19 önkormányzat'!E153)</f>
        <v>65098</v>
      </c>
      <c r="F75" s="168">
        <f>SUM('19 önkormányzat'!F153)</f>
        <v>43513</v>
      </c>
      <c r="G75" s="168">
        <f>SUM('19 önkormányzat'!G153)</f>
        <v>42615</v>
      </c>
      <c r="H75" s="168">
        <f>SUM('19 önkormányzat'!H153)</f>
        <v>63808</v>
      </c>
      <c r="I75" s="168">
        <f>SUM('19 önkormányzat'!I153)</f>
        <v>71129</v>
      </c>
      <c r="J75" s="1127">
        <f>SUM('19 önkormányzat'!J153)</f>
        <v>80556</v>
      </c>
    </row>
    <row r="76" spans="1:10" ht="12.75" customHeight="1">
      <c r="A76" s="903" t="s">
        <v>109</v>
      </c>
      <c r="B76" s="904"/>
      <c r="C76" s="92" t="s">
        <v>898</v>
      </c>
      <c r="D76" s="1001"/>
      <c r="E76" s="168">
        <f>SUM('19 önkormányzat'!E154)</f>
        <v>30871</v>
      </c>
      <c r="F76" s="168">
        <v>32764</v>
      </c>
      <c r="G76" s="168">
        <f>SUM('19 önkormányzat'!G154)</f>
        <v>33612</v>
      </c>
      <c r="H76" s="168">
        <f>SUM('19 önkormányzat'!H154)</f>
        <v>35577</v>
      </c>
      <c r="I76" s="168">
        <f>SUM('19 önkormányzat'!I154)</f>
        <v>35672</v>
      </c>
      <c r="J76" s="1127">
        <f>SUM('19 önkormányzat'!J154)</f>
        <v>34574</v>
      </c>
    </row>
    <row r="77" spans="1:10" ht="12.75" customHeight="1">
      <c r="A77" s="903" t="s">
        <v>111</v>
      </c>
      <c r="B77" s="904"/>
      <c r="C77" s="92" t="s">
        <v>211</v>
      </c>
      <c r="D77" s="1001"/>
      <c r="E77" s="168">
        <v>1200</v>
      </c>
      <c r="F77" s="168">
        <v>0</v>
      </c>
      <c r="G77" s="168">
        <v>0</v>
      </c>
      <c r="H77" s="168">
        <v>0</v>
      </c>
      <c r="I77" s="168">
        <v>0</v>
      </c>
      <c r="J77" s="1127">
        <v>0</v>
      </c>
    </row>
    <row r="78" spans="1:10" ht="12.75" customHeight="1">
      <c r="A78" s="903" t="s">
        <v>113</v>
      </c>
      <c r="B78" s="904"/>
      <c r="C78" s="92" t="s">
        <v>899</v>
      </c>
      <c r="D78" s="1001"/>
      <c r="E78" s="168">
        <f>SUM('19 önkormányzat'!E156)</f>
        <v>5432</v>
      </c>
      <c r="F78" s="168">
        <f>SUM('19 önkormányzat'!F156)</f>
        <v>3210</v>
      </c>
      <c r="G78" s="168">
        <f>SUM('19 önkormányzat'!G156)</f>
        <v>3210</v>
      </c>
      <c r="H78" s="168">
        <f>SUM('19 önkormányzat'!H156)</f>
        <v>3210</v>
      </c>
      <c r="I78" s="168">
        <f>SUM('19 önkormányzat'!I156)</f>
        <v>3274</v>
      </c>
      <c r="J78" s="1127">
        <f>SUM('19 önkormányzat'!J156)</f>
        <v>3228</v>
      </c>
    </row>
    <row r="79" spans="1:10" ht="12.75" customHeight="1">
      <c r="A79" s="903" t="s">
        <v>115</v>
      </c>
      <c r="B79" s="904"/>
      <c r="C79" s="92" t="s">
        <v>900</v>
      </c>
      <c r="D79" s="1000"/>
      <c r="E79" s="168">
        <f>SUM('19 önkormányzat'!E157)</f>
        <v>232698</v>
      </c>
      <c r="F79" s="168">
        <f>SUM('19 önkormányzat'!F157)</f>
        <v>125442</v>
      </c>
      <c r="G79" s="168">
        <f>SUM('19 önkormányzat'!G157)</f>
        <v>143701</v>
      </c>
      <c r="H79" s="168">
        <f>SUM('19 önkormányzat'!H157)</f>
        <v>117695</v>
      </c>
      <c r="I79" s="168">
        <f>SUM('19 önkormányzat'!I157)</f>
        <v>95187</v>
      </c>
      <c r="J79" s="1127">
        <f>SUM('19 önkormányzat'!J157)</f>
        <v>97942</v>
      </c>
    </row>
    <row r="80" spans="1:10" ht="12.75" customHeight="1">
      <c r="A80" s="903" t="s">
        <v>117</v>
      </c>
      <c r="B80" s="904"/>
      <c r="C80" s="92" t="s">
        <v>933</v>
      </c>
      <c r="D80" s="1000"/>
      <c r="E80" s="168">
        <v>0</v>
      </c>
      <c r="F80" s="168">
        <v>0</v>
      </c>
      <c r="G80" s="168">
        <v>0</v>
      </c>
      <c r="H80" s="168">
        <v>0</v>
      </c>
      <c r="I80" s="168">
        <v>805</v>
      </c>
      <c r="J80" s="1127">
        <v>1577</v>
      </c>
    </row>
    <row r="81" spans="1:10" ht="13.5" customHeight="1">
      <c r="A81" s="903" t="s">
        <v>118</v>
      </c>
      <c r="B81" s="904"/>
      <c r="C81" s="92" t="s">
        <v>901</v>
      </c>
      <c r="D81" s="999"/>
      <c r="E81" s="168">
        <f>SUM('19 önkormányzat'!E159)</f>
        <v>255531</v>
      </c>
      <c r="F81" s="168">
        <f>SUM('19 önkormányzat'!F159)</f>
        <v>248771</v>
      </c>
      <c r="G81" s="168">
        <f>SUM('19 önkormányzat'!G159)</f>
        <v>252365</v>
      </c>
      <c r="H81" s="172">
        <f>SUM('19 önkormányzat'!H159)</f>
        <v>274349</v>
      </c>
      <c r="I81" s="172">
        <f>SUM('19 önkormányzat'!I159)</f>
        <v>276745</v>
      </c>
      <c r="J81" s="1128">
        <f>SUM('19 önkormányzat'!J159)</f>
        <v>262445.517</v>
      </c>
    </row>
    <row r="82" spans="1:10" ht="13.5" customHeight="1">
      <c r="A82" s="903" t="s">
        <v>120</v>
      </c>
      <c r="B82" s="904"/>
      <c r="C82" s="92" t="s">
        <v>243</v>
      </c>
      <c r="D82" s="999"/>
      <c r="E82" s="168"/>
      <c r="F82" s="168">
        <v>12041</v>
      </c>
      <c r="G82" s="168">
        <v>80000</v>
      </c>
      <c r="H82" s="168">
        <v>80000</v>
      </c>
      <c r="I82" s="988">
        <v>80000</v>
      </c>
      <c r="J82" s="1231">
        <v>80000</v>
      </c>
    </row>
    <row r="83" spans="1:10" ht="29.25" customHeight="1">
      <c r="A83" s="903" t="s">
        <v>122</v>
      </c>
      <c r="B83" s="904"/>
      <c r="C83" s="471" t="s">
        <v>213</v>
      </c>
      <c r="D83" s="999"/>
      <c r="E83" s="168">
        <f>SUM('19 önkormányzat'!E160)</f>
        <v>9737</v>
      </c>
      <c r="F83" s="168">
        <f>SUM('19 önkormányzat'!F160)</f>
        <v>6052</v>
      </c>
      <c r="G83" s="168">
        <f>SUM('19 önkormányzat'!G160)</f>
        <v>7406</v>
      </c>
      <c r="H83" s="168">
        <f>SUM('19 önkormányzat'!H160)</f>
        <v>9718</v>
      </c>
      <c r="I83" s="988">
        <f>SUM('19 önkormányzat'!I160)</f>
        <v>10204</v>
      </c>
      <c r="J83" s="1231">
        <f>SUM('19 önkormányzat'!J160)</f>
        <v>11585</v>
      </c>
    </row>
    <row r="84" spans="1:10" ht="12.75" customHeight="1">
      <c r="A84" s="903" t="s">
        <v>124</v>
      </c>
      <c r="B84" s="904"/>
      <c r="C84" s="92" t="s">
        <v>793</v>
      </c>
      <c r="D84" s="999"/>
      <c r="E84" s="168">
        <f>SUM('19 önkormányzat'!E163)</f>
        <v>21035</v>
      </c>
      <c r="F84" s="168">
        <f>SUM('19 önkormányzat'!F163)</f>
        <v>36582</v>
      </c>
      <c r="G84" s="168">
        <f>SUM('19 önkormányzat'!G163)</f>
        <v>51720</v>
      </c>
      <c r="H84" s="168">
        <f>SUM('19 önkormányzat'!H163)</f>
        <v>33726</v>
      </c>
      <c r="I84" s="988">
        <f>SUM('19 önkormányzat'!I163)</f>
        <v>33438</v>
      </c>
      <c r="J84" s="988">
        <f>SUM('21 céltartalék'!G40)</f>
        <v>37290</v>
      </c>
    </row>
    <row r="85" spans="1:10" ht="12.75" customHeight="1">
      <c r="A85" s="903" t="s">
        <v>126</v>
      </c>
      <c r="B85" s="904"/>
      <c r="C85" s="92" t="s">
        <v>273</v>
      </c>
      <c r="D85" s="999"/>
      <c r="E85" s="168">
        <f>SUM('19 önkormányzat'!E162)</f>
        <v>110593</v>
      </c>
      <c r="F85" s="168">
        <f>SUM('19 önkormányzat'!F162)</f>
        <v>0</v>
      </c>
      <c r="G85" s="168">
        <f>SUM('19 önkormányzat'!G162)</f>
        <v>0</v>
      </c>
      <c r="H85" s="168">
        <f>SUM('19 önkormányzat'!H162)</f>
        <v>0</v>
      </c>
      <c r="I85" s="988">
        <f>SUM('19 önkormányzat'!I162)</f>
        <v>0</v>
      </c>
      <c r="J85" s="988">
        <f>SUM('19 önkormányzat'!J162)</f>
        <v>0</v>
      </c>
    </row>
    <row r="86" spans="1:10" ht="12.75" customHeight="1">
      <c r="A86" s="903" t="s">
        <v>128</v>
      </c>
      <c r="B86" s="904"/>
      <c r="C86" s="92" t="s">
        <v>238</v>
      </c>
      <c r="D86" s="999"/>
      <c r="E86" s="168">
        <f>SUM('19 önkormányzat'!E164)</f>
        <v>3277</v>
      </c>
      <c r="F86" s="168">
        <f>SUM('19 önkormányzat'!F164)</f>
        <v>0</v>
      </c>
      <c r="G86" s="168">
        <f>SUM('19 önkormányzat'!G164)</f>
        <v>59</v>
      </c>
      <c r="H86" s="168">
        <f>SUM('19 önkormányzat'!H164)</f>
        <v>256</v>
      </c>
      <c r="I86" s="988">
        <f>SUM('19 önkormányzat'!I164)</f>
        <v>256</v>
      </c>
      <c r="J86" s="988">
        <f>SUM('19 önkormányzat'!J164)</f>
        <v>256</v>
      </c>
    </row>
    <row r="87" spans="1:10" ht="12.75" customHeight="1">
      <c r="A87" s="903" t="s">
        <v>130</v>
      </c>
      <c r="B87" s="432"/>
      <c r="C87" s="433" t="s">
        <v>902</v>
      </c>
      <c r="D87" s="1002"/>
      <c r="E87" s="572">
        <v>0</v>
      </c>
      <c r="F87" s="572">
        <v>0</v>
      </c>
      <c r="G87" s="572">
        <v>0</v>
      </c>
      <c r="H87" s="572">
        <v>400</v>
      </c>
      <c r="I87" s="989">
        <v>400</v>
      </c>
      <c r="J87" s="989"/>
    </row>
    <row r="88" spans="1:10" s="394" customFormat="1" ht="12.75" customHeight="1">
      <c r="A88" s="905" t="s">
        <v>131</v>
      </c>
      <c r="B88" s="906"/>
      <c r="C88" s="907" t="s">
        <v>870</v>
      </c>
      <c r="D88" s="1003">
        <f>SUM(D52:D87)</f>
        <v>80.5</v>
      </c>
      <c r="E88" s="908">
        <f aca="true" t="shared" si="9" ref="E88:J88">E52+E57+E62+E72-E81+E67</f>
        <v>833924</v>
      </c>
      <c r="F88" s="908">
        <f t="shared" si="9"/>
        <v>604819</v>
      </c>
      <c r="G88" s="908">
        <f t="shared" si="9"/>
        <v>711289</v>
      </c>
      <c r="H88" s="908">
        <f t="shared" si="9"/>
        <v>702651</v>
      </c>
      <c r="I88" s="908">
        <f t="shared" si="9"/>
        <v>690210</v>
      </c>
      <c r="J88" s="908">
        <f t="shared" si="9"/>
        <v>699280</v>
      </c>
    </row>
    <row r="89" spans="1:10" ht="12.75" customHeight="1">
      <c r="A89" s="905" t="s">
        <v>133</v>
      </c>
      <c r="B89" s="909"/>
      <c r="C89" s="910" t="s">
        <v>903</v>
      </c>
      <c r="D89" s="1004"/>
      <c r="E89" s="912">
        <f aca="true" t="shared" si="10" ref="E89:J89">E88+E81</f>
        <v>1089455</v>
      </c>
      <c r="F89" s="912">
        <f t="shared" si="10"/>
        <v>853590</v>
      </c>
      <c r="G89" s="912">
        <f t="shared" si="10"/>
        <v>963654</v>
      </c>
      <c r="H89" s="912">
        <f t="shared" si="10"/>
        <v>977000</v>
      </c>
      <c r="I89" s="912">
        <f t="shared" si="10"/>
        <v>966955</v>
      </c>
      <c r="J89" s="912">
        <f t="shared" si="10"/>
        <v>961725.517</v>
      </c>
    </row>
    <row r="90" spans="1:10" ht="12.75" customHeight="1">
      <c r="A90" s="903" t="s">
        <v>135</v>
      </c>
      <c r="B90" s="491"/>
      <c r="C90" s="913" t="s">
        <v>904</v>
      </c>
      <c r="D90" s="999"/>
      <c r="E90" s="168"/>
      <c r="F90" s="168"/>
      <c r="G90" s="168"/>
      <c r="H90" s="168"/>
      <c r="I90" s="168"/>
      <c r="J90" s="168"/>
    </row>
    <row r="91" spans="1:10" ht="12.75" customHeight="1">
      <c r="A91" s="903" t="s">
        <v>137</v>
      </c>
      <c r="B91" s="491"/>
      <c r="C91" s="562" t="s">
        <v>905</v>
      </c>
      <c r="D91" s="999"/>
      <c r="E91" s="168">
        <f aca="true" t="shared" si="11" ref="E91:J91">E53+E58+E63+E68+E73</f>
        <v>214160</v>
      </c>
      <c r="F91" s="168">
        <f t="shared" si="11"/>
        <v>212878</v>
      </c>
      <c r="G91" s="168">
        <f t="shared" si="11"/>
        <v>213699</v>
      </c>
      <c r="H91" s="168">
        <f t="shared" si="11"/>
        <v>215164</v>
      </c>
      <c r="I91" s="168">
        <f t="shared" si="11"/>
        <v>215804</v>
      </c>
      <c r="J91" s="168">
        <f t="shared" si="11"/>
        <v>208760</v>
      </c>
    </row>
    <row r="92" spans="1:10" ht="12.75" customHeight="1">
      <c r="A92" s="903" t="s">
        <v>139</v>
      </c>
      <c r="B92" s="491"/>
      <c r="C92" s="562" t="s">
        <v>906</v>
      </c>
      <c r="D92" s="999"/>
      <c r="E92" s="168">
        <f aca="true" t="shared" si="12" ref="E92:J92">E74+E69+E64+E59+E54</f>
        <v>56256</v>
      </c>
      <c r="F92" s="168">
        <f t="shared" si="12"/>
        <v>54992</v>
      </c>
      <c r="G92" s="168">
        <f t="shared" si="12"/>
        <v>55258</v>
      </c>
      <c r="H92" s="168">
        <f t="shared" si="12"/>
        <v>55669</v>
      </c>
      <c r="I92" s="168">
        <f t="shared" si="12"/>
        <v>55844</v>
      </c>
      <c r="J92" s="168">
        <f t="shared" si="12"/>
        <v>54406</v>
      </c>
    </row>
    <row r="93" spans="1:10" ht="12.75" customHeight="1">
      <c r="A93" s="903" t="s">
        <v>141</v>
      </c>
      <c r="B93" s="491"/>
      <c r="C93" s="562" t="s">
        <v>907</v>
      </c>
      <c r="D93" s="999"/>
      <c r="E93" s="168">
        <f aca="true" t="shared" si="13" ref="E93:J93">E55+E60+E65+E70+E75</f>
        <v>146344</v>
      </c>
      <c r="F93" s="168">
        <f t="shared" si="13"/>
        <v>119228</v>
      </c>
      <c r="G93" s="168">
        <f t="shared" si="13"/>
        <v>120994</v>
      </c>
      <c r="H93" s="168">
        <f t="shared" si="13"/>
        <v>147606</v>
      </c>
      <c r="I93" s="168">
        <f t="shared" si="13"/>
        <v>155798</v>
      </c>
      <c r="J93" s="168">
        <f t="shared" si="13"/>
        <v>166396</v>
      </c>
    </row>
    <row r="94" spans="1:10" s="394" customFormat="1" ht="12.75" customHeight="1">
      <c r="A94" s="903" t="s">
        <v>143</v>
      </c>
      <c r="B94" s="914"/>
      <c r="C94" s="915" t="s">
        <v>25</v>
      </c>
      <c r="D94" s="1005"/>
      <c r="E94" s="176">
        <f aca="true" t="shared" si="14" ref="E94:J94">SUM(E91:E93)</f>
        <v>416760</v>
      </c>
      <c r="F94" s="176">
        <f t="shared" si="14"/>
        <v>387098</v>
      </c>
      <c r="G94" s="176">
        <f t="shared" si="14"/>
        <v>389951</v>
      </c>
      <c r="H94" s="176">
        <f t="shared" si="14"/>
        <v>418439</v>
      </c>
      <c r="I94" s="176">
        <f t="shared" si="14"/>
        <v>427446</v>
      </c>
      <c r="J94" s="176">
        <f t="shared" si="14"/>
        <v>429562</v>
      </c>
    </row>
    <row r="95" spans="1:10" s="394" customFormat="1" ht="12.75" customHeight="1">
      <c r="A95" s="903" t="s">
        <v>145</v>
      </c>
      <c r="B95" s="914"/>
      <c r="C95" s="561" t="s">
        <v>342</v>
      </c>
      <c r="D95" s="1000"/>
      <c r="E95" s="168">
        <f>E76</f>
        <v>30871</v>
      </c>
      <c r="F95" s="168">
        <f>F76</f>
        <v>32764</v>
      </c>
      <c r="G95" s="168">
        <f>G76</f>
        <v>33612</v>
      </c>
      <c r="H95" s="168">
        <f>H76+H87</f>
        <v>35977</v>
      </c>
      <c r="I95" s="168">
        <f>I76+I87</f>
        <v>36072</v>
      </c>
      <c r="J95" s="168">
        <f>J76+J87</f>
        <v>34574</v>
      </c>
    </row>
    <row r="96" spans="1:10" s="394" customFormat="1" ht="12.75" customHeight="1">
      <c r="A96" s="903" t="s">
        <v>147</v>
      </c>
      <c r="B96" s="914"/>
      <c r="C96" s="561" t="s">
        <v>211</v>
      </c>
      <c r="D96" s="1000"/>
      <c r="E96" s="168">
        <v>1200</v>
      </c>
      <c r="F96" s="168">
        <v>0</v>
      </c>
      <c r="G96" s="168">
        <v>0</v>
      </c>
      <c r="H96" s="168">
        <v>0</v>
      </c>
      <c r="I96" s="168">
        <v>0</v>
      </c>
      <c r="J96" s="168">
        <v>0</v>
      </c>
    </row>
    <row r="97" spans="1:10" s="394" customFormat="1" ht="12.75" customHeight="1">
      <c r="A97" s="903" t="s">
        <v>149</v>
      </c>
      <c r="B97" s="914"/>
      <c r="C97" s="561" t="s">
        <v>408</v>
      </c>
      <c r="D97" s="1000"/>
      <c r="E97" s="168">
        <f aca="true" t="shared" si="15" ref="E97:J97">E78</f>
        <v>5432</v>
      </c>
      <c r="F97" s="168">
        <f t="shared" si="15"/>
        <v>3210</v>
      </c>
      <c r="G97" s="168">
        <f t="shared" si="15"/>
        <v>3210</v>
      </c>
      <c r="H97" s="168">
        <f t="shared" si="15"/>
        <v>3210</v>
      </c>
      <c r="I97" s="168">
        <f t="shared" si="15"/>
        <v>3274</v>
      </c>
      <c r="J97" s="168">
        <f t="shared" si="15"/>
        <v>3228</v>
      </c>
    </row>
    <row r="98" spans="1:10" s="394" customFormat="1" ht="12.75" customHeight="1">
      <c r="A98" s="903" t="s">
        <v>151</v>
      </c>
      <c r="B98" s="914"/>
      <c r="C98" s="561" t="s">
        <v>410</v>
      </c>
      <c r="D98" s="1000"/>
      <c r="E98" s="168">
        <f aca="true" t="shared" si="16" ref="E98:J98">E56+E61+E66+E71+E79</f>
        <v>235019</v>
      </c>
      <c r="F98" s="168">
        <f t="shared" si="16"/>
        <v>127072</v>
      </c>
      <c r="G98" s="168">
        <f t="shared" si="16"/>
        <v>145331</v>
      </c>
      <c r="H98" s="168">
        <f t="shared" si="16"/>
        <v>121325</v>
      </c>
      <c r="I98" s="168">
        <f t="shared" si="16"/>
        <v>98715</v>
      </c>
      <c r="J98" s="168">
        <f t="shared" si="16"/>
        <v>101208</v>
      </c>
    </row>
    <row r="99" spans="1:10" s="394" customFormat="1" ht="12.75" customHeight="1">
      <c r="A99" s="903" t="s">
        <v>212</v>
      </c>
      <c r="B99" s="914"/>
      <c r="C99" s="561" t="s">
        <v>934</v>
      </c>
      <c r="D99" s="1000"/>
      <c r="E99" s="168">
        <v>0</v>
      </c>
      <c r="F99" s="168">
        <v>0</v>
      </c>
      <c r="G99" s="168">
        <v>0</v>
      </c>
      <c r="H99" s="168">
        <v>0</v>
      </c>
      <c r="I99" s="168">
        <v>805</v>
      </c>
      <c r="J99" s="168">
        <v>1577</v>
      </c>
    </row>
    <row r="100" spans="1:10" s="394" customFormat="1" ht="12.75" customHeight="1">
      <c r="A100" s="903" t="s">
        <v>214</v>
      </c>
      <c r="B100" s="914"/>
      <c r="C100" s="561" t="s">
        <v>412</v>
      </c>
      <c r="D100" s="1000"/>
      <c r="E100" s="168">
        <f aca="true" t="shared" si="17" ref="E100:J100">E81</f>
        <v>255531</v>
      </c>
      <c r="F100" s="168">
        <f t="shared" si="17"/>
        <v>248771</v>
      </c>
      <c r="G100" s="168">
        <f t="shared" si="17"/>
        <v>252365</v>
      </c>
      <c r="H100" s="168">
        <f t="shared" si="17"/>
        <v>274349</v>
      </c>
      <c r="I100" s="168">
        <f t="shared" si="17"/>
        <v>276745</v>
      </c>
      <c r="J100" s="168">
        <f t="shared" si="17"/>
        <v>262445.517</v>
      </c>
    </row>
    <row r="101" spans="1:10" s="394" customFormat="1" ht="12.75" customHeight="1">
      <c r="A101" s="903" t="s">
        <v>215</v>
      </c>
      <c r="B101" s="914"/>
      <c r="C101" s="561" t="s">
        <v>793</v>
      </c>
      <c r="D101" s="1000"/>
      <c r="E101" s="168">
        <f aca="true" t="shared" si="18" ref="E101:J101">E84</f>
        <v>21035</v>
      </c>
      <c r="F101" s="168">
        <f t="shared" si="18"/>
        <v>36582</v>
      </c>
      <c r="G101" s="168">
        <f t="shared" si="18"/>
        <v>51720</v>
      </c>
      <c r="H101" s="168">
        <f t="shared" si="18"/>
        <v>33726</v>
      </c>
      <c r="I101" s="168">
        <f t="shared" si="18"/>
        <v>33438</v>
      </c>
      <c r="J101" s="168">
        <f t="shared" si="18"/>
        <v>37290</v>
      </c>
    </row>
    <row r="102" spans="1:10" s="394" customFormat="1" ht="12.75" customHeight="1">
      <c r="A102" s="903" t="s">
        <v>217</v>
      </c>
      <c r="B102" s="914"/>
      <c r="C102" s="561" t="s">
        <v>273</v>
      </c>
      <c r="D102" s="1000"/>
      <c r="E102" s="168">
        <f aca="true" t="shared" si="19" ref="E102:I103">SUBTOTAL(9,E85)</f>
        <v>110593</v>
      </c>
      <c r="F102" s="168">
        <f t="shared" si="19"/>
        <v>0</v>
      </c>
      <c r="G102" s="168">
        <f t="shared" si="19"/>
        <v>0</v>
      </c>
      <c r="H102" s="168">
        <f t="shared" si="19"/>
        <v>0</v>
      </c>
      <c r="I102" s="168">
        <f t="shared" si="19"/>
        <v>0</v>
      </c>
      <c r="J102" s="168">
        <f>SUBTOTAL(9,J85)</f>
        <v>0</v>
      </c>
    </row>
    <row r="103" spans="1:10" s="394" customFormat="1" ht="12.75" customHeight="1">
      <c r="A103" s="903" t="s">
        <v>219</v>
      </c>
      <c r="B103" s="914"/>
      <c r="C103" s="561" t="s">
        <v>238</v>
      </c>
      <c r="D103" s="1000"/>
      <c r="E103" s="168">
        <f t="shared" si="19"/>
        <v>3277</v>
      </c>
      <c r="F103" s="168">
        <f t="shared" si="19"/>
        <v>0</v>
      </c>
      <c r="G103" s="168">
        <f t="shared" si="19"/>
        <v>59</v>
      </c>
      <c r="H103" s="168">
        <f t="shared" si="19"/>
        <v>256</v>
      </c>
      <c r="I103" s="168">
        <f t="shared" si="19"/>
        <v>256</v>
      </c>
      <c r="J103" s="168">
        <f>SUBTOTAL(9,J86)</f>
        <v>256</v>
      </c>
    </row>
    <row r="104" spans="1:10" s="394" customFormat="1" ht="12.75" customHeight="1">
      <c r="A104" s="903" t="s">
        <v>369</v>
      </c>
      <c r="B104" s="914"/>
      <c r="C104" s="561" t="s">
        <v>213</v>
      </c>
      <c r="D104" s="1000"/>
      <c r="E104" s="168">
        <f aca="true" t="shared" si="20" ref="E104:J104">E83</f>
        <v>9737</v>
      </c>
      <c r="F104" s="168">
        <f t="shared" si="20"/>
        <v>6052</v>
      </c>
      <c r="G104" s="168">
        <f t="shared" si="20"/>
        <v>7406</v>
      </c>
      <c r="H104" s="168">
        <f t="shared" si="20"/>
        <v>9718</v>
      </c>
      <c r="I104" s="168">
        <f t="shared" si="20"/>
        <v>10204</v>
      </c>
      <c r="J104" s="168">
        <f t="shared" si="20"/>
        <v>11585</v>
      </c>
    </row>
    <row r="105" spans="1:10" s="394" customFormat="1" ht="12.75" customHeight="1">
      <c r="A105" s="903" t="s">
        <v>370</v>
      </c>
      <c r="B105" s="914"/>
      <c r="C105" s="561" t="s">
        <v>243</v>
      </c>
      <c r="D105" s="1000"/>
      <c r="E105" s="168"/>
      <c r="F105" s="168">
        <v>12041</v>
      </c>
      <c r="G105" s="168">
        <v>80000</v>
      </c>
      <c r="H105" s="168">
        <v>80000</v>
      </c>
      <c r="I105" s="168">
        <v>80000</v>
      </c>
      <c r="J105" s="168">
        <v>80000</v>
      </c>
    </row>
    <row r="106" spans="1:10" s="394" customFormat="1" ht="12.75" customHeight="1">
      <c r="A106" s="903" t="s">
        <v>371</v>
      </c>
      <c r="B106" s="911"/>
      <c r="C106" s="916" t="s">
        <v>870</v>
      </c>
      <c r="D106" s="1004"/>
      <c r="E106" s="912">
        <f>SUM(E94:E104)</f>
        <v>1089455</v>
      </c>
      <c r="F106" s="912">
        <f>SUM(F94:F105)</f>
        <v>853590</v>
      </c>
      <c r="G106" s="912">
        <f>SUM(G94:G105)</f>
        <v>963654</v>
      </c>
      <c r="H106" s="912">
        <f>SUM(H94:H105)</f>
        <v>977000</v>
      </c>
      <c r="I106" s="912">
        <f>SUM(I94:I105)</f>
        <v>966955</v>
      </c>
      <c r="J106" s="912">
        <f>SUM(J94:J105)</f>
        <v>961725.517</v>
      </c>
    </row>
  </sheetData>
  <sheetProtection selectLockedCells="1" selectUnlockedCells="1"/>
  <mergeCells count="10">
    <mergeCell ref="A2:J2"/>
    <mergeCell ref="A1:J1"/>
    <mergeCell ref="A7:B8"/>
    <mergeCell ref="C7:D7"/>
    <mergeCell ref="C8:D8"/>
    <mergeCell ref="A50:B51"/>
    <mergeCell ref="A5:E5"/>
    <mergeCell ref="A6:J6"/>
    <mergeCell ref="A4:J4"/>
    <mergeCell ref="A3:J3"/>
  </mergeCells>
  <printOptions/>
  <pageMargins left="0.9055555555555556" right="0.7479166666666667" top="0.19652777777777777" bottom="0.43333333333333335" header="0.5118055555555555" footer="0.15763888888888888"/>
  <pageSetup horizontalDpi="300" verticalDpi="300" orientation="portrait" paperSize="9" scale="66" r:id="rId1"/>
  <headerFooter alignWithMargins="0">
    <oddFooter>&amp;C&amp;P. oldal</oddFooter>
  </headerFooter>
  <rowBreaks count="1" manualBreakCount="1">
    <brk id="7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21" customWidth="1"/>
    <col min="2" max="2" width="37.57421875" style="21" customWidth="1"/>
    <col min="3" max="7" width="8.7109375" style="28" customWidth="1"/>
    <col min="8" max="16384" width="11.57421875" style="21" customWidth="1"/>
  </cols>
  <sheetData>
    <row r="1" ht="12.75" customHeight="1">
      <c r="F1" s="29" t="s">
        <v>30</v>
      </c>
    </row>
    <row r="2" ht="12.75" customHeight="1">
      <c r="E2" s="30" t="s">
        <v>1</v>
      </c>
    </row>
    <row r="3" ht="12.75" customHeight="1">
      <c r="C3" s="29"/>
    </row>
    <row r="4" spans="2:6" ht="22.5" customHeight="1">
      <c r="B4" s="1491" t="s">
        <v>31</v>
      </c>
      <c r="C4" s="1491"/>
      <c r="D4" s="1491"/>
      <c r="E4" s="1491"/>
      <c r="F4" s="1491"/>
    </row>
    <row r="5" spans="2:6" ht="14.25" customHeight="1">
      <c r="B5" s="31"/>
      <c r="C5" s="31"/>
      <c r="D5" s="31"/>
      <c r="E5" s="31"/>
      <c r="F5" s="31"/>
    </row>
    <row r="6" spans="2:7" ht="58.5" customHeight="1">
      <c r="B6" s="1492" t="s">
        <v>32</v>
      </c>
      <c r="C6" s="1492"/>
      <c r="D6" s="1492"/>
      <c r="E6" s="1492"/>
      <c r="F6" s="1492"/>
      <c r="G6" s="1492"/>
    </row>
    <row r="7" spans="2:3" ht="12.75" customHeight="1">
      <c r="B7" s="32"/>
      <c r="C7" s="33"/>
    </row>
    <row r="8" ht="12.75" customHeight="1">
      <c r="G8" s="34" t="s">
        <v>5</v>
      </c>
    </row>
    <row r="9" spans="1:7" ht="50.25" customHeight="1">
      <c r="A9" s="35" t="s">
        <v>33</v>
      </c>
      <c r="B9" s="36" t="s">
        <v>24</v>
      </c>
      <c r="C9" s="37" t="s">
        <v>34</v>
      </c>
      <c r="D9" s="37" t="s">
        <v>35</v>
      </c>
      <c r="E9" s="37" t="s">
        <v>36</v>
      </c>
      <c r="F9" s="37" t="s">
        <v>37</v>
      </c>
      <c r="G9" s="38" t="s">
        <v>25</v>
      </c>
    </row>
    <row r="10" spans="1:7" s="23" customFormat="1" ht="27.75" customHeight="1">
      <c r="A10" s="39" t="s">
        <v>38</v>
      </c>
      <c r="B10" s="40" t="s">
        <v>39</v>
      </c>
      <c r="C10" s="41">
        <v>132230</v>
      </c>
      <c r="D10" s="41">
        <v>137916</v>
      </c>
      <c r="E10" s="41">
        <v>143846</v>
      </c>
      <c r="F10" s="41">
        <v>150031</v>
      </c>
      <c r="G10" s="41">
        <f aca="true" t="shared" si="0" ref="G10:G18">SUM(C10:F10)</f>
        <v>564023</v>
      </c>
    </row>
    <row r="11" spans="1:7" s="23" customFormat="1" ht="27.75" customHeight="1">
      <c r="A11" s="42" t="s">
        <v>40</v>
      </c>
      <c r="B11" s="43" t="s">
        <v>41</v>
      </c>
      <c r="C11" s="44"/>
      <c r="D11" s="44"/>
      <c r="E11" s="44"/>
      <c r="F11" s="44"/>
      <c r="G11" s="41">
        <f t="shared" si="0"/>
        <v>0</v>
      </c>
    </row>
    <row r="12" spans="1:7" ht="15" customHeight="1">
      <c r="A12" s="27"/>
      <c r="B12" s="45" t="s">
        <v>42</v>
      </c>
      <c r="C12" s="46">
        <v>100</v>
      </c>
      <c r="D12" s="46">
        <v>105</v>
      </c>
      <c r="E12" s="46">
        <v>110</v>
      </c>
      <c r="F12" s="46">
        <v>115</v>
      </c>
      <c r="G12" s="41">
        <f t="shared" si="0"/>
        <v>430</v>
      </c>
    </row>
    <row r="13" spans="1:7" ht="15" customHeight="1">
      <c r="A13" s="27"/>
      <c r="B13" s="45" t="s">
        <v>43</v>
      </c>
      <c r="C13" s="46"/>
      <c r="D13" s="46"/>
      <c r="E13" s="46"/>
      <c r="F13" s="46"/>
      <c r="G13" s="41">
        <f t="shared" si="0"/>
        <v>0</v>
      </c>
    </row>
    <row r="14" spans="1:7" ht="15" customHeight="1">
      <c r="A14" s="27"/>
      <c r="B14" s="45" t="s">
        <v>44</v>
      </c>
      <c r="C14" s="46">
        <v>4385</v>
      </c>
      <c r="D14" s="46">
        <v>4574</v>
      </c>
      <c r="E14" s="46">
        <v>4770</v>
      </c>
      <c r="F14" s="46">
        <v>4980</v>
      </c>
      <c r="G14" s="41">
        <f t="shared" si="0"/>
        <v>18709</v>
      </c>
    </row>
    <row r="15" spans="1:7" ht="15" customHeight="1">
      <c r="A15" s="27"/>
      <c r="B15" s="45" t="s">
        <v>45</v>
      </c>
      <c r="C15" s="46">
        <v>1240</v>
      </c>
      <c r="D15" s="46">
        <v>1300</v>
      </c>
      <c r="E15" s="46">
        <v>1360</v>
      </c>
      <c r="F15" s="46">
        <v>1420</v>
      </c>
      <c r="G15" s="41">
        <f t="shared" si="0"/>
        <v>5320</v>
      </c>
    </row>
    <row r="16" spans="1:7" ht="15" customHeight="1">
      <c r="A16" s="27"/>
      <c r="B16" s="45" t="s">
        <v>46</v>
      </c>
      <c r="C16" s="46"/>
      <c r="D16" s="46"/>
      <c r="E16" s="46"/>
      <c r="F16" s="46"/>
      <c r="G16" s="41">
        <f t="shared" si="0"/>
        <v>0</v>
      </c>
    </row>
    <row r="17" spans="1:7" ht="27.75" customHeight="1">
      <c r="A17" s="27" t="s">
        <v>47</v>
      </c>
      <c r="B17" s="45" t="s">
        <v>48</v>
      </c>
      <c r="C17" s="46"/>
      <c r="D17" s="46"/>
      <c r="E17" s="46"/>
      <c r="F17" s="46"/>
      <c r="G17" s="41">
        <f t="shared" si="0"/>
        <v>0</v>
      </c>
    </row>
    <row r="18" spans="1:7" ht="27.75" customHeight="1">
      <c r="A18" s="27" t="s">
        <v>49</v>
      </c>
      <c r="B18" s="45" t="s">
        <v>50</v>
      </c>
      <c r="C18" s="46"/>
      <c r="D18" s="46"/>
      <c r="E18" s="46"/>
      <c r="F18" s="46"/>
      <c r="G18" s="41">
        <f t="shared" si="0"/>
        <v>0</v>
      </c>
    </row>
    <row r="19" spans="1:7" s="23" customFormat="1" ht="27.75" customHeight="1">
      <c r="A19" s="27" t="s">
        <v>51</v>
      </c>
      <c r="B19" s="43" t="s">
        <v>52</v>
      </c>
      <c r="C19" s="44">
        <f>SUM(C10:C18)</f>
        <v>137955</v>
      </c>
      <c r="D19" s="44">
        <f>SUM(D10:D18)</f>
        <v>143895</v>
      </c>
      <c r="E19" s="44">
        <f>SUM(E10:E18)</f>
        <v>150086</v>
      </c>
      <c r="F19" s="44">
        <f>SUM(F10:F18)</f>
        <v>156546</v>
      </c>
      <c r="G19" s="44">
        <f>SUM(G10:G18)</f>
        <v>588482</v>
      </c>
    </row>
    <row r="20" spans="1:7" s="23" customFormat="1" ht="27.75" customHeight="1">
      <c r="A20" s="27" t="s">
        <v>53</v>
      </c>
      <c r="B20" s="43" t="s">
        <v>54</v>
      </c>
      <c r="C20" s="47">
        <f>C19/2</f>
        <v>68977.5</v>
      </c>
      <c r="D20" s="47">
        <f>D19/2</f>
        <v>71947.5</v>
      </c>
      <c r="E20" s="44">
        <f>E19/2</f>
        <v>75043</v>
      </c>
      <c r="F20" s="44">
        <f>F19/2</f>
        <v>78273</v>
      </c>
      <c r="G20" s="44">
        <f>G19/2</f>
        <v>294241</v>
      </c>
    </row>
    <row r="21" spans="1:7" s="23" customFormat="1" ht="27.75" customHeight="1">
      <c r="A21" s="27" t="s">
        <v>55</v>
      </c>
      <c r="B21" s="43" t="s">
        <v>56</v>
      </c>
      <c r="C21" s="44">
        <f>SUM(C22:C24)</f>
        <v>0</v>
      </c>
      <c r="D21" s="44">
        <f>SUM(D22:D24)</f>
        <v>0</v>
      </c>
      <c r="E21" s="44">
        <f>SUM(E22:E24)</f>
        <v>0</v>
      </c>
      <c r="F21" s="44">
        <f>SUM(F22:F24)</f>
        <v>0</v>
      </c>
      <c r="G21" s="44">
        <f>SUM(G22:G24)</f>
        <v>0</v>
      </c>
    </row>
    <row r="22" spans="1:7" ht="27.75" customHeight="1">
      <c r="A22" s="27" t="s">
        <v>57</v>
      </c>
      <c r="B22" s="45" t="s">
        <v>58</v>
      </c>
      <c r="C22" s="46"/>
      <c r="D22" s="46"/>
      <c r="E22" s="46"/>
      <c r="F22" s="46"/>
      <c r="G22" s="48">
        <f>SUM(C22:F22)</f>
        <v>0</v>
      </c>
    </row>
    <row r="23" spans="1:7" ht="27.75" customHeight="1">
      <c r="A23" s="27" t="s">
        <v>59</v>
      </c>
      <c r="B23" s="45" t="s">
        <v>60</v>
      </c>
      <c r="C23" s="46"/>
      <c r="D23" s="46"/>
      <c r="E23" s="46"/>
      <c r="F23" s="46"/>
      <c r="G23" s="48">
        <f>SUM(C23:F23)</f>
        <v>0</v>
      </c>
    </row>
    <row r="24" spans="1:7" ht="26.25" customHeight="1">
      <c r="A24" s="27" t="s">
        <v>61</v>
      </c>
      <c r="B24" s="45" t="s">
        <v>62</v>
      </c>
      <c r="C24" s="46"/>
      <c r="D24" s="46"/>
      <c r="E24" s="46"/>
      <c r="F24" s="46"/>
      <c r="G24" s="48">
        <f>SUM(C24:F24)</f>
        <v>0</v>
      </c>
    </row>
    <row r="25" spans="1:7" ht="26.25" customHeight="1">
      <c r="A25" s="27" t="s">
        <v>63</v>
      </c>
      <c r="B25" s="43" t="s">
        <v>64</v>
      </c>
      <c r="C25" s="44">
        <f>SUM(C26:C28)</f>
        <v>0</v>
      </c>
      <c r="D25" s="44">
        <f>SUM(D26:D28)</f>
        <v>0</v>
      </c>
      <c r="E25" s="44">
        <f>SUM(E26:E28)</f>
        <v>0</v>
      </c>
      <c r="F25" s="44">
        <f>SUM(F26:F28)</f>
        <v>0</v>
      </c>
      <c r="G25" s="44">
        <f>SUM(G26:G28)</f>
        <v>0</v>
      </c>
    </row>
    <row r="26" spans="1:7" ht="12.75" customHeight="1">
      <c r="A26" s="27" t="s">
        <v>65</v>
      </c>
      <c r="B26" s="45" t="s">
        <v>58</v>
      </c>
      <c r="C26" s="46"/>
      <c r="D26" s="46"/>
      <c r="E26" s="46"/>
      <c r="F26" s="46"/>
      <c r="G26" s="48">
        <f>SUM(C26:F26)</f>
        <v>0</v>
      </c>
    </row>
    <row r="27" spans="1:7" ht="12.75" customHeight="1">
      <c r="A27" s="27" t="s">
        <v>66</v>
      </c>
      <c r="B27" s="45" t="s">
        <v>60</v>
      </c>
      <c r="C27" s="46"/>
      <c r="D27" s="46"/>
      <c r="E27" s="46"/>
      <c r="F27" s="46"/>
      <c r="G27" s="48">
        <f>SUM(C27:F27)</f>
        <v>0</v>
      </c>
    </row>
    <row r="28" spans="1:7" ht="26.25" customHeight="1">
      <c r="A28" s="27" t="s">
        <v>67</v>
      </c>
      <c r="B28" s="45" t="s">
        <v>62</v>
      </c>
      <c r="C28" s="46"/>
      <c r="D28" s="46"/>
      <c r="E28" s="46"/>
      <c r="F28" s="46"/>
      <c r="G28" s="48">
        <f>SUM(C28:F28)</f>
        <v>0</v>
      </c>
    </row>
    <row r="29" spans="1:7" s="23" customFormat="1" ht="12.75" customHeight="1">
      <c r="A29" s="27" t="s">
        <v>68</v>
      </c>
      <c r="B29" s="43" t="s">
        <v>69</v>
      </c>
      <c r="C29" s="44">
        <f>C21+C25</f>
        <v>0</v>
      </c>
      <c r="D29" s="44">
        <f>D21+D25</f>
        <v>0</v>
      </c>
      <c r="E29" s="44">
        <f>E21+E25</f>
        <v>0</v>
      </c>
      <c r="F29" s="44">
        <f>F21+F25</f>
        <v>0</v>
      </c>
      <c r="G29" s="44">
        <f>G21+G25</f>
        <v>0</v>
      </c>
    </row>
    <row r="30" spans="1:7" ht="26.25" customHeight="1">
      <c r="A30" s="27" t="s">
        <v>70</v>
      </c>
      <c r="B30" s="43" t="s">
        <v>71</v>
      </c>
      <c r="C30" s="47">
        <f>C20-C29</f>
        <v>68977.5</v>
      </c>
      <c r="D30" s="47">
        <f>D20-D29</f>
        <v>71947.5</v>
      </c>
      <c r="E30" s="44">
        <f>E20-E29</f>
        <v>75043</v>
      </c>
      <c r="F30" s="44">
        <f>F20-F29</f>
        <v>78273</v>
      </c>
      <c r="G30" s="44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21" customWidth="1"/>
    <col min="2" max="2" width="42.8515625" style="21" customWidth="1"/>
    <col min="3" max="3" width="12.00390625" style="21" customWidth="1"/>
    <col min="4" max="4" width="11.140625" style="21" customWidth="1"/>
    <col min="5" max="5" width="11.00390625" style="21" customWidth="1"/>
    <col min="6" max="16384" width="9.140625" style="21" customWidth="1"/>
  </cols>
  <sheetData>
    <row r="1" spans="4:5" ht="12.75" customHeight="1">
      <c r="D1" s="1494" t="s">
        <v>72</v>
      </c>
      <c r="E1" s="1494"/>
    </row>
    <row r="2" spans="2:5" ht="12.75" customHeight="1">
      <c r="B2" s="1490" t="s">
        <v>1</v>
      </c>
      <c r="C2" s="1490"/>
      <c r="D2" s="1490"/>
      <c r="E2" s="1490"/>
    </row>
    <row r="3" spans="2:5" ht="12.75" customHeight="1">
      <c r="B3" s="49"/>
      <c r="C3" s="49"/>
      <c r="D3" s="49"/>
      <c r="E3" s="49"/>
    </row>
    <row r="4" spans="2:5" ht="12.75" customHeight="1">
      <c r="B4" s="1495" t="s">
        <v>73</v>
      </c>
      <c r="C4" s="1495"/>
      <c r="D4" s="1495"/>
      <c r="E4" s="1495"/>
    </row>
    <row r="5" spans="2:5" ht="12.75" customHeight="1">
      <c r="B5" s="1495" t="s">
        <v>74</v>
      </c>
      <c r="C5" s="1495"/>
      <c r="D5" s="1495"/>
      <c r="E5" s="1495"/>
    </row>
    <row r="6" spans="4:5" ht="12.75" customHeight="1">
      <c r="D6" s="1494"/>
      <c r="E6" s="1494"/>
    </row>
    <row r="7" spans="4:5" ht="12.75" customHeight="1">
      <c r="D7" s="1496" t="s">
        <v>5</v>
      </c>
      <c r="E7" s="1496"/>
    </row>
    <row r="8" spans="1:5" ht="12.75" customHeight="1">
      <c r="A8" s="1493" t="s">
        <v>24</v>
      </c>
      <c r="B8" s="1493"/>
      <c r="C8" s="50" t="s">
        <v>75</v>
      </c>
      <c r="D8" s="50" t="s">
        <v>76</v>
      </c>
      <c r="E8" s="50" t="s">
        <v>77</v>
      </c>
    </row>
    <row r="9" spans="1:5" ht="12.75" customHeight="1">
      <c r="A9" s="51" t="s">
        <v>38</v>
      </c>
      <c r="B9" s="52" t="s">
        <v>78</v>
      </c>
      <c r="C9" s="53"/>
      <c r="D9" s="53"/>
      <c r="E9" s="53"/>
    </row>
    <row r="10" spans="1:5" ht="12.75" customHeight="1">
      <c r="A10" s="27" t="s">
        <v>40</v>
      </c>
      <c r="B10" s="53" t="s">
        <v>79</v>
      </c>
      <c r="C10" s="54">
        <v>30602</v>
      </c>
      <c r="D10" s="54">
        <f>C10*1.043</f>
        <v>31917.886</v>
      </c>
      <c r="E10" s="54">
        <f>D10*1.043</f>
        <v>33290.35509799999</v>
      </c>
    </row>
    <row r="11" spans="1:5" ht="12.75" customHeight="1">
      <c r="A11" s="51" t="s">
        <v>47</v>
      </c>
      <c r="B11" s="53" t="s">
        <v>80</v>
      </c>
      <c r="C11" s="54"/>
      <c r="D11" s="54"/>
      <c r="E11" s="54"/>
    </row>
    <row r="12" spans="1:5" ht="12.75" customHeight="1">
      <c r="A12" s="27" t="s">
        <v>49</v>
      </c>
      <c r="B12" s="53" t="s">
        <v>81</v>
      </c>
      <c r="C12" s="54"/>
      <c r="D12" s="54"/>
      <c r="E12" s="54"/>
    </row>
    <row r="13" spans="1:5" ht="12.75" customHeight="1">
      <c r="A13" s="51" t="s">
        <v>51</v>
      </c>
      <c r="B13" s="53" t="s">
        <v>82</v>
      </c>
      <c r="C13" s="54"/>
      <c r="D13" s="54"/>
      <c r="E13" s="54"/>
    </row>
    <row r="14" spans="1:5" ht="12.75" customHeight="1">
      <c r="A14" s="27" t="s">
        <v>53</v>
      </c>
      <c r="B14" s="53" t="s">
        <v>83</v>
      </c>
      <c r="C14" s="54"/>
      <c r="D14" s="54"/>
      <c r="E14" s="54"/>
    </row>
    <row r="15" spans="1:5" ht="12.75" customHeight="1">
      <c r="A15" s="51" t="s">
        <v>55</v>
      </c>
      <c r="B15" s="25" t="s">
        <v>84</v>
      </c>
      <c r="C15" s="54"/>
      <c r="D15" s="54"/>
      <c r="E15" s="54"/>
    </row>
    <row r="16" spans="1:5" ht="12.75" customHeight="1">
      <c r="A16" s="27" t="s">
        <v>57</v>
      </c>
      <c r="B16" s="53" t="s">
        <v>85</v>
      </c>
      <c r="C16" s="54">
        <v>27004</v>
      </c>
      <c r="D16" s="54">
        <f>C16*1.043</f>
        <v>28165.172</v>
      </c>
      <c r="E16" s="54">
        <f>D16*1.043</f>
        <v>29376.274395999997</v>
      </c>
    </row>
    <row r="17" spans="1:5" ht="12.75" customHeight="1">
      <c r="A17" s="51" t="s">
        <v>86</v>
      </c>
      <c r="B17" s="53" t="s">
        <v>87</v>
      </c>
      <c r="C17" s="54"/>
      <c r="D17" s="54"/>
      <c r="E17" s="54"/>
    </row>
    <row r="18" spans="1:5" ht="12.75" customHeight="1">
      <c r="A18" s="27" t="s">
        <v>59</v>
      </c>
      <c r="B18" s="53" t="s">
        <v>88</v>
      </c>
      <c r="C18" s="54"/>
      <c r="D18" s="54"/>
      <c r="E18" s="54"/>
    </row>
    <row r="19" spans="1:5" ht="12.75" customHeight="1">
      <c r="A19" s="51" t="s">
        <v>61</v>
      </c>
      <c r="B19" s="53" t="s">
        <v>89</v>
      </c>
      <c r="C19" s="54">
        <v>166778</v>
      </c>
      <c r="D19" s="54">
        <f>C19*1.043</f>
        <v>173949.454</v>
      </c>
      <c r="E19" s="54">
        <f>D19*1.043</f>
        <v>181429.280522</v>
      </c>
    </row>
    <row r="20" spans="1:5" ht="12.75" customHeight="1">
      <c r="A20" s="27" t="s">
        <v>63</v>
      </c>
      <c r="B20" s="25" t="s">
        <v>90</v>
      </c>
      <c r="C20" s="54"/>
      <c r="D20" s="54"/>
      <c r="E20" s="54"/>
    </row>
    <row r="21" spans="1:5" ht="12.75" customHeight="1">
      <c r="A21" s="51" t="s">
        <v>65</v>
      </c>
      <c r="B21" s="53" t="s">
        <v>91</v>
      </c>
      <c r="C21" s="54"/>
      <c r="D21" s="54"/>
      <c r="E21" s="54"/>
    </row>
    <row r="22" spans="1:5" ht="12.75" customHeight="1">
      <c r="A22" s="27" t="s">
        <v>92</v>
      </c>
      <c r="B22" s="53" t="s">
        <v>39</v>
      </c>
      <c r="C22" s="54">
        <v>132230</v>
      </c>
      <c r="D22" s="54">
        <f aca="true" t="shared" si="0" ref="D22:E24">C22*1.043</f>
        <v>137915.88999999998</v>
      </c>
      <c r="E22" s="54">
        <f t="shared" si="0"/>
        <v>143846.27326999998</v>
      </c>
    </row>
    <row r="23" spans="1:5" ht="12.75" customHeight="1">
      <c r="A23" s="51" t="s">
        <v>66</v>
      </c>
      <c r="B23" s="53" t="s">
        <v>93</v>
      </c>
      <c r="C23" s="54">
        <v>6045</v>
      </c>
      <c r="D23" s="54">
        <f t="shared" si="0"/>
        <v>6304.9349999999995</v>
      </c>
      <c r="E23" s="54">
        <f t="shared" si="0"/>
        <v>6576.047204999999</v>
      </c>
    </row>
    <row r="24" spans="1:5" ht="12.75" customHeight="1">
      <c r="A24" s="27" t="s">
        <v>67</v>
      </c>
      <c r="B24" s="53" t="s">
        <v>94</v>
      </c>
      <c r="C24" s="54">
        <v>8000</v>
      </c>
      <c r="D24" s="54">
        <f t="shared" si="0"/>
        <v>8344</v>
      </c>
      <c r="E24" s="54">
        <f t="shared" si="0"/>
        <v>8702.792</v>
      </c>
    </row>
    <row r="25" spans="1:5" ht="12.75" customHeight="1">
      <c r="A25" s="51" t="s">
        <v>68</v>
      </c>
      <c r="B25" s="53" t="s">
        <v>95</v>
      </c>
      <c r="C25" s="54"/>
      <c r="D25" s="54"/>
      <c r="E25" s="54"/>
    </row>
    <row r="26" spans="1:5" ht="12.75" customHeight="1">
      <c r="A26" s="27" t="s">
        <v>70</v>
      </c>
      <c r="B26" s="53" t="s">
        <v>96</v>
      </c>
      <c r="C26" s="54">
        <v>100</v>
      </c>
      <c r="D26" s="54">
        <f>C26*1.043</f>
        <v>104.3</v>
      </c>
      <c r="E26" s="54">
        <f>D26*1.043</f>
        <v>108.7849</v>
      </c>
    </row>
    <row r="27" spans="1:5" ht="12.75" customHeight="1">
      <c r="A27" s="51" t="s">
        <v>97</v>
      </c>
      <c r="B27" s="25" t="s">
        <v>98</v>
      </c>
      <c r="C27" s="54"/>
      <c r="D27" s="54"/>
      <c r="E27" s="54"/>
    </row>
    <row r="28" spans="1:5" ht="12.75" customHeight="1">
      <c r="A28" s="27" t="s">
        <v>99</v>
      </c>
      <c r="B28" s="53" t="s">
        <v>100</v>
      </c>
      <c r="C28" s="54"/>
      <c r="D28" s="54"/>
      <c r="E28" s="54"/>
    </row>
    <row r="29" spans="1:5" ht="12.75" customHeight="1">
      <c r="A29" s="51" t="s">
        <v>101</v>
      </c>
      <c r="B29" s="53" t="s">
        <v>102</v>
      </c>
      <c r="C29" s="54"/>
      <c r="D29" s="54"/>
      <c r="E29" s="54"/>
    </row>
    <row r="30" spans="1:5" ht="12.75" customHeight="1">
      <c r="A30" s="27" t="s">
        <v>103</v>
      </c>
      <c r="B30" s="53" t="s">
        <v>104</v>
      </c>
      <c r="C30" s="54"/>
      <c r="D30" s="54"/>
      <c r="E30" s="54"/>
    </row>
    <row r="31" spans="1:5" ht="12.75" customHeight="1">
      <c r="A31" s="51" t="s">
        <v>105</v>
      </c>
      <c r="B31" s="25" t="s">
        <v>106</v>
      </c>
      <c r="C31" s="54"/>
      <c r="D31" s="54"/>
      <c r="E31" s="54"/>
    </row>
    <row r="32" spans="1:5" ht="12.75" customHeight="1">
      <c r="A32" s="27" t="s">
        <v>107</v>
      </c>
      <c r="B32" s="53" t="s">
        <v>108</v>
      </c>
      <c r="C32" s="54">
        <v>60</v>
      </c>
      <c r="D32" s="54">
        <f>C32*1.043</f>
        <v>62.58</v>
      </c>
      <c r="E32" s="54">
        <f>D32*1.043</f>
        <v>65.27094</v>
      </c>
    </row>
    <row r="33" spans="1:5" ht="12.75" customHeight="1">
      <c r="A33" s="51" t="s">
        <v>109</v>
      </c>
      <c r="B33" s="53" t="s">
        <v>110</v>
      </c>
      <c r="C33" s="54"/>
      <c r="D33" s="54"/>
      <c r="E33" s="54"/>
    </row>
    <row r="34" spans="1:5" ht="12.75" customHeight="1">
      <c r="A34" s="27" t="s">
        <v>111</v>
      </c>
      <c r="B34" s="53" t="s">
        <v>112</v>
      </c>
      <c r="C34" s="54">
        <v>40</v>
      </c>
      <c r="D34" s="54">
        <f>C34*1.043</f>
        <v>41.72</v>
      </c>
      <c r="E34" s="54">
        <f>D34*1.043</f>
        <v>43.51396</v>
      </c>
    </row>
    <row r="35" spans="1:5" ht="12.75" customHeight="1">
      <c r="A35" s="51" t="s">
        <v>113</v>
      </c>
      <c r="B35" s="53" t="s">
        <v>114</v>
      </c>
      <c r="C35" s="54">
        <v>60000</v>
      </c>
      <c r="D35" s="54">
        <f>C54</f>
        <v>52500</v>
      </c>
      <c r="E35" s="54">
        <f>D54</f>
        <v>56359</v>
      </c>
    </row>
    <row r="36" spans="1:5" ht="12.75" customHeight="1">
      <c r="A36" s="27" t="s">
        <v>115</v>
      </c>
      <c r="B36" s="25" t="s">
        <v>116</v>
      </c>
      <c r="C36" s="55">
        <f>SUM(C9:C35)</f>
        <v>430859</v>
      </c>
      <c r="D36" s="55">
        <f>SUM(D9:D35)</f>
        <v>439305.937</v>
      </c>
      <c r="E36" s="55">
        <f>SUM(E9:E35)</f>
        <v>459797.592291</v>
      </c>
    </row>
    <row r="37" spans="1:5" ht="12.75" customHeight="1">
      <c r="A37" s="51" t="s">
        <v>117</v>
      </c>
      <c r="B37" s="53"/>
      <c r="C37" s="54"/>
      <c r="D37" s="54"/>
      <c r="E37" s="54"/>
    </row>
    <row r="38" spans="1:5" ht="12.75" customHeight="1">
      <c r="A38" s="27" t="s">
        <v>118</v>
      </c>
      <c r="B38" s="25" t="s">
        <v>119</v>
      </c>
      <c r="C38" s="54"/>
      <c r="D38" s="54"/>
      <c r="E38" s="54"/>
    </row>
    <row r="39" spans="1:5" ht="12.75" customHeight="1">
      <c r="A39" s="51" t="s">
        <v>120</v>
      </c>
      <c r="B39" s="53" t="s">
        <v>121</v>
      </c>
      <c r="C39" s="54">
        <v>169901</v>
      </c>
      <c r="D39" s="54">
        <f aca="true" t="shared" si="1" ref="D39:E43">C39*1.043</f>
        <v>177206.743</v>
      </c>
      <c r="E39" s="54">
        <f t="shared" si="1"/>
        <v>184826.63294899996</v>
      </c>
    </row>
    <row r="40" spans="1:5" ht="12.75" customHeight="1">
      <c r="A40" s="27" t="s">
        <v>122</v>
      </c>
      <c r="B40" s="53" t="s">
        <v>123</v>
      </c>
      <c r="C40" s="54">
        <v>43754</v>
      </c>
      <c r="D40" s="54">
        <f t="shared" si="1"/>
        <v>45635.422</v>
      </c>
      <c r="E40" s="54">
        <f t="shared" si="1"/>
        <v>47597.745145999994</v>
      </c>
    </row>
    <row r="41" spans="1:5" ht="12.75" customHeight="1">
      <c r="A41" s="51" t="s">
        <v>124</v>
      </c>
      <c r="B41" s="53" t="s">
        <v>125</v>
      </c>
      <c r="C41" s="54">
        <v>134174</v>
      </c>
      <c r="D41" s="54">
        <f t="shared" si="1"/>
        <v>139943.482</v>
      </c>
      <c r="E41" s="54">
        <f t="shared" si="1"/>
        <v>145961.05172599998</v>
      </c>
    </row>
    <row r="42" spans="1:5" ht="12.75" customHeight="1">
      <c r="A42" s="27" t="s">
        <v>126</v>
      </c>
      <c r="B42" s="53" t="s">
        <v>127</v>
      </c>
      <c r="C42" s="54">
        <v>8850</v>
      </c>
      <c r="D42" s="54">
        <f t="shared" si="1"/>
        <v>9230.55</v>
      </c>
      <c r="E42" s="54">
        <f t="shared" si="1"/>
        <v>9627.463649999998</v>
      </c>
    </row>
    <row r="43" spans="1:5" ht="12.75" customHeight="1">
      <c r="A43" s="51" t="s">
        <v>128</v>
      </c>
      <c r="B43" s="53" t="s">
        <v>129</v>
      </c>
      <c r="C43" s="54">
        <v>10480</v>
      </c>
      <c r="D43" s="54">
        <f t="shared" si="1"/>
        <v>10930.64</v>
      </c>
      <c r="E43" s="54">
        <f t="shared" si="1"/>
        <v>11400.657519999999</v>
      </c>
    </row>
    <row r="44" spans="1:5" ht="12.75" customHeight="1">
      <c r="A44" s="27" t="s">
        <v>130</v>
      </c>
      <c r="B44" s="25" t="s">
        <v>15</v>
      </c>
      <c r="C44" s="54"/>
      <c r="D44" s="54"/>
      <c r="E44" s="54"/>
    </row>
    <row r="45" spans="1:5" ht="12.75" customHeight="1">
      <c r="A45" s="51" t="s">
        <v>131</v>
      </c>
      <c r="B45" s="53" t="s">
        <v>132</v>
      </c>
      <c r="C45" s="54">
        <v>1000</v>
      </c>
      <c r="D45" s="54"/>
      <c r="E45" s="54"/>
    </row>
    <row r="46" spans="1:5" ht="12.75" customHeight="1">
      <c r="A46" s="27" t="s">
        <v>133</v>
      </c>
      <c r="B46" s="53" t="s">
        <v>134</v>
      </c>
      <c r="C46" s="54">
        <v>10200</v>
      </c>
      <c r="D46" s="54"/>
      <c r="E46" s="54"/>
    </row>
    <row r="47" spans="1:5" ht="12.75" customHeight="1">
      <c r="A47" s="51" t="s">
        <v>135</v>
      </c>
      <c r="B47" s="53" t="s">
        <v>136</v>
      </c>
      <c r="C47" s="54"/>
      <c r="D47" s="54"/>
      <c r="E47" s="54"/>
    </row>
    <row r="48" spans="1:5" ht="12.75" customHeight="1">
      <c r="A48" s="27" t="s">
        <v>137</v>
      </c>
      <c r="B48" s="53" t="s">
        <v>138</v>
      </c>
      <c r="C48" s="54"/>
      <c r="D48" s="54"/>
      <c r="E48" s="54"/>
    </row>
    <row r="49" spans="1:5" ht="12.75" customHeight="1">
      <c r="A49" s="51" t="s">
        <v>139</v>
      </c>
      <c r="B49" s="53" t="s">
        <v>140</v>
      </c>
      <c r="C49" s="54"/>
      <c r="D49" s="54"/>
      <c r="E49" s="54"/>
    </row>
    <row r="50" spans="1:5" ht="12.75" customHeight="1">
      <c r="A50" s="27" t="s">
        <v>141</v>
      </c>
      <c r="B50" s="53" t="s">
        <v>142</v>
      </c>
      <c r="C50" s="54"/>
      <c r="D50" s="54"/>
      <c r="E50" s="54"/>
    </row>
    <row r="51" spans="1:5" ht="12.75" customHeight="1">
      <c r="A51" s="51" t="s">
        <v>143</v>
      </c>
      <c r="B51" s="53" t="s">
        <v>144</v>
      </c>
      <c r="C51" s="54"/>
      <c r="D51" s="54"/>
      <c r="E51" s="54"/>
    </row>
    <row r="52" spans="1:5" ht="12.75" customHeight="1">
      <c r="A52" s="27" t="s">
        <v>145</v>
      </c>
      <c r="B52" s="53" t="s">
        <v>146</v>
      </c>
      <c r="C52" s="54"/>
      <c r="D52" s="54"/>
      <c r="E52" s="54"/>
    </row>
    <row r="53" spans="1:5" ht="12.75" customHeight="1">
      <c r="A53" s="51" t="s">
        <v>147</v>
      </c>
      <c r="B53" s="53" t="s">
        <v>148</v>
      </c>
      <c r="C53" s="54"/>
      <c r="D53" s="54"/>
      <c r="E53" s="54"/>
    </row>
    <row r="54" spans="1:5" ht="12.75" customHeight="1">
      <c r="A54" s="27" t="s">
        <v>149</v>
      </c>
      <c r="B54" s="25" t="s">
        <v>150</v>
      </c>
      <c r="C54" s="54">
        <v>52500</v>
      </c>
      <c r="D54" s="54">
        <v>56359</v>
      </c>
      <c r="E54" s="54">
        <v>60384</v>
      </c>
    </row>
    <row r="55" spans="1:5" ht="12.75" customHeight="1">
      <c r="A55" s="51" t="s">
        <v>151</v>
      </c>
      <c r="B55" s="25" t="s">
        <v>152</v>
      </c>
      <c r="C55" s="55">
        <f>SUM(C39:C54)</f>
        <v>430859</v>
      </c>
      <c r="D55" s="55">
        <f>SUM(D39:D54)</f>
        <v>439305.837</v>
      </c>
      <c r="E55" s="55">
        <f>SUM(E39:E54)</f>
        <v>459797.55099099997</v>
      </c>
    </row>
    <row r="57" spans="4:5" ht="12.75" customHeight="1">
      <c r="D57" s="24">
        <f>D55-D36</f>
        <v>-0.09999999997671694</v>
      </c>
      <c r="E57" s="24">
        <f>E55-E36</f>
        <v>-0.04130000004079193</v>
      </c>
    </row>
    <row r="59" ht="12.75" customHeight="1">
      <c r="C59" s="21">
        <v>430859</v>
      </c>
    </row>
    <row r="60" ht="12.75" customHeight="1">
      <c r="C60" s="24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67"/>
  <sheetViews>
    <sheetView showGridLines="0" zoomScalePageLayoutView="0" workbookViewId="0" topLeftCell="A1">
      <selection activeCell="D6" sqref="D6"/>
    </sheetView>
  </sheetViews>
  <sheetFormatPr defaultColWidth="11.7109375" defaultRowHeight="12.75" customHeight="1"/>
  <cols>
    <col min="1" max="2" width="3.8515625" style="56" customWidth="1"/>
    <col min="3" max="3" width="37.00390625" style="56" customWidth="1"/>
    <col min="4" max="4" width="17.00390625" style="57" customWidth="1"/>
    <col min="5" max="5" width="15.8515625" style="57" customWidth="1"/>
    <col min="6" max="6" width="9.7109375" style="58" customWidth="1"/>
    <col min="7" max="7" width="17.00390625" style="57" customWidth="1"/>
    <col min="8" max="8" width="16.8515625" style="57" customWidth="1"/>
    <col min="9" max="10" width="15.57421875" style="57" customWidth="1"/>
    <col min="11" max="16384" width="11.7109375" style="56" customWidth="1"/>
  </cols>
  <sheetData>
    <row r="1" spans="1:10" ht="12.75" customHeight="1">
      <c r="A1" s="1498" t="s">
        <v>153</v>
      </c>
      <c r="B1" s="1498"/>
      <c r="C1" s="1498"/>
      <c r="D1" s="1498"/>
      <c r="E1" s="1498"/>
      <c r="F1" s="1498"/>
      <c r="G1" s="1498"/>
      <c r="H1" s="1498"/>
      <c r="I1" s="1498"/>
      <c r="J1" s="1498"/>
    </row>
    <row r="2" spans="4:10" ht="12.75" customHeight="1">
      <c r="D2" s="1696" t="s">
        <v>1317</v>
      </c>
      <c r="E2" s="1695"/>
      <c r="F2" s="1695"/>
      <c r="G2" s="1695"/>
      <c r="H2" s="56"/>
      <c r="I2" s="56"/>
      <c r="J2" s="56"/>
    </row>
    <row r="3" spans="1:10" ht="12.75" customHeight="1">
      <c r="A3" s="1497" t="s">
        <v>1312</v>
      </c>
      <c r="B3" s="1497"/>
      <c r="C3" s="1497"/>
      <c r="D3" s="1497"/>
      <c r="E3" s="1497"/>
      <c r="F3" s="1497"/>
      <c r="G3" s="1497"/>
      <c r="H3" s="1497"/>
      <c r="I3" s="1497"/>
      <c r="J3" s="1497"/>
    </row>
    <row r="4" spans="1:10" ht="26.25" customHeight="1">
      <c r="A4" s="1505" t="s">
        <v>2</v>
      </c>
      <c r="B4" s="1505"/>
      <c r="C4" s="1505"/>
      <c r="D4" s="1505"/>
      <c r="E4" s="1505"/>
      <c r="F4" s="1505"/>
      <c r="G4" s="1505"/>
      <c r="H4" s="1505"/>
      <c r="I4" s="1505"/>
      <c r="J4" s="1505"/>
    </row>
    <row r="5" spans="1:10" ht="12.75" customHeight="1">
      <c r="A5" s="1505" t="s">
        <v>154</v>
      </c>
      <c r="B5" s="1505"/>
      <c r="C5" s="1505"/>
      <c r="D5" s="1505"/>
      <c r="E5" s="1505"/>
      <c r="F5" s="1505"/>
      <c r="G5" s="1505"/>
      <c r="H5" s="1505"/>
      <c r="I5" s="1505"/>
      <c r="J5" s="1505"/>
    </row>
    <row r="6" spans="1:10" ht="12.75" customHeight="1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ht="12.75" customHeight="1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0" ht="12.75" customHeight="1" thickBot="1">
      <c r="A8" s="59"/>
      <c r="B8" s="59"/>
      <c r="C8" s="59"/>
      <c r="D8" s="1504" t="s">
        <v>155</v>
      </c>
      <c r="E8" s="1504"/>
      <c r="F8" s="1504"/>
      <c r="G8" s="1504"/>
      <c r="H8" s="1504"/>
      <c r="I8" s="1504"/>
      <c r="J8" s="1504"/>
    </row>
    <row r="9" spans="1:10" ht="46.5" customHeight="1" thickBot="1">
      <c r="A9" s="1503" t="s">
        <v>156</v>
      </c>
      <c r="B9" s="1503"/>
      <c r="C9" s="60" t="s">
        <v>157</v>
      </c>
      <c r="D9" s="61" t="s">
        <v>158</v>
      </c>
      <c r="E9" s="62" t="s">
        <v>159</v>
      </c>
      <c r="F9" s="63" t="s">
        <v>160</v>
      </c>
      <c r="G9" s="64" t="s">
        <v>161</v>
      </c>
      <c r="H9" s="64" t="s">
        <v>162</v>
      </c>
      <c r="I9" s="64" t="s">
        <v>908</v>
      </c>
      <c r="J9" s="64" t="s">
        <v>941</v>
      </c>
    </row>
    <row r="10" spans="1:10" ht="12.75" customHeight="1" thickBot="1">
      <c r="A10" s="1503"/>
      <c r="B10" s="1503"/>
      <c r="C10" s="65" t="s">
        <v>163</v>
      </c>
      <c r="D10" s="66" t="s">
        <v>164</v>
      </c>
      <c r="E10" s="67" t="s">
        <v>165</v>
      </c>
      <c r="F10" s="68" t="s">
        <v>166</v>
      </c>
      <c r="G10" s="69" t="s">
        <v>167</v>
      </c>
      <c r="H10" s="69" t="s">
        <v>168</v>
      </c>
      <c r="I10" s="69" t="s">
        <v>226</v>
      </c>
      <c r="J10" s="69" t="s">
        <v>690</v>
      </c>
    </row>
    <row r="11" spans="1:10" ht="12.75" customHeight="1">
      <c r="A11" s="70" t="s">
        <v>38</v>
      </c>
      <c r="B11" s="71" t="s">
        <v>169</v>
      </c>
      <c r="C11" s="72" t="s">
        <v>78</v>
      </c>
      <c r="D11" s="73">
        <f>SUM(D12:D14)</f>
        <v>42735</v>
      </c>
      <c r="E11" s="74">
        <f>SUM(E12:E14)</f>
        <v>45062</v>
      </c>
      <c r="F11" s="75">
        <f>E11/D11</f>
        <v>1.0544518544518544</v>
      </c>
      <c r="G11" s="76">
        <f>SUM(G12:G14)</f>
        <v>45062</v>
      </c>
      <c r="H11" s="76">
        <f>SUM(H12:H14)</f>
        <v>49312</v>
      </c>
      <c r="I11" s="76">
        <f>SUM(I12:I14)</f>
        <v>41754</v>
      </c>
      <c r="J11" s="1285">
        <f>SUM(J12:J14)</f>
        <v>46217</v>
      </c>
    </row>
    <row r="12" spans="1:10" ht="12.75" customHeight="1">
      <c r="A12" s="77" t="s">
        <v>40</v>
      </c>
      <c r="B12" s="78"/>
      <c r="C12" s="79" t="s">
        <v>170</v>
      </c>
      <c r="D12" s="80">
        <f>SUM('ÖNK ÖSSZESITŐ'!E10+'ÖNK ÖSSZESITŐ'!E16+'ÖNK ÖSSZESITŐ'!E21+'ÖNK ÖSSZESITŐ'!E27+'ÖNK ÖSSZESITŐ'!E33)-D13-D14</f>
        <v>39732</v>
      </c>
      <c r="E12" s="81">
        <f>SUM('ÖNK ÖSSZESITŐ'!F10+'ÖNK ÖSSZESITŐ'!F16+'ÖNK ÖSSZESITŐ'!F21+'ÖNK ÖSSZESITŐ'!F27+'ÖNK ÖSSZESITŐ'!F33)-E13-E14</f>
        <v>42002</v>
      </c>
      <c r="F12" s="82">
        <f>E12/D12</f>
        <v>1.0571327896909293</v>
      </c>
      <c r="G12" s="83">
        <f>SUM('ÖNK ÖSSZESITŐ'!G10+'ÖNK ÖSSZESITŐ'!G16+'ÖNK ÖSSZESITŐ'!G21+'ÖNK ÖSSZESITŐ'!G27+'ÖNK ÖSSZESITŐ'!G33)-G13-G14</f>
        <v>42002</v>
      </c>
      <c r="H12" s="83">
        <f>SUM('ÖNK ÖSSZESITŐ'!H10+'ÖNK ÖSSZESITŐ'!H16+'ÖNK ÖSSZESITŐ'!H21+'ÖNK ÖSSZESITŐ'!H27+'ÖNK ÖSSZESITŐ'!H33)-H13-H14</f>
        <v>46252</v>
      </c>
      <c r="I12" s="83">
        <f>SUM('ÖNK ÖSSZESITŐ'!I10+'ÖNK ÖSSZESITŐ'!I16+'ÖNK ÖSSZESITŐ'!I21+'ÖNK ÖSSZESITŐ'!I27+'ÖNK ÖSSZESITŐ'!I33)-I13-I14</f>
        <v>39354</v>
      </c>
      <c r="J12" s="1083">
        <v>36156</v>
      </c>
    </row>
    <row r="13" spans="1:10" ht="12.75" customHeight="1">
      <c r="A13" s="77" t="s">
        <v>47</v>
      </c>
      <c r="B13" s="78"/>
      <c r="C13" s="79" t="s">
        <v>171</v>
      </c>
      <c r="D13" s="80">
        <v>2360</v>
      </c>
      <c r="E13" s="81">
        <v>2360</v>
      </c>
      <c r="F13" s="82">
        <f>E13/D13</f>
        <v>1</v>
      </c>
      <c r="G13" s="83">
        <v>2360</v>
      </c>
      <c r="H13" s="83">
        <v>2360</v>
      </c>
      <c r="I13" s="83">
        <v>2360</v>
      </c>
      <c r="J13" s="1083">
        <v>10038</v>
      </c>
    </row>
    <row r="14" spans="1:10" ht="12.75" customHeight="1">
      <c r="A14" s="77" t="s">
        <v>49</v>
      </c>
      <c r="B14" s="78"/>
      <c r="C14" s="79" t="s">
        <v>172</v>
      </c>
      <c r="D14" s="80">
        <f>SUM('19 önkormányzat'!E19)</f>
        <v>643</v>
      </c>
      <c r="E14" s="81">
        <f>SUM('19 önkormányzat'!F19)</f>
        <v>700</v>
      </c>
      <c r="F14" s="82">
        <f>E14/D14</f>
        <v>1.088646967340591</v>
      </c>
      <c r="G14" s="83">
        <f>SUM('19 önkormányzat'!G19)</f>
        <v>700</v>
      </c>
      <c r="H14" s="83">
        <f>SUM('19 önkormányzat'!H19)</f>
        <v>700</v>
      </c>
      <c r="I14" s="83">
        <f>SUM('19 önkormányzat'!I19)</f>
        <v>40</v>
      </c>
      <c r="J14" s="1083">
        <v>23</v>
      </c>
    </row>
    <row r="15" spans="1:10" s="90" customFormat="1" ht="12.75" customHeight="1">
      <c r="A15" s="84" t="s">
        <v>51</v>
      </c>
      <c r="B15" s="85"/>
      <c r="C15" s="86"/>
      <c r="D15" s="87"/>
      <c r="E15" s="88"/>
      <c r="F15" s="82"/>
      <c r="G15" s="89"/>
      <c r="H15" s="89"/>
      <c r="I15" s="89"/>
      <c r="J15" s="1082"/>
    </row>
    <row r="16" spans="1:10" ht="23.25" customHeight="1">
      <c r="A16" s="84" t="s">
        <v>53</v>
      </c>
      <c r="B16" s="85" t="s">
        <v>173</v>
      </c>
      <c r="C16" s="86" t="s">
        <v>174</v>
      </c>
      <c r="D16" s="87">
        <f>SUM(D17:D21)</f>
        <v>168798</v>
      </c>
      <c r="E16" s="88">
        <f>SUM(E17:E21)</f>
        <v>142477</v>
      </c>
      <c r="F16" s="82">
        <f>E16/D16</f>
        <v>0.8440680576784085</v>
      </c>
      <c r="G16" s="89">
        <f>SUM(G17:G21)</f>
        <v>142477</v>
      </c>
      <c r="H16" s="89">
        <f>SUM(H17:H21)</f>
        <v>142477</v>
      </c>
      <c r="I16" s="1082">
        <f>SUM(I17:I21)</f>
        <v>149880</v>
      </c>
      <c r="J16" s="1082">
        <f>SUM(J17:J21)</f>
        <v>168644</v>
      </c>
    </row>
    <row r="17" spans="1:10" ht="12.75" customHeight="1">
      <c r="A17" s="77" t="s">
        <v>55</v>
      </c>
      <c r="B17" s="78"/>
      <c r="C17" s="79" t="s">
        <v>39</v>
      </c>
      <c r="D17" s="80">
        <v>159411</v>
      </c>
      <c r="E17" s="81">
        <f>SUM('ÖNK ÖSSZESITŐ'!F44)-'KV 1 mell'!E18-E19-E21</f>
        <v>132784</v>
      </c>
      <c r="F17" s="82">
        <f>E17/D17</f>
        <v>0.8329663574031905</v>
      </c>
      <c r="G17" s="83">
        <f>SUM('ÖNK ÖSSZESITŐ'!G44)-'KV 1 mell'!G18-G19-G21</f>
        <v>132784</v>
      </c>
      <c r="H17" s="83">
        <f>SUM('ÖNK ÖSSZESITŐ'!H44)-'KV 1 mell'!H18-H19-H21</f>
        <v>132784</v>
      </c>
      <c r="I17" s="1083">
        <f>SUM('ÖNK ÖSSZESITŐ'!I44)-'KV 1 mell'!I18-I19-I21</f>
        <v>140187</v>
      </c>
      <c r="J17" s="1083">
        <f>SUM('ÖNK ÖSSZESITŐ'!J44)-'KV 1 mell'!J18-J19-J21</f>
        <v>159027</v>
      </c>
    </row>
    <row r="18" spans="1:10" ht="12.75" customHeight="1">
      <c r="A18" s="77" t="s">
        <v>57</v>
      </c>
      <c r="B18" s="78"/>
      <c r="C18" s="79" t="s">
        <v>1251</v>
      </c>
      <c r="D18" s="80">
        <v>8072</v>
      </c>
      <c r="E18" s="81">
        <v>8378</v>
      </c>
      <c r="F18" s="82">
        <f>E18/D18</f>
        <v>1.0379088206144698</v>
      </c>
      <c r="G18" s="83">
        <v>8378</v>
      </c>
      <c r="H18" s="83">
        <v>8378</v>
      </c>
      <c r="I18" s="1083">
        <v>8378</v>
      </c>
      <c r="J18" s="1083">
        <v>9158</v>
      </c>
    </row>
    <row r="19" spans="1:10" ht="12.75" customHeight="1">
      <c r="A19" s="77" t="s">
        <v>86</v>
      </c>
      <c r="B19" s="78"/>
      <c r="C19" s="79" t="s">
        <v>96</v>
      </c>
      <c r="D19" s="80">
        <v>315</v>
      </c>
      <c r="E19" s="81">
        <v>315</v>
      </c>
      <c r="F19" s="82">
        <f>E19/D19</f>
        <v>1</v>
      </c>
      <c r="G19" s="83">
        <v>315</v>
      </c>
      <c r="H19" s="83">
        <v>315</v>
      </c>
      <c r="I19" s="1083">
        <v>315</v>
      </c>
      <c r="J19" s="1083">
        <v>0</v>
      </c>
    </row>
    <row r="20" spans="1:10" s="91" customFormat="1" ht="12.75" customHeight="1">
      <c r="A20" s="77" t="s">
        <v>59</v>
      </c>
      <c r="B20" s="78"/>
      <c r="C20" s="79" t="s">
        <v>175</v>
      </c>
      <c r="D20" s="80">
        <v>0</v>
      </c>
      <c r="E20" s="81">
        <v>0</v>
      </c>
      <c r="F20" s="82">
        <v>0</v>
      </c>
      <c r="G20" s="83">
        <v>0</v>
      </c>
      <c r="H20" s="83">
        <v>0</v>
      </c>
      <c r="I20" s="1083">
        <v>0</v>
      </c>
      <c r="J20" s="1083">
        <v>0</v>
      </c>
    </row>
    <row r="21" spans="1:10" ht="12.75" customHeight="1">
      <c r="A21" s="77" t="s">
        <v>61</v>
      </c>
      <c r="B21" s="78"/>
      <c r="C21" s="79" t="s">
        <v>176</v>
      </c>
      <c r="D21" s="80">
        <v>1000</v>
      </c>
      <c r="E21" s="81">
        <v>1000</v>
      </c>
      <c r="F21" s="82">
        <f>E21/D21</f>
        <v>1</v>
      </c>
      <c r="G21" s="83">
        <v>1000</v>
      </c>
      <c r="H21" s="83">
        <v>1000</v>
      </c>
      <c r="I21" s="1083">
        <v>1000</v>
      </c>
      <c r="J21" s="1083">
        <v>459</v>
      </c>
    </row>
    <row r="22" spans="1:10" ht="12.75" customHeight="1">
      <c r="A22" s="84" t="s">
        <v>63</v>
      </c>
      <c r="B22" s="78"/>
      <c r="C22" s="86"/>
      <c r="D22" s="87"/>
      <c r="E22" s="88"/>
      <c r="F22" s="82"/>
      <c r="G22" s="89"/>
      <c r="H22" s="89"/>
      <c r="I22" s="1082"/>
      <c r="J22" s="1082"/>
    </row>
    <row r="23" spans="1:10" ht="12.75" customHeight="1">
      <c r="A23" s="84" t="s">
        <v>65</v>
      </c>
      <c r="B23" s="85" t="s">
        <v>177</v>
      </c>
      <c r="C23" s="86" t="s">
        <v>178</v>
      </c>
      <c r="D23" s="87">
        <f>SUM('ÖNK ÖSSZESITŐ'!E43)</f>
        <v>175920</v>
      </c>
      <c r="E23" s="88">
        <f>SUM('ÖNK ÖSSZESITŐ'!F43)</f>
        <v>172951</v>
      </c>
      <c r="F23" s="82">
        <f>E23/D23</f>
        <v>0.9831230104592997</v>
      </c>
      <c r="G23" s="89">
        <f>SUM('ÖNK ÖSSZESITŐ'!G43)</f>
        <v>174108</v>
      </c>
      <c r="H23" s="89">
        <f>SUM('ÖNK ÖSSZESITŐ'!H43)</f>
        <v>174695</v>
      </c>
      <c r="I23" s="1082">
        <f>SUM('ÖNK ÖSSZESITŐ'!I43)</f>
        <v>185145</v>
      </c>
      <c r="J23" s="1082">
        <f>SUM('ÖNK ÖSSZESITŐ'!J43)</f>
        <v>185377</v>
      </c>
    </row>
    <row r="24" spans="1:10" ht="12.75" customHeight="1">
      <c r="A24" s="84" t="s">
        <v>92</v>
      </c>
      <c r="B24" s="85" t="s">
        <v>179</v>
      </c>
      <c r="C24" s="86" t="s">
        <v>106</v>
      </c>
      <c r="D24" s="87">
        <f>SUM('ÖNK ÖSSZESITŐ'!E40)</f>
        <v>9241</v>
      </c>
      <c r="E24" s="88">
        <f>SUM('ÖNK ÖSSZESITŐ'!F40)</f>
        <v>35000</v>
      </c>
      <c r="F24" s="82">
        <f>E24/D24</f>
        <v>3.7874688886484145</v>
      </c>
      <c r="G24" s="89">
        <f>SUM('ÖNK ÖSSZESITŐ'!G40)+'ÖNK ÖSSZESITŐ'!G41</f>
        <v>60313</v>
      </c>
      <c r="H24" s="89">
        <f>SUM('ÖNK ÖSSZESITŐ'!H40)+'ÖNK ÖSSZESITŐ'!H41</f>
        <v>60313</v>
      </c>
      <c r="I24" s="1082">
        <f>SUM('ÖNK ÖSSZESITŐ'!I40)+'ÖNK ÖSSZESITŐ'!I41</f>
        <v>41468</v>
      </c>
      <c r="J24" s="1082">
        <f>SUM('ÖNK ÖSSZESITŐ'!J40)+'ÖNK ÖSSZESITŐ'!J41</f>
        <v>7399</v>
      </c>
    </row>
    <row r="25" spans="1:10" ht="12.75" customHeight="1">
      <c r="A25" s="84" t="s">
        <v>66</v>
      </c>
      <c r="B25" s="85" t="s">
        <v>180</v>
      </c>
      <c r="C25" s="86" t="s">
        <v>181</v>
      </c>
      <c r="D25" s="87">
        <f>SUM('ÖNK ÖSSZESITŐ'!E38)</f>
        <v>189812</v>
      </c>
      <c r="E25" s="88">
        <f>SUM('ÖNK ÖSSZESITŐ'!F38)</f>
        <v>0</v>
      </c>
      <c r="F25" s="82">
        <f>E25/D25</f>
        <v>0</v>
      </c>
      <c r="G25" s="89">
        <f>SUM('ÖNK ÖSSZESITŐ'!G38)</f>
        <v>80000</v>
      </c>
      <c r="H25" s="89">
        <f>SUM('ÖNK ÖSSZESITŐ'!H38)</f>
        <v>80000</v>
      </c>
      <c r="I25" s="1082">
        <f>SUM('ÖNK ÖSSZESITŐ'!I38)</f>
        <v>80000</v>
      </c>
      <c r="J25" s="1082">
        <v>83258</v>
      </c>
    </row>
    <row r="26" spans="1:10" ht="12.75" customHeight="1">
      <c r="A26" s="84" t="s">
        <v>67</v>
      </c>
      <c r="B26" s="85" t="s">
        <v>182</v>
      </c>
      <c r="C26" s="86" t="s">
        <v>183</v>
      </c>
      <c r="D26" s="87">
        <v>295</v>
      </c>
      <c r="E26" s="88">
        <v>1205</v>
      </c>
      <c r="F26" s="82">
        <f>E26/D26</f>
        <v>4.084745762711864</v>
      </c>
      <c r="G26" s="89">
        <v>1205</v>
      </c>
      <c r="H26" s="89">
        <v>1605</v>
      </c>
      <c r="I26" s="1082">
        <f>SUM('19 önkormányzat'!I25)</f>
        <v>468</v>
      </c>
      <c r="J26" s="1082">
        <f>SUM('19 önkormányzat'!J25)</f>
        <v>859</v>
      </c>
    </row>
    <row r="27" spans="1:10" ht="12.75" customHeight="1">
      <c r="A27" s="84" t="s">
        <v>68</v>
      </c>
      <c r="B27" s="85" t="s">
        <v>184</v>
      </c>
      <c r="C27" s="86" t="s">
        <v>185</v>
      </c>
      <c r="D27" s="80">
        <v>0</v>
      </c>
      <c r="E27" s="81">
        <v>0</v>
      </c>
      <c r="F27" s="82">
        <v>0</v>
      </c>
      <c r="G27" s="83">
        <v>0</v>
      </c>
      <c r="H27" s="83">
        <v>0</v>
      </c>
      <c r="I27" s="1083">
        <v>0</v>
      </c>
      <c r="J27" s="1083">
        <v>0</v>
      </c>
    </row>
    <row r="28" spans="1:10" ht="12.75" customHeight="1">
      <c r="A28" s="84" t="s">
        <v>70</v>
      </c>
      <c r="B28" s="85" t="s">
        <v>186</v>
      </c>
      <c r="C28" s="86" t="s">
        <v>187</v>
      </c>
      <c r="D28" s="87">
        <f>SUM(D29:D30)</f>
        <v>52691</v>
      </c>
      <c r="E28" s="88">
        <f>SUM(E29:E30)</f>
        <v>51913</v>
      </c>
      <c r="F28" s="82">
        <f>E28/D28</f>
        <v>0.9852346700575051</v>
      </c>
      <c r="G28" s="89">
        <f>SUM(G29:G30)</f>
        <v>51913</v>
      </c>
      <c r="H28" s="89">
        <f>SUM(H29:H30)</f>
        <v>48038</v>
      </c>
      <c r="I28" s="1082">
        <f>SUM(I29:I30)</f>
        <v>46378</v>
      </c>
      <c r="J28" s="1082">
        <f>SUM(J29:J30)</f>
        <v>53856</v>
      </c>
    </row>
    <row r="29" spans="1:10" ht="12.75" customHeight="1">
      <c r="A29" s="77" t="s">
        <v>97</v>
      </c>
      <c r="B29" s="92"/>
      <c r="C29" s="79" t="s">
        <v>188</v>
      </c>
      <c r="D29" s="80">
        <f>SUM('ÖNK ÖSSZESITŐ'!E11+'ÖNK ÖSSZESITŐ'!E22+'ÖNK ÖSSZESITŐ'!E28+'ÖNK ÖSSZESITŐ'!E34)</f>
        <v>43477</v>
      </c>
      <c r="E29" s="81">
        <f>SUM('ÖNK ÖSSZESITŐ'!F22+'ÖNK ÖSSZESITŐ'!F28+'ÖNK ÖSSZESITŐ'!F34)</f>
        <v>51913</v>
      </c>
      <c r="F29" s="82">
        <f>E29/D29</f>
        <v>1.1940336269751823</v>
      </c>
      <c r="G29" s="83">
        <f>SUM('ÖNK ÖSSZESITŐ'!G22+'ÖNK ÖSSZESITŐ'!G28+'ÖNK ÖSSZESITŐ'!G34)</f>
        <v>51913</v>
      </c>
      <c r="H29" s="83">
        <f>SUM('ÖNK ÖSSZESITŐ'!H22+'ÖNK ÖSSZESITŐ'!H28+'ÖNK ÖSSZESITŐ'!H34)</f>
        <v>47018</v>
      </c>
      <c r="I29" s="1083">
        <v>45407</v>
      </c>
      <c r="J29" s="1083">
        <v>51840</v>
      </c>
    </row>
    <row r="30" spans="1:10" ht="12.75" customHeight="1">
      <c r="A30" s="77" t="s">
        <v>99</v>
      </c>
      <c r="B30" s="78"/>
      <c r="C30" s="79" t="s">
        <v>189</v>
      </c>
      <c r="D30" s="80">
        <f>SUM('ÖNK ÖSSZESITŐ'!E37)</f>
        <v>9214</v>
      </c>
      <c r="E30" s="81">
        <f>SUM('ÖNK ÖSSZESITŐ'!F37)</f>
        <v>0</v>
      </c>
      <c r="F30" s="82">
        <f>E30/D30</f>
        <v>0</v>
      </c>
      <c r="G30" s="83">
        <f>SUM('ÖNK ÖSSZESITŐ'!G37)</f>
        <v>0</v>
      </c>
      <c r="H30" s="83">
        <v>1020</v>
      </c>
      <c r="I30" s="1083">
        <v>971</v>
      </c>
      <c r="J30" s="1083">
        <v>2016</v>
      </c>
    </row>
    <row r="31" spans="1:10" ht="12.75" customHeight="1" thickBot="1">
      <c r="A31" s="93" t="s">
        <v>101</v>
      </c>
      <c r="B31" s="199" t="s">
        <v>191</v>
      </c>
      <c r="C31" s="95" t="s">
        <v>1252</v>
      </c>
      <c r="D31" s="96"/>
      <c r="E31" s="97"/>
      <c r="F31" s="98"/>
      <c r="G31" s="99"/>
      <c r="H31" s="99"/>
      <c r="I31" s="1084">
        <v>805</v>
      </c>
      <c r="J31" s="1084">
        <v>1577</v>
      </c>
    </row>
    <row r="32" spans="1:10" s="107" customFormat="1" ht="19.5" customHeight="1" thickBot="1">
      <c r="A32" s="100" t="s">
        <v>103</v>
      </c>
      <c r="B32" s="101"/>
      <c r="C32" s="102" t="s">
        <v>190</v>
      </c>
      <c r="D32" s="103">
        <f>SUM(D11+D16+D23+D24+D25+D28)+D26</f>
        <v>639492</v>
      </c>
      <c r="E32" s="104">
        <f>SUM(E11+E16+E23+E24+E25+E28)+E26</f>
        <v>448608</v>
      </c>
      <c r="F32" s="105">
        <f>E32/D32</f>
        <v>0.7015068210391998</v>
      </c>
      <c r="G32" s="106">
        <f>SUM(G11+G16+G23+G24+G25+G28)+G26</f>
        <v>555078</v>
      </c>
      <c r="H32" s="106">
        <f>SUM(H11+H16+H23+H24+H25+H28)+H26</f>
        <v>556440</v>
      </c>
      <c r="I32" s="1085">
        <f>SUM(I11+I16+I23+I24+I25+I28)+I26+I31</f>
        <v>545898</v>
      </c>
      <c r="J32" s="1085">
        <f>SUM(J11+J16+J23+J24+J25+J28)+J26+J31</f>
        <v>547187</v>
      </c>
    </row>
    <row r="33" spans="1:10" ht="12.75" customHeight="1" thickBot="1">
      <c r="A33" s="108" t="s">
        <v>105</v>
      </c>
      <c r="B33" s="109"/>
      <c r="C33" s="110"/>
      <c r="D33" s="111"/>
      <c r="E33" s="112"/>
      <c r="F33" s="113"/>
      <c r="G33" s="114"/>
      <c r="H33" s="114"/>
      <c r="I33" s="1086"/>
      <c r="J33" s="1086"/>
    </row>
    <row r="34" spans="1:10" ht="12.75" customHeight="1" thickBot="1">
      <c r="A34" s="115" t="s">
        <v>107</v>
      </c>
      <c r="B34" s="116" t="s">
        <v>196</v>
      </c>
      <c r="C34" s="117" t="s">
        <v>192</v>
      </c>
      <c r="D34" s="118">
        <f>SUM(D35:D37)</f>
        <v>120166</v>
      </c>
      <c r="E34" s="119">
        <f>SUM(E35:E37)</f>
        <v>96052</v>
      </c>
      <c r="F34" s="120">
        <f>E34/D34</f>
        <v>0.7993275968243929</v>
      </c>
      <c r="G34" s="121">
        <f>SUM(G35:G37)</f>
        <v>96052</v>
      </c>
      <c r="H34" s="121">
        <f>SUM(H35:H37)</f>
        <v>86052</v>
      </c>
      <c r="I34" s="1087">
        <f>SUM(I35:I37)</f>
        <v>84153</v>
      </c>
      <c r="J34" s="1087">
        <f>SUM(J35:J37)</f>
        <v>91934</v>
      </c>
    </row>
    <row r="35" spans="1:10" ht="12.75" customHeight="1">
      <c r="A35" s="122" t="s">
        <v>109</v>
      </c>
      <c r="B35" s="123"/>
      <c r="C35" s="124" t="s">
        <v>193</v>
      </c>
      <c r="D35" s="125">
        <f>SUM('ÖNK ÖSSZESITŐ'!E42)</f>
        <v>0</v>
      </c>
      <c r="E35" s="126">
        <f>SUM('ÖNK ÖSSZESITŐ'!F42)</f>
        <v>90000</v>
      </c>
      <c r="F35" s="75">
        <v>0</v>
      </c>
      <c r="G35" s="127">
        <f>SUM('ÖNK ÖSSZESITŐ'!G42)</f>
        <v>90000</v>
      </c>
      <c r="H35" s="127">
        <f>SUM('ÖNK ÖSSZESITŐ'!H42)</f>
        <v>80000</v>
      </c>
      <c r="I35" s="1088">
        <f>SUM('ÖNK ÖSSZESITŐ'!I42)</f>
        <v>80000</v>
      </c>
      <c r="J35" s="1088">
        <f>SUM('ÖNK ÖSSZESITŐ'!J42)</f>
        <v>80000</v>
      </c>
    </row>
    <row r="36" spans="1:10" ht="12.75" customHeight="1">
      <c r="A36" s="77" t="s">
        <v>111</v>
      </c>
      <c r="B36" s="78"/>
      <c r="C36" s="79" t="s">
        <v>194</v>
      </c>
      <c r="D36" s="80">
        <f>SUM('ÖNK ÖSSZESITŐ'!E36)</f>
        <v>10166</v>
      </c>
      <c r="E36" s="81">
        <f>SUM('ÖNK ÖSSZESITŐ'!F36)</f>
        <v>6052</v>
      </c>
      <c r="F36" s="82">
        <f>E36/D36</f>
        <v>0.5953177257525084</v>
      </c>
      <c r="G36" s="128">
        <f>SUM('ÖNK ÖSSZESITŐ'!G36)</f>
        <v>6052</v>
      </c>
      <c r="H36" s="128">
        <f>SUM('ÖNK ÖSSZESITŐ'!H36)</f>
        <v>6052</v>
      </c>
      <c r="I36" s="1089">
        <f>SUM('ÖNK ÖSSZESITŐ'!I36)</f>
        <v>4153</v>
      </c>
      <c r="J36" s="1089">
        <f>SUM('ÖNK ÖSSZESITŐ'!J36)</f>
        <v>11934</v>
      </c>
    </row>
    <row r="37" spans="1:10" ht="12.75" customHeight="1" thickBot="1">
      <c r="A37" s="129" t="s">
        <v>113</v>
      </c>
      <c r="B37" s="94"/>
      <c r="C37" s="130" t="s">
        <v>195</v>
      </c>
      <c r="D37" s="131">
        <f>SUM('ÖNK ÖSSZESITŐ'!E46)</f>
        <v>110000</v>
      </c>
      <c r="E37" s="132">
        <f>SUM('ÖNK ÖSSZESITŐ'!F46)</f>
        <v>0</v>
      </c>
      <c r="F37" s="133">
        <f>E37/D37</f>
        <v>0</v>
      </c>
      <c r="G37" s="134">
        <f>SUM('ÖNK ÖSSZESITŐ'!G46)</f>
        <v>0</v>
      </c>
      <c r="H37" s="134">
        <f>SUM('ÖNK ÖSSZESITŐ'!H46)</f>
        <v>0</v>
      </c>
      <c r="I37" s="1090">
        <f>SUM('ÖNK ÖSSZESITŐ'!I46)</f>
        <v>0</v>
      </c>
      <c r="J37" s="1090">
        <f>SUM('ÖNK ÖSSZESITŐ'!J46)</f>
        <v>0</v>
      </c>
    </row>
    <row r="38" spans="1:10" s="90" customFormat="1" ht="12.75" customHeight="1" thickBot="1">
      <c r="A38" s="115" t="s">
        <v>115</v>
      </c>
      <c r="B38" s="116" t="s">
        <v>936</v>
      </c>
      <c r="C38" s="117" t="s">
        <v>197</v>
      </c>
      <c r="D38" s="135">
        <f>SUM(D39:D40)</f>
        <v>74266</v>
      </c>
      <c r="E38" s="119">
        <f>SUM('ÖNK ÖSSZESITŐ'!F13+'ÖNK ÖSSZESITŐ'!F18+'ÖNK ÖSSZESITŐ'!F24+'ÖNK ÖSSZESITŐ'!F30+'ÖNK ÖSSZESITŐ'!F45)</f>
        <v>60159</v>
      </c>
      <c r="F38" s="120">
        <f>E38/D38</f>
        <v>0.8100476664961086</v>
      </c>
      <c r="G38" s="121">
        <f>SUM('ÖNK ÖSSZESITŐ'!G13+'ÖNK ÖSSZESITŐ'!G18+'ÖNK ÖSSZESITŐ'!G24+'ÖNK ÖSSZESITŐ'!G30+'ÖNK ÖSSZESITŐ'!G45)</f>
        <v>60159</v>
      </c>
      <c r="H38" s="121">
        <f>SUM('ÖNK ÖSSZESITŐ'!H13+'ÖNK ÖSSZESITŐ'!H18+'ÖNK ÖSSZESITŐ'!H24+'ÖNK ÖSSZESITŐ'!H30+'ÖNK ÖSSZESITŐ'!H45)</f>
        <v>60159</v>
      </c>
      <c r="I38" s="1087">
        <f>SUM('ÖNK ÖSSZESITŐ'!I13+'ÖNK ÖSSZESITŐ'!I18+'ÖNK ÖSSZESITŐ'!I24+'ÖNK ÖSSZESITŐ'!I30+'ÖNK ÖSSZESITŐ'!I45)</f>
        <v>60159</v>
      </c>
      <c r="J38" s="1087">
        <f>SUM('ÖNK ÖSSZESITŐ'!J13+'ÖNK ÖSSZESITŐ'!J18+'ÖNK ÖSSZESITŐ'!J24+'ÖNK ÖSSZESITŐ'!J30+'ÖNK ÖSSZESITŐ'!J45)</f>
        <v>60159</v>
      </c>
    </row>
    <row r="39" spans="1:10" s="142" customFormat="1" ht="12.75" customHeight="1">
      <c r="A39" s="122" t="s">
        <v>117</v>
      </c>
      <c r="B39" s="136"/>
      <c r="C39" s="137" t="s">
        <v>198</v>
      </c>
      <c r="D39" s="138">
        <f>SUM('ÖNK ÖSSZESITŐ'!E13+'ÖNK ÖSSZESITŐ'!E18+'ÖNK ÖSSZESITŐ'!E24+'ÖNK ÖSSZESITŐ'!E45)</f>
        <v>74266</v>
      </c>
      <c r="E39" s="139">
        <v>49490</v>
      </c>
      <c r="F39" s="140">
        <f>E39/D39</f>
        <v>0.6663883876875016</v>
      </c>
      <c r="G39" s="141">
        <v>45533</v>
      </c>
      <c r="H39" s="141">
        <v>13133</v>
      </c>
      <c r="I39" s="1091">
        <v>10217</v>
      </c>
      <c r="J39" s="1091">
        <v>17028</v>
      </c>
    </row>
    <row r="40" spans="1:10" s="142" customFormat="1" ht="12.75" customHeight="1" thickBot="1">
      <c r="A40" s="129" t="s">
        <v>118</v>
      </c>
      <c r="B40" s="143"/>
      <c r="C40" s="144" t="s">
        <v>199</v>
      </c>
      <c r="D40" s="145"/>
      <c r="E40" s="146">
        <v>10669</v>
      </c>
      <c r="F40" s="147">
        <v>0</v>
      </c>
      <c r="G40" s="148">
        <v>14626</v>
      </c>
      <c r="H40" s="148">
        <v>47026</v>
      </c>
      <c r="I40" s="1092">
        <v>49942</v>
      </c>
      <c r="J40" s="1092">
        <v>43131</v>
      </c>
    </row>
    <row r="41" spans="1:10" s="156" customFormat="1" ht="21.75" customHeight="1" thickBot="1">
      <c r="A41" s="149" t="s">
        <v>120</v>
      </c>
      <c r="B41" s="150"/>
      <c r="C41" s="151" t="s">
        <v>200</v>
      </c>
      <c r="D41" s="152">
        <f>D32+D35+D38+D36+D37</f>
        <v>833924</v>
      </c>
      <c r="E41" s="153">
        <f>E32+E35+E38+E36+E37</f>
        <v>604819</v>
      </c>
      <c r="F41" s="154">
        <f>E41/D41</f>
        <v>0.725268729524513</v>
      </c>
      <c r="G41" s="155">
        <f>G32+G35+G38+G36+G37</f>
        <v>711289</v>
      </c>
      <c r="H41" s="155">
        <f>H32+H35+H38+H36+H37</f>
        <v>702651</v>
      </c>
      <c r="I41" s="155">
        <f>I32+I35+I38+I36+I37</f>
        <v>690210</v>
      </c>
      <c r="J41" s="155">
        <f>J32+J35+J38+J36+J37</f>
        <v>699280</v>
      </c>
    </row>
    <row r="42" spans="1:3" ht="12.75" customHeight="1">
      <c r="A42" s="157"/>
      <c r="B42" s="158"/>
      <c r="C42" s="159"/>
    </row>
    <row r="43" spans="1:3" ht="12.75" customHeight="1">
      <c r="A43" s="157"/>
      <c r="B43" s="158"/>
      <c r="C43" s="159"/>
    </row>
    <row r="44" spans="1:3" ht="1.5" customHeight="1" thickBot="1">
      <c r="A44" s="157"/>
      <c r="B44" s="158"/>
      <c r="C44" s="159"/>
    </row>
    <row r="45" spans="1:10" ht="53.25" customHeight="1" thickBot="1">
      <c r="A45" s="1499" t="s">
        <v>156</v>
      </c>
      <c r="B45" s="1499"/>
      <c r="C45" s="60" t="s">
        <v>119</v>
      </c>
      <c r="D45" s="61" t="s">
        <v>158</v>
      </c>
      <c r="E45" s="62" t="s">
        <v>159</v>
      </c>
      <c r="F45" s="63" t="s">
        <v>160</v>
      </c>
      <c r="G45" s="64" t="s">
        <v>201</v>
      </c>
      <c r="H45" s="64" t="s">
        <v>162</v>
      </c>
      <c r="I45" s="64" t="s">
        <v>908</v>
      </c>
      <c r="J45" s="64" t="s">
        <v>941</v>
      </c>
    </row>
    <row r="46" spans="1:10" ht="12.75" customHeight="1">
      <c r="A46" s="1499"/>
      <c r="B46" s="1499"/>
      <c r="C46" s="160" t="s">
        <v>163</v>
      </c>
      <c r="D46" s="161" t="s">
        <v>164</v>
      </c>
      <c r="E46" s="162" t="s">
        <v>165</v>
      </c>
      <c r="F46" s="163" t="s">
        <v>166</v>
      </c>
      <c r="G46" s="164" t="s">
        <v>167</v>
      </c>
      <c r="H46" s="164" t="s">
        <v>168</v>
      </c>
      <c r="I46" s="164" t="s">
        <v>226</v>
      </c>
      <c r="J46" s="164" t="s">
        <v>690</v>
      </c>
    </row>
    <row r="47" spans="1:10" s="90" customFormat="1" ht="12.75" customHeight="1">
      <c r="A47" s="84" t="s">
        <v>122</v>
      </c>
      <c r="B47" s="85" t="s">
        <v>169</v>
      </c>
      <c r="C47" s="86" t="s">
        <v>202</v>
      </c>
      <c r="D47" s="87">
        <f>SUM(D48:D50)</f>
        <v>416760</v>
      </c>
      <c r="E47" s="165">
        <f>SUM(E48:E50)</f>
        <v>387098</v>
      </c>
      <c r="F47" s="166">
        <f aca="true" t="shared" si="0" ref="F47:F57">E47/D47</f>
        <v>0.9288271427200308</v>
      </c>
      <c r="G47" s="167">
        <f>SUM(G48:G50)</f>
        <v>389951</v>
      </c>
      <c r="H47" s="167">
        <f>SUM(H48:H50)</f>
        <v>418439</v>
      </c>
      <c r="I47" s="167">
        <f>SUM(I48:I50)</f>
        <v>427446</v>
      </c>
      <c r="J47" s="167">
        <f>SUM(J48:J50)</f>
        <v>429561</v>
      </c>
    </row>
    <row r="48" spans="1:10" ht="12.75" customHeight="1">
      <c r="A48" s="77" t="s">
        <v>124</v>
      </c>
      <c r="B48" s="78"/>
      <c r="C48" s="79" t="s">
        <v>203</v>
      </c>
      <c r="D48" s="80">
        <f>SUM('ÖNK ÖSSZESITŐ'!E91)</f>
        <v>214160</v>
      </c>
      <c r="E48" s="168">
        <f>SUM('ÖNK ÖSSZESITŐ'!F91)</f>
        <v>212878</v>
      </c>
      <c r="F48" s="82">
        <f t="shared" si="0"/>
        <v>0.9940138214419126</v>
      </c>
      <c r="G48" s="169">
        <f>SUM('ÖNK ÖSSZESITŐ'!G91)</f>
        <v>213699</v>
      </c>
      <c r="H48" s="169">
        <f>SUM('ÖNK ÖSSZESITŐ'!H91)</f>
        <v>215164</v>
      </c>
      <c r="I48" s="1093">
        <f>SUM('ÖNK ÖSSZESITŐ'!I91)</f>
        <v>215804</v>
      </c>
      <c r="J48" s="1093">
        <f>SUM('ÖNK ÖSSZESITŐ'!J91)</f>
        <v>208760</v>
      </c>
    </row>
    <row r="49" spans="1:10" ht="12.75" customHeight="1">
      <c r="A49" s="77" t="s">
        <v>126</v>
      </c>
      <c r="B49" s="78"/>
      <c r="C49" s="79" t="s">
        <v>204</v>
      </c>
      <c r="D49" s="80">
        <f>SUM('ÖNK ÖSSZESITŐ'!E92)</f>
        <v>56256</v>
      </c>
      <c r="E49" s="168">
        <f>SUM('ÖNK ÖSSZESITŐ'!F92)</f>
        <v>54992</v>
      </c>
      <c r="F49" s="82">
        <f t="shared" si="0"/>
        <v>0.9775312855517634</v>
      </c>
      <c r="G49" s="169">
        <f>SUM('ÖNK ÖSSZESITŐ'!G92)</f>
        <v>55258</v>
      </c>
      <c r="H49" s="169">
        <f>SUM('ÖNK ÖSSZESITŐ'!H92)</f>
        <v>55669</v>
      </c>
      <c r="I49" s="1093">
        <f>SUM('ÖNK ÖSSZESITŐ'!I92)</f>
        <v>55844</v>
      </c>
      <c r="J49" s="1093">
        <f>SUM('ÖNK ÖSSZESITŐ'!J92)</f>
        <v>54406</v>
      </c>
    </row>
    <row r="50" spans="1:10" ht="12.75" customHeight="1">
      <c r="A50" s="77" t="s">
        <v>128</v>
      </c>
      <c r="B50" s="78"/>
      <c r="C50" s="79" t="s">
        <v>205</v>
      </c>
      <c r="D50" s="80">
        <f>SUM('ÖNK ÖSSZESITŐ'!E93)</f>
        <v>146344</v>
      </c>
      <c r="E50" s="168">
        <f>SUM('ÖNK ÖSSZESITŐ'!F93)</f>
        <v>119228</v>
      </c>
      <c r="F50" s="82">
        <f t="shared" si="0"/>
        <v>0.8147105450172197</v>
      </c>
      <c r="G50" s="169">
        <f>SUM('ÖNK ÖSSZESITŐ'!G93)</f>
        <v>120994</v>
      </c>
      <c r="H50" s="169">
        <f>SUM('ÖNK ÖSSZESITŐ'!H93)</f>
        <v>147606</v>
      </c>
      <c r="I50" s="1093">
        <f>SUM('ÖNK ÖSSZESITŐ'!I93)</f>
        <v>155798</v>
      </c>
      <c r="J50" s="1286">
        <v>166395</v>
      </c>
    </row>
    <row r="51" spans="1:10" s="90" customFormat="1" ht="12.75" customHeight="1">
      <c r="A51" s="84" t="s">
        <v>130</v>
      </c>
      <c r="B51" s="85" t="s">
        <v>173</v>
      </c>
      <c r="C51" s="86" t="s">
        <v>206</v>
      </c>
      <c r="D51" s="87">
        <f>SUM(D52:D54)</f>
        <v>36303</v>
      </c>
      <c r="E51" s="165">
        <f>SUM(E52:E54)</f>
        <v>35974</v>
      </c>
      <c r="F51" s="166">
        <f t="shared" si="0"/>
        <v>0.9909373880946478</v>
      </c>
      <c r="G51" s="167">
        <f>SUM(G52:G54)</f>
        <v>36822</v>
      </c>
      <c r="H51" s="167">
        <f>SUM(H52:H54)</f>
        <v>39187</v>
      </c>
      <c r="I51" s="167">
        <f>SUM(I52:I54)</f>
        <v>39346</v>
      </c>
      <c r="J51" s="167">
        <f>SUM(J52:J54)</f>
        <v>37802</v>
      </c>
    </row>
    <row r="52" spans="1:10" ht="12.75" customHeight="1">
      <c r="A52" s="77" t="s">
        <v>131</v>
      </c>
      <c r="B52" s="78"/>
      <c r="C52" s="79" t="s">
        <v>1253</v>
      </c>
      <c r="D52" s="170">
        <f>SUM('ÖNK ÖSSZESITŐ'!E95)-D53</f>
        <v>26400</v>
      </c>
      <c r="E52" s="81">
        <f>SUM('ÖNK ÖSSZESITŐ'!F95)-E53</f>
        <v>29764</v>
      </c>
      <c r="F52" s="82">
        <f t="shared" si="0"/>
        <v>1.1274242424242424</v>
      </c>
      <c r="G52" s="83">
        <f>SUM('ÖNK ÖSSZESITŐ'!G95)-G53</f>
        <v>30612</v>
      </c>
      <c r="H52" s="83">
        <f>SUM('ÖNK ÖSSZESITŐ'!H95)-H53</f>
        <v>32977</v>
      </c>
      <c r="I52" s="1094">
        <f>SUM('ÖNK ÖSSZESITŐ'!I95)-I53</f>
        <v>33072</v>
      </c>
      <c r="J52" s="1094">
        <f>SUM('ÖNK ÖSSZESITŐ'!J95)-J53</f>
        <v>30374</v>
      </c>
    </row>
    <row r="53" spans="1:10" ht="12.75" customHeight="1">
      <c r="A53" s="77" t="s">
        <v>133</v>
      </c>
      <c r="B53" s="78"/>
      <c r="C53" s="79" t="s">
        <v>207</v>
      </c>
      <c r="D53" s="171">
        <v>4471</v>
      </c>
      <c r="E53" s="172">
        <f>SUM('6. melléklet'!E52)</f>
        <v>3000</v>
      </c>
      <c r="F53" s="82">
        <f t="shared" si="0"/>
        <v>0.6709908297919929</v>
      </c>
      <c r="G53" s="173">
        <f>SUM('6. melléklet'!F52)</f>
        <v>3000</v>
      </c>
      <c r="H53" s="173">
        <f>SUM('6. melléklet'!G52)</f>
        <v>3000</v>
      </c>
      <c r="I53" s="1094">
        <f>SUM('6. melléklet'!H52)</f>
        <v>3000</v>
      </c>
      <c r="J53" s="1094">
        <f>SUM('6. melléklet'!I52)</f>
        <v>4200</v>
      </c>
    </row>
    <row r="54" spans="1:10" ht="12.75" customHeight="1">
      <c r="A54" s="77" t="s">
        <v>135</v>
      </c>
      <c r="B54" s="78"/>
      <c r="C54" s="79" t="s">
        <v>208</v>
      </c>
      <c r="D54" s="170">
        <f>SUM('ÖNK ÖSSZESITŐ'!E97)</f>
        <v>5432</v>
      </c>
      <c r="E54" s="81">
        <f>SUM('ÖNK ÖSSZESITŐ'!F97)</f>
        <v>3210</v>
      </c>
      <c r="F54" s="82">
        <f t="shared" si="0"/>
        <v>0.5909425625920471</v>
      </c>
      <c r="G54" s="83">
        <f>SUM('ÖNK ÖSSZESITŐ'!G97)</f>
        <v>3210</v>
      </c>
      <c r="H54" s="83">
        <f>SUM('ÖNK ÖSSZESITŐ'!H97)</f>
        <v>3210</v>
      </c>
      <c r="I54" s="1094">
        <f>SUM('ÖNK ÖSSZESITŐ'!I97)</f>
        <v>3274</v>
      </c>
      <c r="J54" s="1094">
        <f>SUM('ÖNK ÖSSZESITŐ'!J97)</f>
        <v>3228</v>
      </c>
    </row>
    <row r="55" spans="1:10" s="90" customFormat="1" ht="12.75" customHeight="1">
      <c r="A55" s="93" t="s">
        <v>137</v>
      </c>
      <c r="B55" s="174" t="s">
        <v>177</v>
      </c>
      <c r="C55" s="95" t="s">
        <v>209</v>
      </c>
      <c r="D55" s="175">
        <f>SUM('19 önkormányzat'!E164)</f>
        <v>3277</v>
      </c>
      <c r="E55" s="176">
        <f>SUM('19 önkormányzat'!F164)</f>
        <v>0</v>
      </c>
      <c r="F55" s="133">
        <f t="shared" si="0"/>
        <v>0</v>
      </c>
      <c r="G55" s="177">
        <f>SUM('19 önkormányzat'!G164)</f>
        <v>59</v>
      </c>
      <c r="H55" s="177">
        <f>SUM('19 önkormányzat'!H164)</f>
        <v>256</v>
      </c>
      <c r="I55" s="177">
        <f>SUM('19 önkormányzat'!I164)</f>
        <v>256</v>
      </c>
      <c r="J55" s="177">
        <f>SUM('19 önkormányzat'!J164)</f>
        <v>256</v>
      </c>
    </row>
    <row r="56" spans="1:10" s="90" customFormat="1" ht="12.75" customHeight="1">
      <c r="A56" s="178" t="s">
        <v>139</v>
      </c>
      <c r="B56" s="179" t="s">
        <v>179</v>
      </c>
      <c r="C56" s="180" t="s">
        <v>150</v>
      </c>
      <c r="D56" s="181">
        <v>21035</v>
      </c>
      <c r="E56" s="88">
        <f>SUM(E57+E58)</f>
        <v>36582</v>
      </c>
      <c r="F56" s="82">
        <f t="shared" si="0"/>
        <v>1.7391014975041597</v>
      </c>
      <c r="G56" s="89">
        <f>SUM(G57+G58)</f>
        <v>51720</v>
      </c>
      <c r="H56" s="89">
        <f>SUM(H57+H58)</f>
        <v>33726</v>
      </c>
      <c r="I56" s="89">
        <f>SUM(I57+I58)</f>
        <v>33438</v>
      </c>
      <c r="J56" s="89">
        <f>SUM(J57+J58)</f>
        <v>37290</v>
      </c>
    </row>
    <row r="57" spans="1:10" s="184" customFormat="1" ht="12.75" customHeight="1">
      <c r="A57" s="84" t="s">
        <v>141</v>
      </c>
      <c r="B57" s="182"/>
      <c r="C57" s="183" t="s">
        <v>198</v>
      </c>
      <c r="D57" s="171">
        <v>21035</v>
      </c>
      <c r="E57" s="172">
        <f>SUM('21 céltartalék'!C40)</f>
        <v>36582</v>
      </c>
      <c r="F57" s="82">
        <f t="shared" si="0"/>
        <v>1.7391014975041597</v>
      </c>
      <c r="G57" s="173">
        <f>SUM('21 céltartalék'!D40)</f>
        <v>51720</v>
      </c>
      <c r="H57" s="173">
        <f>SUM('21 céltartalék'!E40)</f>
        <v>33726</v>
      </c>
      <c r="I57" s="1094">
        <f>SUM('21 céltartalék'!F40)</f>
        <v>33438</v>
      </c>
      <c r="J57" s="1094">
        <v>33438</v>
      </c>
    </row>
    <row r="58" spans="1:10" s="142" customFormat="1" ht="12" customHeight="1" thickBot="1">
      <c r="A58" s="129" t="s">
        <v>143</v>
      </c>
      <c r="B58" s="143"/>
      <c r="C58" s="144" t="s">
        <v>199</v>
      </c>
      <c r="D58" s="185"/>
      <c r="E58" s="186"/>
      <c r="F58" s="133">
        <v>0</v>
      </c>
      <c r="G58" s="187"/>
      <c r="H58" s="187"/>
      <c r="I58" s="187"/>
      <c r="J58" s="187">
        <v>3852</v>
      </c>
    </row>
    <row r="59" spans="1:10" s="193" customFormat="1" ht="27" customHeight="1" thickBot="1">
      <c r="A59" s="1500" t="s">
        <v>145</v>
      </c>
      <c r="B59" s="1500"/>
      <c r="C59" s="188" t="s">
        <v>210</v>
      </c>
      <c r="D59" s="189">
        <f>SUM(D47+D51+D55+D56)</f>
        <v>477375</v>
      </c>
      <c r="E59" s="190">
        <f>SUM(E47+E51+E55+E56)</f>
        <v>459654</v>
      </c>
      <c r="F59" s="191">
        <f>E59/D59</f>
        <v>0.962878240377062</v>
      </c>
      <c r="G59" s="192">
        <f>SUM(G47+G51+G55+G56)</f>
        <v>478552</v>
      </c>
      <c r="H59" s="192">
        <f>SUM(H47+H51+H55+H56)</f>
        <v>491608</v>
      </c>
      <c r="I59" s="192">
        <f>SUM(I47+I51+I55+I56)</f>
        <v>500486</v>
      </c>
      <c r="J59" s="192">
        <f>SUM(J47+J51+J55+J56)</f>
        <v>504909</v>
      </c>
    </row>
    <row r="60" spans="1:10" s="90" customFormat="1" ht="12.75" customHeight="1">
      <c r="A60" s="70" t="s">
        <v>147</v>
      </c>
      <c r="B60" s="194" t="s">
        <v>180</v>
      </c>
      <c r="C60" s="195" t="s">
        <v>211</v>
      </c>
      <c r="D60" s="196">
        <v>1200</v>
      </c>
      <c r="E60" s="197">
        <v>0</v>
      </c>
      <c r="F60" s="75">
        <v>0</v>
      </c>
      <c r="G60" s="198">
        <v>0</v>
      </c>
      <c r="H60" s="198">
        <v>0</v>
      </c>
      <c r="I60" s="198">
        <v>805</v>
      </c>
      <c r="J60" s="198">
        <v>1577</v>
      </c>
    </row>
    <row r="61" spans="1:10" s="90" customFormat="1" ht="12.75" customHeight="1" thickBot="1">
      <c r="A61" s="93" t="s">
        <v>149</v>
      </c>
      <c r="B61" s="199" t="s">
        <v>182</v>
      </c>
      <c r="C61" s="95" t="s">
        <v>15</v>
      </c>
      <c r="D61" s="200">
        <f>SUM('ÖNK ÖSSZESITŐ'!E98)</f>
        <v>235019</v>
      </c>
      <c r="E61" s="201">
        <f>SUM('6. melléklet'!D33)</f>
        <v>127072</v>
      </c>
      <c r="F61" s="133">
        <f>E61/D61</f>
        <v>0.5406881996774728</v>
      </c>
      <c r="G61" s="99">
        <f>SUM('6. melléklet'!E33)</f>
        <v>145331</v>
      </c>
      <c r="H61" s="99">
        <f>SUM('6. melléklet'!F33)</f>
        <v>121325</v>
      </c>
      <c r="I61" s="99">
        <f>SUM('6. melléklet'!G33)</f>
        <v>98715</v>
      </c>
      <c r="J61" s="99">
        <v>101209</v>
      </c>
    </row>
    <row r="62" spans="1:10" s="202" customFormat="1" ht="27" customHeight="1" thickBot="1">
      <c r="A62" s="1500" t="s">
        <v>151</v>
      </c>
      <c r="B62" s="1500"/>
      <c r="C62" s="188" t="s">
        <v>15</v>
      </c>
      <c r="D62" s="189">
        <f>SUM(D60:D61)</f>
        <v>236219</v>
      </c>
      <c r="E62" s="190">
        <f>SUM(E60:E61)</f>
        <v>127072</v>
      </c>
      <c r="F62" s="191">
        <f>E62/D62</f>
        <v>0.5379414865019325</v>
      </c>
      <c r="G62" s="192">
        <f>SUM(G60:G61)</f>
        <v>145331</v>
      </c>
      <c r="H62" s="192">
        <f>SUM(H60:H61)</f>
        <v>121325</v>
      </c>
      <c r="I62" s="192">
        <f>SUM(I60:I61)</f>
        <v>99520</v>
      </c>
      <c r="J62" s="192">
        <f>SUM(J60:J61)</f>
        <v>102786</v>
      </c>
    </row>
    <row r="63" spans="1:10" s="90" customFormat="1" ht="25.5" customHeight="1">
      <c r="A63" s="70" t="s">
        <v>212</v>
      </c>
      <c r="B63" s="194" t="s">
        <v>182</v>
      </c>
      <c r="C63" s="203" t="s">
        <v>213</v>
      </c>
      <c r="D63" s="196">
        <f>SUM('ÖNK ÖSSZESITŐ'!E104)</f>
        <v>9737</v>
      </c>
      <c r="E63" s="197">
        <f>SUM('ÖNK ÖSSZESITŐ'!F104)</f>
        <v>6052</v>
      </c>
      <c r="F63" s="75">
        <f>E63/D63</f>
        <v>0.621546677621444</v>
      </c>
      <c r="G63" s="198">
        <f>SUM('ÖNK ÖSSZESITŐ'!G104)</f>
        <v>7406</v>
      </c>
      <c r="H63" s="198">
        <f>SUM('ÖNK ÖSSZESITŐ'!H104)</f>
        <v>9718</v>
      </c>
      <c r="I63" s="198">
        <f>SUM('ÖNK ÖSSZESITŐ'!I104)</f>
        <v>10204</v>
      </c>
      <c r="J63" s="198">
        <f>SUM('ÖNK ÖSSZESITŐ'!J104)</f>
        <v>11585</v>
      </c>
    </row>
    <row r="64" spans="1:10" s="90" customFormat="1" ht="12.75" customHeight="1">
      <c r="A64" s="93" t="s">
        <v>214</v>
      </c>
      <c r="B64" s="174" t="s">
        <v>184</v>
      </c>
      <c r="C64" s="95" t="s">
        <v>195</v>
      </c>
      <c r="D64" s="175">
        <f>SUM('ÖNK ÖSSZESITŐ'!E102)</f>
        <v>110593</v>
      </c>
      <c r="E64" s="176">
        <f>SUM('ÖNK ÖSSZESITŐ'!F102)</f>
        <v>0</v>
      </c>
      <c r="F64" s="133">
        <f>E64/D64</f>
        <v>0</v>
      </c>
      <c r="G64" s="177">
        <f>SUM('ÖNK ÖSSZESITŐ'!G102)</f>
        <v>0</v>
      </c>
      <c r="H64" s="177">
        <f>SUM('ÖNK ÖSSZESITŐ'!H102)</f>
        <v>0</v>
      </c>
      <c r="I64" s="177">
        <f>SUM('ÖNK ÖSSZESITŐ'!I102)</f>
        <v>0</v>
      </c>
      <c r="J64" s="177">
        <f>SUM('ÖNK ÖSSZESITŐ'!J102)</f>
        <v>0</v>
      </c>
    </row>
    <row r="65" spans="1:10" s="90" customFormat="1" ht="12.75" customHeight="1">
      <c r="A65" s="84" t="s">
        <v>215</v>
      </c>
      <c r="B65" s="10"/>
      <c r="C65" s="86" t="s">
        <v>216</v>
      </c>
      <c r="D65" s="87">
        <v>0</v>
      </c>
      <c r="E65" s="165">
        <v>12041</v>
      </c>
      <c r="F65" s="82">
        <v>0</v>
      </c>
      <c r="G65" s="167">
        <f>SUM('19 önkormányzat'!G123)</f>
        <v>80000</v>
      </c>
      <c r="H65" s="167">
        <f>SUM('19 önkormányzat'!H123)</f>
        <v>80000</v>
      </c>
      <c r="I65" s="167">
        <f>SUM('19 önkormányzat'!I123)</f>
        <v>80000</v>
      </c>
      <c r="J65" s="167">
        <v>80000</v>
      </c>
    </row>
    <row r="66" spans="1:10" s="202" customFormat="1" ht="22.5" customHeight="1" thickBot="1">
      <c r="A66" s="1501" t="s">
        <v>217</v>
      </c>
      <c r="B66" s="1501"/>
      <c r="C66" s="204" t="s">
        <v>218</v>
      </c>
      <c r="D66" s="205">
        <f>SUM(D63:D64)</f>
        <v>120330</v>
      </c>
      <c r="E66" s="206">
        <f>SUM(E63:E65)</f>
        <v>18093</v>
      </c>
      <c r="F66" s="207">
        <f>E66/D66</f>
        <v>0.15036150585888805</v>
      </c>
      <c r="G66" s="208">
        <f>SUM(G63:G65)</f>
        <v>87406</v>
      </c>
      <c r="H66" s="208">
        <f>SUM(H63:H65)</f>
        <v>89718</v>
      </c>
      <c r="I66" s="208">
        <f>SUM(I63:I65)</f>
        <v>90204</v>
      </c>
      <c r="J66" s="208">
        <f>SUM(J63:J65)</f>
        <v>91585</v>
      </c>
    </row>
    <row r="67" spans="1:10" s="214" customFormat="1" ht="22.5" customHeight="1" thickBot="1">
      <c r="A67" s="1502" t="s">
        <v>219</v>
      </c>
      <c r="B67" s="1502"/>
      <c r="C67" s="209" t="s">
        <v>220</v>
      </c>
      <c r="D67" s="210">
        <f>SUM(D59+D62+D66)</f>
        <v>833924</v>
      </c>
      <c r="E67" s="211">
        <f>SUM(E59+E62+E66)</f>
        <v>604819</v>
      </c>
      <c r="F67" s="212">
        <f>E67/D67</f>
        <v>0.725268729524513</v>
      </c>
      <c r="G67" s="213">
        <f>SUM(G59+G62+G66)</f>
        <v>711289</v>
      </c>
      <c r="H67" s="213">
        <f>SUM(H59+H62+H66)</f>
        <v>702651</v>
      </c>
      <c r="I67" s="213">
        <f>SUM(I59+I62+I66)</f>
        <v>690210</v>
      </c>
      <c r="J67" s="213">
        <f>SUM(J59+J62+J66)</f>
        <v>699280</v>
      </c>
    </row>
    <row r="69" ht="4.5" customHeight="1"/>
    <row r="65529" ht="12.75" customHeight="1"/>
    <row r="65530" ht="12.75" customHeight="1"/>
    <row r="65531" ht="12.75" customHeight="1"/>
  </sheetData>
  <sheetProtection selectLockedCells="1" selectUnlockedCells="1"/>
  <mergeCells count="12">
    <mergeCell ref="A67:B67"/>
    <mergeCell ref="A9:B10"/>
    <mergeCell ref="D8:J8"/>
    <mergeCell ref="A5:J5"/>
    <mergeCell ref="A4:J4"/>
    <mergeCell ref="D2:G2"/>
    <mergeCell ref="A3:J3"/>
    <mergeCell ref="A1:J1"/>
    <mergeCell ref="A45:B46"/>
    <mergeCell ref="A59:B59"/>
    <mergeCell ref="A62:B62"/>
    <mergeCell ref="A66:B66"/>
  </mergeCells>
  <printOptions/>
  <pageMargins left="0.6692913385826772" right="0.2362204724409449" top="0.15748031496062992" bottom="0.15748031496062992" header="0.5118110236220472" footer="0.5118110236220472"/>
  <pageSetup firstPageNumber="1" useFirstPageNumber="1"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J49"/>
  <sheetViews>
    <sheetView zoomScalePageLayoutView="0" workbookViewId="0" topLeftCell="A1">
      <selection activeCell="E12" sqref="E12"/>
    </sheetView>
  </sheetViews>
  <sheetFormatPr defaultColWidth="11.7109375" defaultRowHeight="12.75" customHeight="1"/>
  <cols>
    <col min="1" max="1" width="3.8515625" style="56" customWidth="1"/>
    <col min="2" max="2" width="4.57421875" style="215" customWidth="1"/>
    <col min="3" max="3" width="32.7109375" style="56" customWidth="1"/>
    <col min="4" max="4" width="13.57421875" style="56" customWidth="1"/>
    <col min="5" max="5" width="12.140625" style="56" customWidth="1"/>
    <col min="6" max="6" width="10.28125" style="216" customWidth="1"/>
    <col min="7" max="7" width="13.421875" style="56" customWidth="1"/>
    <col min="8" max="8" width="16.7109375" style="56" customWidth="1"/>
    <col min="9" max="10" width="15.28125" style="1095" customWidth="1"/>
    <col min="11" max="16384" width="11.7109375" style="56" customWidth="1"/>
  </cols>
  <sheetData>
    <row r="1" spans="1:10" s="217" customFormat="1" ht="18" customHeight="1">
      <c r="A1" s="1514" t="s">
        <v>221</v>
      </c>
      <c r="B1" s="1514"/>
      <c r="C1" s="1514"/>
      <c r="D1" s="1514"/>
      <c r="E1" s="1514"/>
      <c r="F1" s="1514"/>
      <c r="G1" s="1514"/>
      <c r="H1" s="1514"/>
      <c r="I1" s="1514"/>
      <c r="J1" s="1514"/>
    </row>
    <row r="2" spans="1:10" ht="19.5" customHeight="1">
      <c r="A2" s="1497" t="s">
        <v>1318</v>
      </c>
      <c r="B2" s="1497"/>
      <c r="C2" s="1497"/>
      <c r="D2" s="1497"/>
      <c r="E2" s="1497"/>
      <c r="F2" s="1497"/>
      <c r="G2" s="1497"/>
      <c r="H2" s="1497"/>
      <c r="I2" s="1497"/>
      <c r="J2" s="1497"/>
    </row>
    <row r="3" spans="1:10" ht="15" customHeight="1">
      <c r="A3" s="1507" t="s">
        <v>1313</v>
      </c>
      <c r="B3" s="1507"/>
      <c r="C3" s="1507"/>
      <c r="D3" s="1507"/>
      <c r="E3" s="1507"/>
      <c r="F3" s="1507"/>
      <c r="G3" s="1507"/>
      <c r="H3" s="1507"/>
      <c r="I3" s="1507"/>
      <c r="J3" s="1507"/>
    </row>
    <row r="4" spans="1:10" s="1" customFormat="1" ht="44.25" customHeight="1">
      <c r="A4" s="1515" t="s">
        <v>1254</v>
      </c>
      <c r="B4" s="1515"/>
      <c r="C4" s="1515"/>
      <c r="D4" s="1515"/>
      <c r="E4" s="1515"/>
      <c r="F4" s="1515"/>
      <c r="G4" s="1515"/>
      <c r="H4" s="1515"/>
      <c r="I4" s="1515"/>
      <c r="J4" s="1515"/>
    </row>
    <row r="5" spans="1:10" s="1" customFormat="1" ht="9" customHeight="1">
      <c r="A5" s="6"/>
      <c r="B5" s="218" t="s">
        <v>222</v>
      </c>
      <c r="F5" s="219"/>
      <c r="I5" s="1096"/>
      <c r="J5" s="1096"/>
    </row>
    <row r="6" spans="1:10" s="1" customFormat="1" ht="19.5" customHeight="1" thickBot="1">
      <c r="A6" s="220"/>
      <c r="B6" s="221"/>
      <c r="C6" s="222"/>
      <c r="D6" s="1513" t="s">
        <v>155</v>
      </c>
      <c r="E6" s="1513"/>
      <c r="F6" s="1513"/>
      <c r="G6" s="1513"/>
      <c r="H6" s="1513"/>
      <c r="I6" s="1513"/>
      <c r="J6" s="1513"/>
    </row>
    <row r="7" spans="1:10" s="1" customFormat="1" ht="12.75" customHeight="1" thickBot="1">
      <c r="A7" s="1508" t="s">
        <v>156</v>
      </c>
      <c r="B7" s="1508"/>
      <c r="C7" s="1509" t="s">
        <v>223</v>
      </c>
      <c r="D7" s="1508" t="s">
        <v>158</v>
      </c>
      <c r="E7" s="1510" t="s">
        <v>159</v>
      </c>
      <c r="F7" s="1511" t="s">
        <v>224</v>
      </c>
      <c r="G7" s="1512" t="s">
        <v>201</v>
      </c>
      <c r="H7" s="1512" t="s">
        <v>162</v>
      </c>
      <c r="I7" s="1512" t="s">
        <v>908</v>
      </c>
      <c r="J7" s="1512" t="s">
        <v>941</v>
      </c>
    </row>
    <row r="8" spans="1:10" s="223" customFormat="1" ht="33" customHeight="1">
      <c r="A8" s="1508"/>
      <c r="B8" s="1508"/>
      <c r="C8" s="1509"/>
      <c r="D8" s="1508"/>
      <c r="E8" s="1510"/>
      <c r="F8" s="1511"/>
      <c r="G8" s="1512"/>
      <c r="H8" s="1512"/>
      <c r="I8" s="1512"/>
      <c r="J8" s="1512"/>
    </row>
    <row r="9" spans="1:10" s="1" customFormat="1" ht="12.75" customHeight="1" thickBot="1">
      <c r="A9" s="1506" t="s">
        <v>163</v>
      </c>
      <c r="B9" s="1506"/>
      <c r="C9" s="224" t="s">
        <v>164</v>
      </c>
      <c r="D9" s="225" t="s">
        <v>165</v>
      </c>
      <c r="E9" s="226" t="s">
        <v>166</v>
      </c>
      <c r="F9" s="227" t="s">
        <v>225</v>
      </c>
      <c r="G9" s="228" t="s">
        <v>168</v>
      </c>
      <c r="H9" s="228" t="s">
        <v>226</v>
      </c>
      <c r="I9" s="228" t="s">
        <v>690</v>
      </c>
      <c r="J9" s="228" t="s">
        <v>942</v>
      </c>
    </row>
    <row r="10" spans="1:10" s="1" customFormat="1" ht="12.75" customHeight="1">
      <c r="A10" s="122" t="s">
        <v>38</v>
      </c>
      <c r="B10" s="229"/>
      <c r="C10" s="230" t="s">
        <v>227</v>
      </c>
      <c r="D10" s="231">
        <f>SUM('KV 1 mell'!D11)</f>
        <v>42735</v>
      </c>
      <c r="E10" s="139">
        <f>SUM('KV 1 mell'!E11)</f>
        <v>45062</v>
      </c>
      <c r="F10" s="232">
        <f>E10/D10</f>
        <v>1.0544518544518544</v>
      </c>
      <c r="G10" s="233">
        <f>SUM('KV 1 mell'!G11)</f>
        <v>45062</v>
      </c>
      <c r="H10" s="233">
        <f>SUM('KV 1 mell'!H11)</f>
        <v>49312</v>
      </c>
      <c r="I10" s="233">
        <f>SUM('KV 1 mell'!I11)</f>
        <v>41754</v>
      </c>
      <c r="J10" s="1287">
        <f>SUM('KV 1 mell'!J11)</f>
        <v>46217</v>
      </c>
    </row>
    <row r="11" spans="1:10" s="1" customFormat="1" ht="21" customHeight="1">
      <c r="A11" s="77" t="s">
        <v>40</v>
      </c>
      <c r="B11" s="234"/>
      <c r="C11" s="235" t="s">
        <v>228</v>
      </c>
      <c r="D11" s="236">
        <f>SUM('KV 1 mell'!D16)</f>
        <v>168798</v>
      </c>
      <c r="E11" s="237">
        <f>SUM('KV 1 mell'!E16)</f>
        <v>142477</v>
      </c>
      <c r="F11" s="238">
        <f>E11/D11</f>
        <v>0.8440680576784085</v>
      </c>
      <c r="G11" s="239">
        <f>SUM('KV 1 mell'!G16)</f>
        <v>142477</v>
      </c>
      <c r="H11" s="239">
        <f>SUM('KV 1 mell'!H16)</f>
        <v>142477</v>
      </c>
      <c r="I11" s="239">
        <f>SUM('KV 1 mell'!I16)</f>
        <v>149880</v>
      </c>
      <c r="J11" s="1288">
        <f>SUM('KV 1 mell'!J16)</f>
        <v>168644</v>
      </c>
    </row>
    <row r="12" spans="1:10" s="1" customFormat="1" ht="12.75" customHeight="1">
      <c r="A12" s="77" t="s">
        <v>47</v>
      </c>
      <c r="B12" s="234"/>
      <c r="C12" s="235" t="s">
        <v>229</v>
      </c>
      <c r="D12" s="236">
        <f>SUM('KV 1 mell'!D23)</f>
        <v>175920</v>
      </c>
      <c r="E12" s="237">
        <f>SUM('KV 1 mell'!E23)</f>
        <v>172951</v>
      </c>
      <c r="F12" s="238">
        <f>E12/D12</f>
        <v>0.9831230104592997</v>
      </c>
      <c r="G12" s="239">
        <f>SUM('KV 1 mell'!G23)</f>
        <v>174108</v>
      </c>
      <c r="H12" s="239">
        <f>SUM('KV 1 mell'!H23)</f>
        <v>174695</v>
      </c>
      <c r="I12" s="239">
        <f>SUM('KV 1 mell'!I23)</f>
        <v>185145</v>
      </c>
      <c r="J12" s="1288">
        <f>SUM('KV 1 mell'!J23)</f>
        <v>185377</v>
      </c>
    </row>
    <row r="13" spans="1:10" s="1" customFormat="1" ht="12.75" customHeight="1">
      <c r="A13" s="77" t="s">
        <v>49</v>
      </c>
      <c r="B13" s="234"/>
      <c r="C13" s="235" t="s">
        <v>187</v>
      </c>
      <c r="D13" s="236">
        <f>SUM('KV 1 mell'!D28)</f>
        <v>52691</v>
      </c>
      <c r="E13" s="237">
        <f>SUM('KV 1 mell'!E28)</f>
        <v>51913</v>
      </c>
      <c r="F13" s="238">
        <f>E13/D13</f>
        <v>0.9852346700575051</v>
      </c>
      <c r="G13" s="239">
        <f>SUM('KV 1 mell'!G28)</f>
        <v>51913</v>
      </c>
      <c r="H13" s="239">
        <f>SUM('KV 1 mell'!H28)</f>
        <v>48038</v>
      </c>
      <c r="I13" s="239">
        <f>SUM('KV 1 mell'!I28)</f>
        <v>46378</v>
      </c>
      <c r="J13" s="1288">
        <f>SUM('KV 1 mell'!J28)</f>
        <v>53856</v>
      </c>
    </row>
    <row r="14" spans="1:10" s="241" customFormat="1" ht="12.75" customHeight="1">
      <c r="A14" s="77" t="s">
        <v>51</v>
      </c>
      <c r="B14" s="234"/>
      <c r="C14" s="240" t="s">
        <v>230</v>
      </c>
      <c r="D14" s="236">
        <f>SUM('KV 1 mell'!D38)-30071</f>
        <v>44195</v>
      </c>
      <c r="E14" s="237">
        <v>10669</v>
      </c>
      <c r="F14" s="238">
        <f>E14/D14</f>
        <v>0.24140739902703925</v>
      </c>
      <c r="G14" s="239">
        <v>14626</v>
      </c>
      <c r="H14" s="239">
        <v>47026</v>
      </c>
      <c r="I14" s="239">
        <v>49942</v>
      </c>
      <c r="J14" s="1288">
        <v>17028</v>
      </c>
    </row>
    <row r="15" spans="1:10" s="1" customFormat="1" ht="12.75" customHeight="1">
      <c r="A15" s="77" t="s">
        <v>53</v>
      </c>
      <c r="B15" s="234"/>
      <c r="C15" s="240" t="s">
        <v>231</v>
      </c>
      <c r="D15" s="236">
        <v>0</v>
      </c>
      <c r="E15" s="237">
        <v>0</v>
      </c>
      <c r="F15" s="238">
        <v>0</v>
      </c>
      <c r="G15" s="239">
        <v>0</v>
      </c>
      <c r="H15" s="239">
        <v>0</v>
      </c>
      <c r="I15" s="239">
        <v>0</v>
      </c>
      <c r="J15" s="1288">
        <v>0</v>
      </c>
    </row>
    <row r="16" spans="1:10" s="1" customFormat="1" ht="12.75" customHeight="1" thickBot="1">
      <c r="A16" s="129" t="s">
        <v>55</v>
      </c>
      <c r="B16" s="255"/>
      <c r="C16" s="246" t="s">
        <v>194</v>
      </c>
      <c r="D16" s="247"/>
      <c r="E16" s="248"/>
      <c r="F16" s="1314"/>
      <c r="G16" s="249"/>
      <c r="H16" s="249"/>
      <c r="I16" s="249"/>
      <c r="J16" s="1290">
        <v>349</v>
      </c>
    </row>
    <row r="17" spans="1:10" s="1" customFormat="1" ht="12.75" customHeight="1" thickBot="1">
      <c r="A17" s="1300" t="s">
        <v>57</v>
      </c>
      <c r="B17" s="1301" t="s">
        <v>169</v>
      </c>
      <c r="C17" s="1302" t="s">
        <v>232</v>
      </c>
      <c r="D17" s="1315">
        <f>SUM(D10:D15)</f>
        <v>484339</v>
      </c>
      <c r="E17" s="1316">
        <f>SUM(E10:E15)</f>
        <v>423072</v>
      </c>
      <c r="F17" s="1317">
        <f aca="true" t="shared" si="0" ref="F17:F23">E17/D17</f>
        <v>0.8735038888051551</v>
      </c>
      <c r="G17" s="1318">
        <f>SUM(G10:G15)</f>
        <v>428186</v>
      </c>
      <c r="H17" s="1318">
        <f>SUM(H10:H15)</f>
        <v>461548</v>
      </c>
      <c r="I17" s="1318">
        <f>SUM(I10:I15)</f>
        <v>473099</v>
      </c>
      <c r="J17" s="1319">
        <f>SUM(J10:J16)</f>
        <v>471471</v>
      </c>
    </row>
    <row r="18" spans="1:10" s="1" customFormat="1" ht="12.75" customHeight="1">
      <c r="A18" s="122" t="s">
        <v>86</v>
      </c>
      <c r="B18" s="229"/>
      <c r="C18" s="250" t="s">
        <v>121</v>
      </c>
      <c r="D18" s="251">
        <f>SUM('ÖNK ÖSSZESITŐ'!E91)</f>
        <v>214160</v>
      </c>
      <c r="E18" s="252">
        <f>SUM('ÖNK ÖSSZESITŐ'!F91)</f>
        <v>212878</v>
      </c>
      <c r="F18" s="232">
        <f t="shared" si="0"/>
        <v>0.9940138214419126</v>
      </c>
      <c r="G18" s="253">
        <f>SUM('ÖNK ÖSSZESITŐ'!G91)</f>
        <v>213699</v>
      </c>
      <c r="H18" s="253">
        <f>SUM('ÖNK ÖSSZESITŐ'!H91)</f>
        <v>215164</v>
      </c>
      <c r="I18" s="1097">
        <f>SUM('ÖNK ÖSSZESITŐ'!I91)</f>
        <v>215804</v>
      </c>
      <c r="J18" s="1291">
        <f>SUM('ÖNK ÖSSZESITŐ'!J91)</f>
        <v>208760</v>
      </c>
    </row>
    <row r="19" spans="1:10" s="1" customFormat="1" ht="12.75" customHeight="1">
      <c r="A19" s="77" t="s">
        <v>59</v>
      </c>
      <c r="B19" s="234"/>
      <c r="C19" s="242" t="s">
        <v>233</v>
      </c>
      <c r="D19" s="171">
        <f>SUM('ÖNK ÖSSZESITŐ'!E92)</f>
        <v>56256</v>
      </c>
      <c r="E19" s="172">
        <f>SUM('ÖNK ÖSSZESITŐ'!F92)</f>
        <v>54992</v>
      </c>
      <c r="F19" s="238">
        <f t="shared" si="0"/>
        <v>0.9775312855517634</v>
      </c>
      <c r="G19" s="173">
        <f>SUM('ÖNK ÖSSZESITŐ'!G92)</f>
        <v>55258</v>
      </c>
      <c r="H19" s="173">
        <f>SUM('ÖNK ÖSSZESITŐ'!H92)</f>
        <v>55669</v>
      </c>
      <c r="I19" s="1094">
        <f>SUM('ÖNK ÖSSZESITŐ'!I92)</f>
        <v>55844</v>
      </c>
      <c r="J19" s="1289">
        <f>SUM('ÖNK ÖSSZESITŐ'!J92)</f>
        <v>54406</v>
      </c>
    </row>
    <row r="20" spans="1:10" s="1" customFormat="1" ht="12.75" customHeight="1">
      <c r="A20" s="77" t="s">
        <v>61</v>
      </c>
      <c r="B20" s="234"/>
      <c r="C20" s="242" t="s">
        <v>234</v>
      </c>
      <c r="D20" s="171">
        <f>SUM('ÖNK ÖSSZESITŐ'!E93)</f>
        <v>146344</v>
      </c>
      <c r="E20" s="172">
        <f>SUM('ÖNK ÖSSZESITŐ'!F93)</f>
        <v>119228</v>
      </c>
      <c r="F20" s="238">
        <f t="shared" si="0"/>
        <v>0.8147105450172197</v>
      </c>
      <c r="G20" s="173">
        <f>SUM('ÖNK ÖSSZESITŐ'!G93)</f>
        <v>120994</v>
      </c>
      <c r="H20" s="173">
        <f>SUM('ÖNK ÖSSZESITŐ'!H93)</f>
        <v>147606</v>
      </c>
      <c r="I20" s="1094">
        <f>SUM('ÖNK ÖSSZESITŐ'!I93)</f>
        <v>155798</v>
      </c>
      <c r="J20" s="1289">
        <v>166395</v>
      </c>
    </row>
    <row r="21" spans="1:10" s="1" customFormat="1" ht="12.75" customHeight="1">
      <c r="A21" s="77" t="s">
        <v>63</v>
      </c>
      <c r="B21" s="234"/>
      <c r="C21" s="243" t="s">
        <v>235</v>
      </c>
      <c r="D21" s="236">
        <f>SUM('KV 1 mell'!D52)</f>
        <v>26400</v>
      </c>
      <c r="E21" s="237">
        <f>SUM('KV 1 mell'!E52)</f>
        <v>29764</v>
      </c>
      <c r="F21" s="238">
        <f t="shared" si="0"/>
        <v>1.1274242424242424</v>
      </c>
      <c r="G21" s="239">
        <f>SUM('KV 1 mell'!G52)</f>
        <v>30612</v>
      </c>
      <c r="H21" s="239">
        <f>SUM('KV 1 mell'!H52)</f>
        <v>32977</v>
      </c>
      <c r="I21" s="239">
        <f>SUM('KV 1 mell'!I52)</f>
        <v>33072</v>
      </c>
      <c r="J21" s="1288">
        <f>SUM('KV 1 mell'!J52)</f>
        <v>30374</v>
      </c>
    </row>
    <row r="22" spans="1:10" s="1" customFormat="1" ht="12.75" customHeight="1">
      <c r="A22" s="77" t="s">
        <v>65</v>
      </c>
      <c r="B22" s="234"/>
      <c r="C22" s="244" t="s">
        <v>236</v>
      </c>
      <c r="D22" s="236">
        <f>SUM('KV 1 mell'!D53)</f>
        <v>4471</v>
      </c>
      <c r="E22" s="237">
        <f>SUM('KV 1 mell'!E53)</f>
        <v>3000</v>
      </c>
      <c r="F22" s="238">
        <f t="shared" si="0"/>
        <v>0.6709908297919929</v>
      </c>
      <c r="G22" s="239">
        <f>SUM('KV 1 mell'!G53)</f>
        <v>3000</v>
      </c>
      <c r="H22" s="239">
        <f>SUM('KV 1 mell'!H53)</f>
        <v>3000</v>
      </c>
      <c r="I22" s="239">
        <f>SUM('KV 1 mell'!I53)</f>
        <v>3000</v>
      </c>
      <c r="J22" s="1288">
        <f>SUM('KV 1 mell'!J53)</f>
        <v>4200</v>
      </c>
    </row>
    <row r="23" spans="1:10" s="1" customFormat="1" ht="12.75" customHeight="1">
      <c r="A23" s="77" t="s">
        <v>92</v>
      </c>
      <c r="B23" s="234"/>
      <c r="C23" s="244" t="s">
        <v>237</v>
      </c>
      <c r="D23" s="171">
        <f>SUM('KV 1 mell'!D54)</f>
        <v>5432</v>
      </c>
      <c r="E23" s="172">
        <f>SUM('KV 1 mell'!E54)</f>
        <v>3210</v>
      </c>
      <c r="F23" s="245">
        <f t="shared" si="0"/>
        <v>0.5909425625920471</v>
      </c>
      <c r="G23" s="173">
        <f>SUM('KV 1 mell'!G54)</f>
        <v>3210</v>
      </c>
      <c r="H23" s="173">
        <f>SUM('KV 1 mell'!H54)</f>
        <v>3210</v>
      </c>
      <c r="I23" s="1094">
        <f>SUM('KV 1 mell'!I54)</f>
        <v>3274</v>
      </c>
      <c r="J23" s="1289">
        <f>SUM('KV 1 mell'!J54)</f>
        <v>3228</v>
      </c>
    </row>
    <row r="24" spans="1:10" s="1" customFormat="1" ht="12.75" customHeight="1">
      <c r="A24" s="77" t="s">
        <v>66</v>
      </c>
      <c r="B24" s="234"/>
      <c r="C24" s="240" t="s">
        <v>150</v>
      </c>
      <c r="D24" s="236">
        <v>0</v>
      </c>
      <c r="E24" s="237">
        <v>0</v>
      </c>
      <c r="F24" s="245">
        <v>0</v>
      </c>
      <c r="G24" s="239">
        <v>0</v>
      </c>
      <c r="H24" s="239">
        <v>0</v>
      </c>
      <c r="I24" s="239">
        <v>0</v>
      </c>
      <c r="J24" s="1288">
        <v>3852</v>
      </c>
    </row>
    <row r="25" spans="1:10" s="1" customFormat="1" ht="12.75" customHeight="1" thickBot="1">
      <c r="A25" s="129" t="s">
        <v>67</v>
      </c>
      <c r="B25" s="255"/>
      <c r="C25" s="246" t="s">
        <v>238</v>
      </c>
      <c r="D25" s="247">
        <v>0</v>
      </c>
      <c r="E25" s="248">
        <v>0</v>
      </c>
      <c r="F25" s="262">
        <v>0</v>
      </c>
      <c r="G25" s="249">
        <v>59</v>
      </c>
      <c r="H25" s="249">
        <v>256</v>
      </c>
      <c r="I25" s="249">
        <v>256</v>
      </c>
      <c r="J25" s="1290">
        <v>256</v>
      </c>
    </row>
    <row r="26" spans="1:10" s="1" customFormat="1" ht="12.75" customHeight="1" thickBot="1">
      <c r="A26" s="1300" t="s">
        <v>68</v>
      </c>
      <c r="B26" s="1301" t="s">
        <v>173</v>
      </c>
      <c r="C26" s="1302" t="s">
        <v>239</v>
      </c>
      <c r="D26" s="1303">
        <f>SUM(D18:D24)</f>
        <v>453063</v>
      </c>
      <c r="E26" s="1304">
        <f>SUM(E18:E24)</f>
        <v>423072</v>
      </c>
      <c r="F26" s="1305">
        <f aca="true" t="shared" si="1" ref="F26:F32">E26/D26</f>
        <v>0.9338039080657657</v>
      </c>
      <c r="G26" s="1306">
        <f>SUM(G18:G25)</f>
        <v>426832</v>
      </c>
      <c r="H26" s="1306">
        <f>SUM(H18:H25)</f>
        <v>457882</v>
      </c>
      <c r="I26" s="1306">
        <f>SUM(I18:I25)</f>
        <v>467048</v>
      </c>
      <c r="J26" s="1307">
        <f>SUM(J18:J25)</f>
        <v>471471</v>
      </c>
    </row>
    <row r="27" spans="1:10" s="1" customFormat="1" ht="12.75" customHeight="1">
      <c r="A27" s="122" t="s">
        <v>70</v>
      </c>
      <c r="B27" s="229"/>
      <c r="C27" s="1313" t="s">
        <v>194</v>
      </c>
      <c r="D27" s="231">
        <f>SUM('KV 1 mell'!D36)</f>
        <v>10166</v>
      </c>
      <c r="E27" s="139">
        <f>SUM('KV 1 mell'!E36)</f>
        <v>6052</v>
      </c>
      <c r="F27" s="1308">
        <f t="shared" si="1"/>
        <v>0.5953177257525084</v>
      </c>
      <c r="G27" s="233">
        <f>SUM('KV 1 mell'!G36)</f>
        <v>6052</v>
      </c>
      <c r="H27" s="233">
        <f>SUM('KV 1 mell'!H36)</f>
        <v>6052</v>
      </c>
      <c r="I27" s="233">
        <f>SUM('KV 1 mell'!I36)</f>
        <v>4153</v>
      </c>
      <c r="J27" s="1287">
        <v>11585</v>
      </c>
    </row>
    <row r="28" spans="1:10" s="1" customFormat="1" ht="12.75" customHeight="1" thickBot="1">
      <c r="A28" s="129" t="s">
        <v>97</v>
      </c>
      <c r="B28" s="255"/>
      <c r="C28" s="246" t="s">
        <v>195</v>
      </c>
      <c r="D28" s="247">
        <f>SUM('KV 1 mell'!D37)</f>
        <v>110000</v>
      </c>
      <c r="E28" s="248">
        <f>SUM('KV 1 mell'!E37)</f>
        <v>0</v>
      </c>
      <c r="F28" s="262">
        <f t="shared" si="1"/>
        <v>0</v>
      </c>
      <c r="G28" s="249">
        <f>SUM('KV 1 mell'!G37)</f>
        <v>0</v>
      </c>
      <c r="H28" s="249">
        <f>SUM('KV 1 mell'!H37)</f>
        <v>0</v>
      </c>
      <c r="I28" s="249">
        <f>SUM('KV 1 mell'!I37)</f>
        <v>0</v>
      </c>
      <c r="J28" s="1290">
        <f>SUM('KV 1 mell'!J37)</f>
        <v>0</v>
      </c>
    </row>
    <row r="29" spans="1:10" s="1" customFormat="1" ht="12.75" customHeight="1" thickBot="1">
      <c r="A29" s="1300" t="s">
        <v>99</v>
      </c>
      <c r="B29" s="1301" t="s">
        <v>177</v>
      </c>
      <c r="C29" s="1312" t="s">
        <v>240</v>
      </c>
      <c r="D29" s="1303">
        <f>SUM(D27:D28)</f>
        <v>120166</v>
      </c>
      <c r="E29" s="1304">
        <f>SUM(E27:E28)</f>
        <v>6052</v>
      </c>
      <c r="F29" s="1305">
        <f t="shared" si="1"/>
        <v>0.050363663598688484</v>
      </c>
      <c r="G29" s="1306">
        <f>SUM(G27:G28)</f>
        <v>6052</v>
      </c>
      <c r="H29" s="1306">
        <f>SUM(H27:H28)</f>
        <v>6052</v>
      </c>
      <c r="I29" s="1306">
        <f>SUM(I27:I28)</f>
        <v>4153</v>
      </c>
      <c r="J29" s="1307">
        <f>SUM(J27:J28)</f>
        <v>11585</v>
      </c>
    </row>
    <row r="30" spans="1:10" s="1" customFormat="1" ht="27.75" customHeight="1">
      <c r="A30" s="122" t="s">
        <v>101</v>
      </c>
      <c r="B30" s="229"/>
      <c r="C30" s="1311" t="s">
        <v>241</v>
      </c>
      <c r="D30" s="231">
        <f>SUM('KV 1 mell'!D63)</f>
        <v>9737</v>
      </c>
      <c r="E30" s="139">
        <f>SUM('KV 1 mell'!E63)</f>
        <v>6052</v>
      </c>
      <c r="F30" s="1308">
        <f t="shared" si="1"/>
        <v>0.621546677621444</v>
      </c>
      <c r="G30" s="233">
        <f>SUM('KV 1 mell'!G63)</f>
        <v>7406</v>
      </c>
      <c r="H30" s="233">
        <f>SUM('KV 1 mell'!H63)</f>
        <v>9718</v>
      </c>
      <c r="I30" s="233">
        <f>SUM('KV 1 mell'!I63)</f>
        <v>10204</v>
      </c>
      <c r="J30" s="1287">
        <f>SUM('KV 1 mell'!J63)</f>
        <v>11585</v>
      </c>
    </row>
    <row r="31" spans="1:10" s="1" customFormat="1" ht="12.75" customHeight="1">
      <c r="A31" s="77" t="s">
        <v>103</v>
      </c>
      <c r="B31" s="234"/>
      <c r="C31" s="246" t="s">
        <v>238</v>
      </c>
      <c r="D31" s="247">
        <f>SUM('KV 1 mell'!D55)</f>
        <v>3277</v>
      </c>
      <c r="E31" s="248">
        <f>SUM('KV 1 mell'!E55)</f>
        <v>0</v>
      </c>
      <c r="F31" s="245">
        <f t="shared" si="1"/>
        <v>0</v>
      </c>
      <c r="G31" s="249">
        <v>0</v>
      </c>
      <c r="H31" s="249">
        <v>0</v>
      </c>
      <c r="I31" s="249">
        <v>0</v>
      </c>
      <c r="J31" s="1290">
        <v>0</v>
      </c>
    </row>
    <row r="32" spans="1:10" s="1" customFormat="1" ht="12.75" customHeight="1">
      <c r="A32" s="77" t="s">
        <v>105</v>
      </c>
      <c r="B32" s="234"/>
      <c r="C32" s="242" t="s">
        <v>242</v>
      </c>
      <c r="D32" s="171">
        <f>SUM('KV 1 mell'!D64)</f>
        <v>110593</v>
      </c>
      <c r="E32" s="172">
        <f>SUM('KV 1 mell'!E64)</f>
        <v>0</v>
      </c>
      <c r="F32" s="245">
        <f t="shared" si="1"/>
        <v>0</v>
      </c>
      <c r="G32" s="173">
        <f>SUM('KV 1 mell'!G64)</f>
        <v>0</v>
      </c>
      <c r="H32" s="173">
        <f>SUM('KV 1 mell'!H64)</f>
        <v>0</v>
      </c>
      <c r="I32" s="1094">
        <f>SUM('KV 1 mell'!I64)</f>
        <v>0</v>
      </c>
      <c r="J32" s="1289">
        <f>SUM('KV 1 mell'!J64)</f>
        <v>0</v>
      </c>
    </row>
    <row r="33" spans="1:10" s="1" customFormat="1" ht="12.75" customHeight="1" thickBot="1">
      <c r="A33" s="129" t="s">
        <v>107</v>
      </c>
      <c r="B33" s="255"/>
      <c r="C33" s="261" t="s">
        <v>243</v>
      </c>
      <c r="D33" s="257">
        <v>0</v>
      </c>
      <c r="E33" s="258">
        <v>12041</v>
      </c>
      <c r="F33" s="262">
        <v>0</v>
      </c>
      <c r="G33" s="259">
        <v>80000</v>
      </c>
      <c r="H33" s="259">
        <v>80000</v>
      </c>
      <c r="I33" s="1098">
        <v>80000</v>
      </c>
      <c r="J33" s="1292">
        <v>80000</v>
      </c>
    </row>
    <row r="34" spans="1:10" s="1" customFormat="1" ht="12.75" customHeight="1" thickBot="1">
      <c r="A34" s="1300" t="s">
        <v>109</v>
      </c>
      <c r="B34" s="1301" t="s">
        <v>179</v>
      </c>
      <c r="C34" s="1310" t="s">
        <v>218</v>
      </c>
      <c r="D34" s="1303">
        <f>SUM(D30:D32)</f>
        <v>123607</v>
      </c>
      <c r="E34" s="1304">
        <f>SUM(E30:E33)</f>
        <v>18093</v>
      </c>
      <c r="F34" s="1305">
        <f>E34/D34</f>
        <v>0.14637520528772643</v>
      </c>
      <c r="G34" s="1306">
        <f>SUM(G30:G33)</f>
        <v>87406</v>
      </c>
      <c r="H34" s="1306">
        <f>SUM(H30:H33)</f>
        <v>89718</v>
      </c>
      <c r="I34" s="1306">
        <f>SUM(I30:I33)</f>
        <v>90204</v>
      </c>
      <c r="J34" s="1307">
        <f>SUM(J30:J33)</f>
        <v>91585</v>
      </c>
    </row>
    <row r="35" spans="1:10" s="1" customFormat="1" ht="12.75" customHeight="1">
      <c r="A35" s="122" t="s">
        <v>111</v>
      </c>
      <c r="B35" s="229"/>
      <c r="C35" s="250" t="s">
        <v>106</v>
      </c>
      <c r="D35" s="251">
        <f>SUM('KV 1 mell'!D24)</f>
        <v>9241</v>
      </c>
      <c r="E35" s="252">
        <f>SUM('KV 1 mell'!E24)</f>
        <v>35000</v>
      </c>
      <c r="F35" s="1308">
        <f>E35/D35</f>
        <v>3.7874688886484145</v>
      </c>
      <c r="G35" s="253">
        <f>SUM('KV 1 mell'!G24)</f>
        <v>60313</v>
      </c>
      <c r="H35" s="253">
        <f>SUM('KV 1 mell'!H24)</f>
        <v>60313</v>
      </c>
      <c r="I35" s="1097">
        <f>SUM('KV 1 mell'!I24)</f>
        <v>41468</v>
      </c>
      <c r="J35" s="1291">
        <f>SUM('KV 1 mell'!J24)</f>
        <v>7399</v>
      </c>
    </row>
    <row r="36" spans="1:10" s="1" customFormat="1" ht="12.75" customHeight="1">
      <c r="A36" s="77" t="s">
        <v>113</v>
      </c>
      <c r="B36" s="234"/>
      <c r="C36" s="242" t="s">
        <v>244</v>
      </c>
      <c r="D36" s="171">
        <v>0</v>
      </c>
      <c r="E36" s="172"/>
      <c r="F36" s="245">
        <v>0</v>
      </c>
      <c r="G36" s="173"/>
      <c r="H36" s="173"/>
      <c r="I36" s="1094"/>
      <c r="J36" s="1289"/>
    </row>
    <row r="37" spans="1:10" s="1" customFormat="1" ht="12.75" customHeight="1">
      <c r="A37" s="77" t="s">
        <v>115</v>
      </c>
      <c r="B37" s="234"/>
      <c r="C37" s="242" t="s">
        <v>183</v>
      </c>
      <c r="D37" s="171">
        <v>295</v>
      </c>
      <c r="E37" s="172">
        <v>1205</v>
      </c>
      <c r="F37" s="245">
        <f>E37/D37</f>
        <v>4.084745762711864</v>
      </c>
      <c r="G37" s="173">
        <v>1205</v>
      </c>
      <c r="H37" s="173">
        <v>1605</v>
      </c>
      <c r="I37" s="1094">
        <v>68</v>
      </c>
      <c r="J37" s="1289">
        <v>859</v>
      </c>
    </row>
    <row r="38" spans="1:10" s="1" customFormat="1" ht="12.75" customHeight="1">
      <c r="A38" s="77" t="s">
        <v>117</v>
      </c>
      <c r="B38" s="234"/>
      <c r="C38" s="254" t="s">
        <v>245</v>
      </c>
      <c r="D38" s="171">
        <f>SUM('KV 1 mell'!D35)</f>
        <v>0</v>
      </c>
      <c r="E38" s="172">
        <f>SUM('KV 1 mell'!E35)</f>
        <v>90000</v>
      </c>
      <c r="F38" s="245">
        <v>0</v>
      </c>
      <c r="G38" s="173">
        <f>SUM('KV 1 mell'!G35)</f>
        <v>90000</v>
      </c>
      <c r="H38" s="173">
        <f>SUM('KV 1 mell'!H35)</f>
        <v>80000</v>
      </c>
      <c r="I38" s="1094">
        <f>SUM('KV 1 mell'!I35)</f>
        <v>80000</v>
      </c>
      <c r="J38" s="1289">
        <v>80000</v>
      </c>
    </row>
    <row r="39" spans="1:10" s="1" customFormat="1" ht="12.75" customHeight="1">
      <c r="A39" s="77" t="s">
        <v>118</v>
      </c>
      <c r="B39" s="234"/>
      <c r="C39" s="242" t="s">
        <v>246</v>
      </c>
      <c r="D39" s="171">
        <v>0</v>
      </c>
      <c r="E39" s="172">
        <v>0</v>
      </c>
      <c r="F39" s="245">
        <v>0</v>
      </c>
      <c r="G39" s="173">
        <v>0</v>
      </c>
      <c r="H39" s="173">
        <v>0</v>
      </c>
      <c r="I39" s="1094">
        <v>0</v>
      </c>
      <c r="J39" s="1289">
        <v>0</v>
      </c>
    </row>
    <row r="40" spans="1:10" s="1" customFormat="1" ht="12.75" customHeight="1">
      <c r="A40" s="77" t="s">
        <v>120</v>
      </c>
      <c r="B40" s="234"/>
      <c r="C40" s="242" t="s">
        <v>181</v>
      </c>
      <c r="D40" s="171">
        <f>SUM('KV 1 mell'!D25)</f>
        <v>189812</v>
      </c>
      <c r="E40" s="172">
        <f>SUM('KV 1 mell'!E25)</f>
        <v>0</v>
      </c>
      <c r="F40" s="245">
        <f>E40/D40</f>
        <v>0</v>
      </c>
      <c r="G40" s="173">
        <f>SUM('KV 1 mell'!G25)</f>
        <v>80000</v>
      </c>
      <c r="H40" s="173">
        <f>SUM('KV 1 mell'!H25)</f>
        <v>80000</v>
      </c>
      <c r="I40" s="1094">
        <f>SUM('KV 1 mell'!I25)+805</f>
        <v>80805</v>
      </c>
      <c r="J40" s="1289">
        <f>SUM('KV 1 mell'!J25)+1577</f>
        <v>84835</v>
      </c>
    </row>
    <row r="41" spans="1:10" s="1" customFormat="1" ht="12.75" customHeight="1" thickBot="1">
      <c r="A41" s="129" t="s">
        <v>122</v>
      </c>
      <c r="B41" s="255"/>
      <c r="C41" s="256" t="s">
        <v>247</v>
      </c>
      <c r="D41" s="257">
        <v>30071</v>
      </c>
      <c r="E41" s="258">
        <v>49490</v>
      </c>
      <c r="F41" s="262">
        <f>E41/D41</f>
        <v>1.6457716737055634</v>
      </c>
      <c r="G41" s="259">
        <v>45533</v>
      </c>
      <c r="H41" s="259">
        <v>13133</v>
      </c>
      <c r="I41" s="1098">
        <v>10617</v>
      </c>
      <c r="J41" s="1292">
        <v>43131</v>
      </c>
    </row>
    <row r="42" spans="1:10" s="1" customFormat="1" ht="12.75" customHeight="1" thickBot="1">
      <c r="A42" s="1300" t="s">
        <v>124</v>
      </c>
      <c r="B42" s="1309" t="s">
        <v>180</v>
      </c>
      <c r="C42" s="1302" t="s">
        <v>248</v>
      </c>
      <c r="D42" s="1303">
        <f>SUM(D35:D41)</f>
        <v>229419</v>
      </c>
      <c r="E42" s="1304">
        <f>SUM(E35:E41)</f>
        <v>175695</v>
      </c>
      <c r="F42" s="1305">
        <f>E42/D42</f>
        <v>0.7658258470309782</v>
      </c>
      <c r="G42" s="1306">
        <f>SUM(G35:G41)</f>
        <v>277051</v>
      </c>
      <c r="H42" s="1306">
        <f>SUM(H35:H41)</f>
        <v>235051</v>
      </c>
      <c r="I42" s="1306">
        <f>SUM(I35:I41)</f>
        <v>212958</v>
      </c>
      <c r="J42" s="1307">
        <f>SUM(J35:J41)</f>
        <v>216224</v>
      </c>
    </row>
    <row r="43" spans="1:10" s="1" customFormat="1" ht="12.75" customHeight="1">
      <c r="A43" s="122" t="s">
        <v>126</v>
      </c>
      <c r="B43" s="229"/>
      <c r="C43" s="260" t="s">
        <v>249</v>
      </c>
      <c r="D43" s="251">
        <f>SUM('KV 1 mell'!D61)</f>
        <v>235019</v>
      </c>
      <c r="E43" s="252">
        <f>SUM('KV 1 mell'!E61)</f>
        <v>127072</v>
      </c>
      <c r="F43" s="1308">
        <f>E43/D43</f>
        <v>0.5406881996774728</v>
      </c>
      <c r="G43" s="253">
        <f>SUM('KV 1 mell'!G61)</f>
        <v>145331</v>
      </c>
      <c r="H43" s="253">
        <f>SUM('KV 1 mell'!H61)</f>
        <v>121325</v>
      </c>
      <c r="I43" s="1097">
        <f>SUM('KV 1 mell'!I61)</f>
        <v>98715</v>
      </c>
      <c r="J43" s="1291">
        <f>SUM('KV 1 mell'!J61)</f>
        <v>101209</v>
      </c>
    </row>
    <row r="44" spans="1:10" s="1" customFormat="1" ht="12.75" customHeight="1">
      <c r="A44" s="77" t="s">
        <v>128</v>
      </c>
      <c r="B44" s="234"/>
      <c r="C44" s="242" t="s">
        <v>16</v>
      </c>
      <c r="D44" s="171">
        <v>21035</v>
      </c>
      <c r="E44" s="172">
        <f>SUM('21 céltartalék'!C40)</f>
        <v>36582</v>
      </c>
      <c r="F44" s="245">
        <f>E44/D44</f>
        <v>1.7391014975041597</v>
      </c>
      <c r="G44" s="173">
        <v>51720</v>
      </c>
      <c r="H44" s="173">
        <v>33726</v>
      </c>
      <c r="I44" s="1094">
        <v>33438</v>
      </c>
      <c r="J44" s="1289">
        <v>33438</v>
      </c>
    </row>
    <row r="45" spans="1:10" s="1" customFormat="1" ht="12.75" customHeight="1" thickBot="1">
      <c r="A45" s="129" t="s">
        <v>130</v>
      </c>
      <c r="B45" s="255"/>
      <c r="C45" s="261" t="s">
        <v>211</v>
      </c>
      <c r="D45" s="257">
        <v>1200</v>
      </c>
      <c r="E45" s="258">
        <v>0</v>
      </c>
      <c r="F45" s="262">
        <v>0</v>
      </c>
      <c r="G45" s="259">
        <v>0</v>
      </c>
      <c r="H45" s="259">
        <v>0</v>
      </c>
      <c r="I45" s="1098">
        <v>805</v>
      </c>
      <c r="J45" s="1292">
        <v>1577</v>
      </c>
    </row>
    <row r="46" spans="1:10" s="1" customFormat="1" ht="12.75" customHeight="1" thickBot="1">
      <c r="A46" s="1300" t="s">
        <v>131</v>
      </c>
      <c r="B46" s="1301" t="s">
        <v>182</v>
      </c>
      <c r="C46" s="1302" t="s">
        <v>250</v>
      </c>
      <c r="D46" s="1303">
        <f>SUM(D43:D45)</f>
        <v>257254</v>
      </c>
      <c r="E46" s="1304">
        <f>SUM(E43:E44)</f>
        <v>163654</v>
      </c>
      <c r="F46" s="1305">
        <f>E46/D46</f>
        <v>0.6361572609172258</v>
      </c>
      <c r="G46" s="1306">
        <f>SUM(G43:G44)</f>
        <v>197051</v>
      </c>
      <c r="H46" s="1306">
        <f>SUM(H43:H44)</f>
        <v>155051</v>
      </c>
      <c r="I46" s="1306">
        <f>SUM(I43:I45)</f>
        <v>132958</v>
      </c>
      <c r="J46" s="1307">
        <f>SUM(J43:J45)</f>
        <v>136224</v>
      </c>
    </row>
    <row r="47" ht="12.75" customHeight="1">
      <c r="F47" s="1299"/>
    </row>
    <row r="48" spans="1:10" s="1" customFormat="1" ht="12.75" customHeight="1">
      <c r="A48" s="263"/>
      <c r="B48" s="263"/>
      <c r="C48" s="263" t="s">
        <v>251</v>
      </c>
      <c r="D48" s="264">
        <f>SUM(D17+D29+D42)</f>
        <v>833924</v>
      </c>
      <c r="E48" s="264">
        <f>SUM(E17+E29+E42)</f>
        <v>604819</v>
      </c>
      <c r="F48" s="264">
        <v>0</v>
      </c>
      <c r="G48" s="264">
        <f>SUM(G17+G29+G42)</f>
        <v>711289</v>
      </c>
      <c r="H48" s="264">
        <f>SUM(H17+H29+H42)</f>
        <v>702651</v>
      </c>
      <c r="I48" s="264">
        <f>SUM(I17+I29+I42)</f>
        <v>690210</v>
      </c>
      <c r="J48" s="264">
        <f>SUM(J17+J29+J42)</f>
        <v>699280</v>
      </c>
    </row>
    <row r="49" spans="1:10" s="1" customFormat="1" ht="12.75" customHeight="1">
      <c r="A49" s="263"/>
      <c r="B49" s="263"/>
      <c r="C49" s="263" t="s">
        <v>252</v>
      </c>
      <c r="D49" s="264">
        <f>SUM(D26+D34+D46)</f>
        <v>833924</v>
      </c>
      <c r="E49" s="264">
        <f>SUM(E26+E34+E46)</f>
        <v>604819</v>
      </c>
      <c r="F49" s="265">
        <v>0</v>
      </c>
      <c r="G49" s="264">
        <f>SUM(G26+G34+G46)</f>
        <v>711289</v>
      </c>
      <c r="H49" s="264">
        <f>SUM(H26+H34+H46)</f>
        <v>702651</v>
      </c>
      <c r="I49" s="264">
        <f>SUM(I26+I34+I46)</f>
        <v>690210</v>
      </c>
      <c r="J49" s="264">
        <f>SUM(J26+J34+J46)</f>
        <v>699280</v>
      </c>
    </row>
  </sheetData>
  <sheetProtection selectLockedCells="1" selectUnlockedCells="1"/>
  <mergeCells count="15">
    <mergeCell ref="J7:J8"/>
    <mergeCell ref="D6:J6"/>
    <mergeCell ref="A1:J1"/>
    <mergeCell ref="A2:J2"/>
    <mergeCell ref="A4:J4"/>
    <mergeCell ref="I7:I8"/>
    <mergeCell ref="G7:G8"/>
    <mergeCell ref="H7:H8"/>
    <mergeCell ref="A3:J3"/>
    <mergeCell ref="A9:B9"/>
    <mergeCell ref="A7:B8"/>
    <mergeCell ref="C7:C8"/>
    <mergeCell ref="D7:D8"/>
    <mergeCell ref="E7:E8"/>
    <mergeCell ref="F7:F8"/>
  </mergeCells>
  <printOptions/>
  <pageMargins left="0.7875" right="0.7875" top="1.0631944444444446" bottom="1.0631944444444446" header="0.5118055555555555" footer="0.5118055555555555"/>
  <pageSetup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48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A2" sqref="A2:J2"/>
    </sheetView>
  </sheetViews>
  <sheetFormatPr defaultColWidth="11.7109375" defaultRowHeight="12.75" customHeight="1"/>
  <cols>
    <col min="1" max="2" width="3.8515625" style="56" customWidth="1"/>
    <col min="3" max="3" width="31.57421875" style="56" customWidth="1"/>
    <col min="4" max="5" width="11.7109375" style="56" customWidth="1"/>
    <col min="6" max="6" width="13.7109375" style="216" customWidth="1"/>
    <col min="7" max="7" width="11.7109375" style="56" customWidth="1"/>
    <col min="8" max="8" width="12.140625" style="56" customWidth="1"/>
    <col min="9" max="10" width="11.140625" style="1099" customWidth="1"/>
    <col min="11" max="16384" width="11.7109375" style="56" customWidth="1"/>
  </cols>
  <sheetData>
    <row r="1" spans="1:10" s="217" customFormat="1" ht="18" customHeight="1">
      <c r="A1" s="1514" t="s">
        <v>253</v>
      </c>
      <c r="B1" s="1514"/>
      <c r="C1" s="1514"/>
      <c r="D1" s="1514"/>
      <c r="E1" s="1514"/>
      <c r="F1" s="1514"/>
      <c r="G1" s="1514"/>
      <c r="H1" s="1514"/>
      <c r="I1" s="1514"/>
      <c r="J1" s="1514"/>
    </row>
    <row r="2" spans="1:10" ht="19.5" customHeight="1">
      <c r="A2" s="1520" t="s">
        <v>1314</v>
      </c>
      <c r="B2" s="1520"/>
      <c r="C2" s="1520"/>
      <c r="D2" s="1520"/>
      <c r="E2" s="1520"/>
      <c r="F2" s="1520"/>
      <c r="G2" s="1520"/>
      <c r="H2" s="1520"/>
      <c r="I2" s="1520"/>
      <c r="J2" s="1520"/>
    </row>
    <row r="3" spans="1:6" ht="15" customHeight="1">
      <c r="A3" s="1697" t="s">
        <v>1315</v>
      </c>
      <c r="B3" s="1697"/>
      <c r="C3" s="1697"/>
      <c r="D3" s="1697"/>
      <c r="E3" s="1697"/>
      <c r="F3" s="1697"/>
    </row>
    <row r="4" spans="1:6" ht="6.75" customHeight="1">
      <c r="A4" s="1518"/>
      <c r="B4" s="1518"/>
      <c r="C4" s="1518"/>
      <c r="D4" s="1518"/>
      <c r="E4" s="1518"/>
      <c r="F4" s="1518"/>
    </row>
    <row r="5" spans="1:10" s="266" customFormat="1" ht="12.75" customHeight="1">
      <c r="A5" s="1516" t="s">
        <v>254</v>
      </c>
      <c r="B5" s="1516"/>
      <c r="C5" s="1516"/>
      <c r="D5" s="1516"/>
      <c r="E5" s="1516"/>
      <c r="F5" s="1516"/>
      <c r="G5" s="1516"/>
      <c r="H5" s="1516"/>
      <c r="I5" s="1516"/>
      <c r="J5" s="1516"/>
    </row>
    <row r="6" spans="1:10" s="266" customFormat="1" ht="12.75" customHeight="1">
      <c r="A6" s="1516"/>
      <c r="B6" s="1516"/>
      <c r="C6" s="1516"/>
      <c r="D6" s="1516"/>
      <c r="E6" s="1516"/>
      <c r="F6" s="1516"/>
      <c r="G6" s="1516"/>
      <c r="H6" s="1516"/>
      <c r="I6" s="1516"/>
      <c r="J6" s="1516"/>
    </row>
    <row r="7" spans="2:10" s="266" customFormat="1" ht="21.75" customHeight="1">
      <c r="B7" s="267"/>
      <c r="D7" s="268"/>
      <c r="E7" s="268"/>
      <c r="G7" s="268"/>
      <c r="H7" s="268"/>
      <c r="I7" s="1100"/>
      <c r="J7" s="1100"/>
    </row>
    <row r="8" spans="1:10" s="266" customFormat="1" ht="13.5" customHeight="1" thickBot="1">
      <c r="A8" s="269"/>
      <c r="B8" s="270"/>
      <c r="C8" s="1519" t="s">
        <v>155</v>
      </c>
      <c r="D8" s="1519"/>
      <c r="E8" s="1519"/>
      <c r="F8" s="1519"/>
      <c r="G8" s="1519"/>
      <c r="H8" s="1519"/>
      <c r="I8" s="1519"/>
      <c r="J8" s="1519"/>
    </row>
    <row r="9" spans="1:10" s="266" customFormat="1" ht="63.75" customHeight="1" thickBot="1">
      <c r="A9" s="1517" t="s">
        <v>156</v>
      </c>
      <c r="B9" s="1517"/>
      <c r="C9" s="271" t="s">
        <v>157</v>
      </c>
      <c r="D9" s="272" t="s">
        <v>158</v>
      </c>
      <c r="E9" s="273" t="s">
        <v>159</v>
      </c>
      <c r="F9" s="274" t="s">
        <v>255</v>
      </c>
      <c r="G9" s="275" t="s">
        <v>201</v>
      </c>
      <c r="H9" s="275" t="s">
        <v>162</v>
      </c>
      <c r="I9" s="1101" t="s">
        <v>908</v>
      </c>
      <c r="J9" s="1101" t="s">
        <v>941</v>
      </c>
    </row>
    <row r="10" spans="1:10" s="266" customFormat="1" ht="12.75" customHeight="1" thickBot="1">
      <c r="A10" s="1517"/>
      <c r="B10" s="1517"/>
      <c r="C10" s="276" t="s">
        <v>163</v>
      </c>
      <c r="D10" s="277" t="s">
        <v>164</v>
      </c>
      <c r="E10" s="278" t="s">
        <v>165</v>
      </c>
      <c r="F10" s="279" t="s">
        <v>166</v>
      </c>
      <c r="G10" s="280" t="s">
        <v>167</v>
      </c>
      <c r="H10" s="280" t="s">
        <v>168</v>
      </c>
      <c r="I10" s="1102" t="s">
        <v>226</v>
      </c>
      <c r="J10" s="1102" t="s">
        <v>690</v>
      </c>
    </row>
    <row r="11" spans="1:10" s="266" customFormat="1" ht="12.75" customHeight="1">
      <c r="A11" s="281" t="s">
        <v>38</v>
      </c>
      <c r="B11" s="282"/>
      <c r="C11" s="283" t="s">
        <v>170</v>
      </c>
      <c r="D11" s="284">
        <v>39732</v>
      </c>
      <c r="E11" s="285">
        <v>42002</v>
      </c>
      <c r="F11" s="286">
        <f aca="true" t="shared" si="0" ref="F11:F17">E11/D11</f>
        <v>1.0571327896909293</v>
      </c>
      <c r="G11" s="287">
        <v>42002</v>
      </c>
      <c r="H11" s="287">
        <v>46252</v>
      </c>
      <c r="I11" s="1103">
        <v>39354</v>
      </c>
      <c r="J11" s="1103">
        <v>36156</v>
      </c>
    </row>
    <row r="12" spans="1:10" s="266" customFormat="1" ht="12.75" customHeight="1">
      <c r="A12" s="288" t="s">
        <v>40</v>
      </c>
      <c r="B12" s="289"/>
      <c r="C12" s="290" t="s">
        <v>171</v>
      </c>
      <c r="D12" s="291">
        <v>2360</v>
      </c>
      <c r="E12" s="20">
        <v>2360</v>
      </c>
      <c r="F12" s="292">
        <f t="shared" si="0"/>
        <v>1</v>
      </c>
      <c r="G12" s="293">
        <v>2360</v>
      </c>
      <c r="H12" s="293">
        <v>2360</v>
      </c>
      <c r="I12" s="1104">
        <v>2360</v>
      </c>
      <c r="J12" s="1104">
        <v>10038</v>
      </c>
    </row>
    <row r="13" spans="1:10" s="266" customFormat="1" ht="12.75" customHeight="1">
      <c r="A13" s="288" t="s">
        <v>47</v>
      </c>
      <c r="B13" s="289"/>
      <c r="C13" s="290" t="s">
        <v>172</v>
      </c>
      <c r="D13" s="291">
        <v>643</v>
      </c>
      <c r="E13" s="20">
        <v>700</v>
      </c>
      <c r="F13" s="292">
        <f t="shared" si="0"/>
        <v>1.088646967340591</v>
      </c>
      <c r="G13" s="293">
        <v>700</v>
      </c>
      <c r="H13" s="293">
        <v>700</v>
      </c>
      <c r="I13" s="1104">
        <v>40</v>
      </c>
      <c r="J13" s="1104">
        <v>23</v>
      </c>
    </row>
    <row r="14" spans="1:10" s="266" customFormat="1" ht="12.75" customHeight="1">
      <c r="A14" s="294" t="s">
        <v>49</v>
      </c>
      <c r="B14" s="295"/>
      <c r="C14" s="296" t="s">
        <v>232</v>
      </c>
      <c r="D14" s="297">
        <f>SUM(D11:D13)</f>
        <v>42735</v>
      </c>
      <c r="E14" s="298">
        <f>SUM(E11:E13)</f>
        <v>45062</v>
      </c>
      <c r="F14" s="299">
        <f t="shared" si="0"/>
        <v>1.0544518544518544</v>
      </c>
      <c r="G14" s="300">
        <f>SUM(G11:G13)</f>
        <v>45062</v>
      </c>
      <c r="H14" s="300">
        <f>SUM(H11:H13)</f>
        <v>49312</v>
      </c>
      <c r="I14" s="1105">
        <f>SUM(I11:I13)</f>
        <v>41754</v>
      </c>
      <c r="J14" s="1105">
        <f>SUM(J11:J13)</f>
        <v>46217</v>
      </c>
    </row>
    <row r="15" spans="1:10" s="6" customFormat="1" ht="12.75" customHeight="1">
      <c r="A15" s="288" t="s">
        <v>51</v>
      </c>
      <c r="B15" s="289" t="s">
        <v>38</v>
      </c>
      <c r="C15" s="290" t="s">
        <v>39</v>
      </c>
      <c r="D15" s="301">
        <v>159411</v>
      </c>
      <c r="E15" s="302">
        <v>132784</v>
      </c>
      <c r="F15" s="303">
        <f t="shared" si="0"/>
        <v>0.8329663574031905</v>
      </c>
      <c r="G15" s="304">
        <v>132784</v>
      </c>
      <c r="H15" s="304">
        <v>132784</v>
      </c>
      <c r="I15" s="1104">
        <v>140187</v>
      </c>
      <c r="J15" s="1104">
        <v>159027</v>
      </c>
    </row>
    <row r="16" spans="1:10" s="266" customFormat="1" ht="12.75" customHeight="1">
      <c r="A16" s="288" t="s">
        <v>53</v>
      </c>
      <c r="B16" s="289"/>
      <c r="C16" s="290" t="s">
        <v>256</v>
      </c>
      <c r="D16" s="291">
        <v>8072</v>
      </c>
      <c r="E16" s="20">
        <v>8378</v>
      </c>
      <c r="F16" s="303">
        <f t="shared" si="0"/>
        <v>1.0379088206144698</v>
      </c>
      <c r="G16" s="293">
        <v>8378</v>
      </c>
      <c r="H16" s="293">
        <v>8378</v>
      </c>
      <c r="I16" s="1104">
        <v>8378</v>
      </c>
      <c r="J16" s="1104">
        <v>9158</v>
      </c>
    </row>
    <row r="17" spans="1:10" s="266" customFormat="1" ht="12.75" customHeight="1">
      <c r="A17" s="288" t="s">
        <v>55</v>
      </c>
      <c r="B17" s="289"/>
      <c r="C17" s="290" t="s">
        <v>96</v>
      </c>
      <c r="D17" s="291">
        <v>315</v>
      </c>
      <c r="E17" s="20">
        <v>315</v>
      </c>
      <c r="F17" s="303">
        <f t="shared" si="0"/>
        <v>1</v>
      </c>
      <c r="G17" s="293">
        <v>315</v>
      </c>
      <c r="H17" s="293">
        <v>315</v>
      </c>
      <c r="I17" s="1104">
        <v>315</v>
      </c>
      <c r="J17" s="1104">
        <v>0</v>
      </c>
    </row>
    <row r="18" spans="1:10" s="266" customFormat="1" ht="12.75" customHeight="1">
      <c r="A18" s="305" t="s">
        <v>57</v>
      </c>
      <c r="B18" s="289"/>
      <c r="C18" s="290" t="s">
        <v>175</v>
      </c>
      <c r="D18" s="291">
        <v>0</v>
      </c>
      <c r="E18" s="20">
        <v>0</v>
      </c>
      <c r="F18" s="303">
        <v>0</v>
      </c>
      <c r="G18" s="293">
        <v>0</v>
      </c>
      <c r="H18" s="293">
        <v>0</v>
      </c>
      <c r="I18" s="1104">
        <v>0</v>
      </c>
      <c r="J18" s="1104">
        <v>0</v>
      </c>
    </row>
    <row r="19" spans="1:10" s="266" customFormat="1" ht="12.75" customHeight="1">
      <c r="A19" s="305" t="s">
        <v>86</v>
      </c>
      <c r="B19" s="289"/>
      <c r="C19" s="290" t="s">
        <v>176</v>
      </c>
      <c r="D19" s="291">
        <v>1000</v>
      </c>
      <c r="E19" s="20">
        <v>1000</v>
      </c>
      <c r="F19" s="292">
        <f>E19/D19</f>
        <v>1</v>
      </c>
      <c r="G19" s="293">
        <v>1000</v>
      </c>
      <c r="H19" s="293">
        <v>1000</v>
      </c>
      <c r="I19" s="1104">
        <v>1000</v>
      </c>
      <c r="J19" s="1104">
        <v>459</v>
      </c>
    </row>
    <row r="20" spans="1:10" s="266" customFormat="1" ht="24" customHeight="1">
      <c r="A20" s="294" t="s">
        <v>59</v>
      </c>
      <c r="B20" s="295"/>
      <c r="C20" s="306" t="s">
        <v>257</v>
      </c>
      <c r="D20" s="297">
        <f>SUM(D15:D19)</f>
        <v>168798</v>
      </c>
      <c r="E20" s="298">
        <f>SUM(E15:E19)</f>
        <v>142477</v>
      </c>
      <c r="F20" s="299">
        <f>E20/D20</f>
        <v>0.8440680576784085</v>
      </c>
      <c r="G20" s="300">
        <f>SUM(G15:G19)</f>
        <v>142477</v>
      </c>
      <c r="H20" s="300">
        <f>SUM(H15:H19)</f>
        <v>142477</v>
      </c>
      <c r="I20" s="1105">
        <f>SUM(I15:I19)</f>
        <v>149880</v>
      </c>
      <c r="J20" s="1105">
        <f>SUM(J15:J19)</f>
        <v>168644</v>
      </c>
    </row>
    <row r="21" spans="1:10" s="266" customFormat="1" ht="12.75" customHeight="1">
      <c r="A21" s="288" t="s">
        <v>61</v>
      </c>
      <c r="B21" s="289"/>
      <c r="C21" s="290" t="s">
        <v>258</v>
      </c>
      <c r="D21" s="291">
        <v>175920</v>
      </c>
      <c r="E21" s="20">
        <v>172951</v>
      </c>
      <c r="F21" s="292">
        <f>E21/D21</f>
        <v>0.9831230104592997</v>
      </c>
      <c r="G21" s="293">
        <v>174108</v>
      </c>
      <c r="H21" s="293">
        <v>174695</v>
      </c>
      <c r="I21" s="1104">
        <v>185145</v>
      </c>
      <c r="J21" s="1104">
        <v>185377</v>
      </c>
    </row>
    <row r="22" spans="1:10" s="266" customFormat="1" ht="12.75" customHeight="1">
      <c r="A22" s="288" t="s">
        <v>63</v>
      </c>
      <c r="B22" s="289"/>
      <c r="C22" s="290" t="s">
        <v>259</v>
      </c>
      <c r="D22" s="291"/>
      <c r="E22" s="20"/>
      <c r="F22" s="292"/>
      <c r="G22" s="293"/>
      <c r="H22" s="293"/>
      <c r="I22" s="1104"/>
      <c r="J22" s="1104"/>
    </row>
    <row r="23" spans="1:10" s="266" customFormat="1" ht="12.75" customHeight="1">
      <c r="A23" s="288" t="s">
        <v>65</v>
      </c>
      <c r="B23" s="289"/>
      <c r="C23" s="290" t="s">
        <v>260</v>
      </c>
      <c r="D23" s="291"/>
      <c r="E23" s="20"/>
      <c r="F23" s="292"/>
      <c r="G23" s="293"/>
      <c r="H23" s="293"/>
      <c r="I23" s="1104"/>
      <c r="J23" s="1104"/>
    </row>
    <row r="24" spans="1:10" s="266" customFormat="1" ht="12.75" customHeight="1">
      <c r="A24" s="288" t="s">
        <v>92</v>
      </c>
      <c r="B24" s="289"/>
      <c r="C24" s="290" t="s">
        <v>261</v>
      </c>
      <c r="D24" s="291"/>
      <c r="E24" s="20"/>
      <c r="F24" s="292"/>
      <c r="G24" s="293"/>
      <c r="H24" s="293"/>
      <c r="I24" s="1104"/>
      <c r="J24" s="1104"/>
    </row>
    <row r="25" spans="1:10" s="266" customFormat="1" ht="12.75" customHeight="1">
      <c r="A25" s="307" t="s">
        <v>66</v>
      </c>
      <c r="B25" s="308"/>
      <c r="C25" s="309" t="s">
        <v>262</v>
      </c>
      <c r="D25" s="310">
        <f>SUM(D21:D24)</f>
        <v>175920</v>
      </c>
      <c r="E25" s="15">
        <f>SUM(E21:E24)</f>
        <v>172951</v>
      </c>
      <c r="F25" s="299">
        <f>E25/D25</f>
        <v>0.9831230104592997</v>
      </c>
      <c r="G25" s="311">
        <f>SUM(G21:G24)</f>
        <v>174108</v>
      </c>
      <c r="H25" s="311">
        <f>SUM(H21:H24)</f>
        <v>174695</v>
      </c>
      <c r="I25" s="1106">
        <f>SUM(I21:I24)</f>
        <v>185145</v>
      </c>
      <c r="J25" s="1106">
        <f>SUM(J21:J24)</f>
        <v>185377</v>
      </c>
    </row>
    <row r="26" spans="1:10" s="266" customFormat="1" ht="12.75" customHeight="1">
      <c r="A26" s="312" t="s">
        <v>67</v>
      </c>
      <c r="B26" s="313" t="s">
        <v>179</v>
      </c>
      <c r="C26" s="314" t="s">
        <v>106</v>
      </c>
      <c r="D26" s="291"/>
      <c r="E26" s="20"/>
      <c r="F26" s="292"/>
      <c r="G26" s="293"/>
      <c r="H26" s="293"/>
      <c r="I26" s="1104"/>
      <c r="J26" s="1104"/>
    </row>
    <row r="27" spans="1:10" s="266" customFormat="1" ht="12.75" customHeight="1">
      <c r="A27" s="288" t="s">
        <v>68</v>
      </c>
      <c r="B27" s="289"/>
      <c r="C27" s="290" t="s">
        <v>263</v>
      </c>
      <c r="D27" s="291">
        <v>9241</v>
      </c>
      <c r="E27" s="20">
        <v>35000</v>
      </c>
      <c r="F27" s="292">
        <f aca="true" t="shared" si="1" ref="F27:F38">E27/D27</f>
        <v>3.7874688886484145</v>
      </c>
      <c r="G27" s="293">
        <v>60313</v>
      </c>
      <c r="H27" s="293">
        <v>60313</v>
      </c>
      <c r="I27" s="1104">
        <v>41468</v>
      </c>
      <c r="J27" s="1104">
        <v>7399</v>
      </c>
    </row>
    <row r="28" spans="1:10" s="266" customFormat="1" ht="12.75" customHeight="1">
      <c r="A28" s="288" t="s">
        <v>70</v>
      </c>
      <c r="B28" s="289"/>
      <c r="C28" s="290" t="s">
        <v>264</v>
      </c>
      <c r="D28" s="291">
        <v>189812</v>
      </c>
      <c r="E28" s="20">
        <v>0</v>
      </c>
      <c r="F28" s="292">
        <f t="shared" si="1"/>
        <v>0</v>
      </c>
      <c r="G28" s="293">
        <v>0</v>
      </c>
      <c r="H28" s="293">
        <v>0</v>
      </c>
      <c r="I28" s="1104">
        <v>0</v>
      </c>
      <c r="J28" s="1104">
        <v>0</v>
      </c>
    </row>
    <row r="29" spans="1:10" s="266" customFormat="1" ht="12.75" customHeight="1">
      <c r="A29" s="305" t="s">
        <v>97</v>
      </c>
      <c r="B29" s="289"/>
      <c r="C29" s="290" t="s">
        <v>265</v>
      </c>
      <c r="D29" s="291">
        <v>30288</v>
      </c>
      <c r="E29" s="20">
        <v>49490</v>
      </c>
      <c r="F29" s="292">
        <f t="shared" si="1"/>
        <v>1.6339804543053353</v>
      </c>
      <c r="G29" s="293">
        <v>45533</v>
      </c>
      <c r="H29" s="293">
        <v>13133</v>
      </c>
      <c r="I29" s="1104">
        <v>10217</v>
      </c>
      <c r="J29" s="1104">
        <v>43131</v>
      </c>
    </row>
    <row r="30" spans="1:10" s="266" customFormat="1" ht="12.75" customHeight="1">
      <c r="A30" s="307" t="s">
        <v>99</v>
      </c>
      <c r="B30" s="308"/>
      <c r="C30" s="309" t="s">
        <v>25</v>
      </c>
      <c r="D30" s="310">
        <f>SUM(D27:D29)</f>
        <v>229341</v>
      </c>
      <c r="E30" s="15">
        <f>SUM(E27:E29)</f>
        <v>84490</v>
      </c>
      <c r="F30" s="299">
        <f t="shared" si="1"/>
        <v>0.3684033818636877</v>
      </c>
      <c r="G30" s="311">
        <f>SUM(G27:G29)</f>
        <v>105846</v>
      </c>
      <c r="H30" s="311">
        <f>SUM(H27:H29)</f>
        <v>73446</v>
      </c>
      <c r="I30" s="1106">
        <f>SUM(I27:I29)</f>
        <v>51685</v>
      </c>
      <c r="J30" s="1106">
        <f>SUM(J27:J29)</f>
        <v>50530</v>
      </c>
    </row>
    <row r="31" spans="1:10" s="266" customFormat="1" ht="12.75" customHeight="1">
      <c r="A31" s="315" t="s">
        <v>101</v>
      </c>
      <c r="B31" s="308" t="s">
        <v>180</v>
      </c>
      <c r="C31" s="316" t="s">
        <v>183</v>
      </c>
      <c r="D31" s="310">
        <v>295</v>
      </c>
      <c r="E31" s="15">
        <v>1205</v>
      </c>
      <c r="F31" s="299">
        <f t="shared" si="1"/>
        <v>4.084745762711864</v>
      </c>
      <c r="G31" s="311">
        <v>1205</v>
      </c>
      <c r="H31" s="311">
        <v>1605</v>
      </c>
      <c r="I31" s="1106">
        <v>468</v>
      </c>
      <c r="J31" s="1106">
        <v>859</v>
      </c>
    </row>
    <row r="32" spans="1:10" s="266" customFormat="1" ht="12.75" customHeight="1">
      <c r="A32" s="312" t="s">
        <v>103</v>
      </c>
      <c r="B32" s="313" t="s">
        <v>182</v>
      </c>
      <c r="C32" s="317" t="s">
        <v>187</v>
      </c>
      <c r="D32" s="318">
        <f>SUM(D33:D39)</f>
        <v>52538</v>
      </c>
      <c r="E32" s="13">
        <f>SUM(E33:E39)</f>
        <v>47788</v>
      </c>
      <c r="F32" s="319">
        <f t="shared" si="1"/>
        <v>0.9095892496859416</v>
      </c>
      <c r="G32" s="320">
        <f>SUM(G33:G40)</f>
        <v>127788</v>
      </c>
      <c r="H32" s="320">
        <f>SUM(H33:H40)</f>
        <v>127018</v>
      </c>
      <c r="I32" s="1107">
        <f>SUM(I33:I41)</f>
        <v>126212</v>
      </c>
      <c r="J32" s="1107">
        <f>SUM(J33:J41)</f>
        <v>137735</v>
      </c>
    </row>
    <row r="33" spans="1:10" s="266" customFormat="1" ht="12.75" customHeight="1">
      <c r="A33" s="288" t="s">
        <v>105</v>
      </c>
      <c r="B33" s="321"/>
      <c r="C33" s="290" t="s">
        <v>266</v>
      </c>
      <c r="D33" s="291">
        <v>34550</v>
      </c>
      <c r="E33" s="20">
        <v>33500</v>
      </c>
      <c r="F33" s="292">
        <f t="shared" si="1"/>
        <v>0.9696092619392185</v>
      </c>
      <c r="G33" s="293">
        <v>33500</v>
      </c>
      <c r="H33" s="293">
        <v>32730</v>
      </c>
      <c r="I33" s="1104">
        <v>31199</v>
      </c>
      <c r="J33" s="1321">
        <v>31164</v>
      </c>
    </row>
    <row r="34" spans="1:10" s="266" customFormat="1" ht="12.75" customHeight="1">
      <c r="A34" s="288" t="s">
        <v>107</v>
      </c>
      <c r="B34" s="321"/>
      <c r="C34" s="290" t="s">
        <v>267</v>
      </c>
      <c r="D34" s="291">
        <v>14071</v>
      </c>
      <c r="E34" s="20">
        <v>14288</v>
      </c>
      <c r="F34" s="292">
        <f t="shared" si="1"/>
        <v>1.0154217894961268</v>
      </c>
      <c r="G34" s="293">
        <v>14288</v>
      </c>
      <c r="H34" s="293">
        <v>14288</v>
      </c>
      <c r="I34" s="1104">
        <v>13237</v>
      </c>
      <c r="J34" s="1321">
        <v>15697</v>
      </c>
    </row>
    <row r="35" spans="1:10" s="266" customFormat="1" ht="12.75" customHeight="1">
      <c r="A35" s="288" t="s">
        <v>109</v>
      </c>
      <c r="B35" s="321"/>
      <c r="C35" s="290" t="s">
        <v>268</v>
      </c>
      <c r="D35" s="291">
        <v>3040</v>
      </c>
      <c r="E35" s="20"/>
      <c r="F35" s="292">
        <f t="shared" si="1"/>
        <v>0</v>
      </c>
      <c r="G35" s="293"/>
      <c r="H35" s="293"/>
      <c r="I35" s="1104">
        <v>20</v>
      </c>
      <c r="J35" s="1321">
        <v>1120</v>
      </c>
    </row>
    <row r="36" spans="1:10" s="266" customFormat="1" ht="18.75" customHeight="1">
      <c r="A36" s="288" t="s">
        <v>111</v>
      </c>
      <c r="B36" s="321"/>
      <c r="C36" s="1320" t="s">
        <v>1256</v>
      </c>
      <c r="D36" s="291"/>
      <c r="E36" s="20"/>
      <c r="F36" s="292"/>
      <c r="G36" s="293"/>
      <c r="H36" s="293"/>
      <c r="I36" s="1104"/>
      <c r="J36" s="1321">
        <v>116</v>
      </c>
    </row>
    <row r="37" spans="1:10" s="266" customFormat="1" ht="12.75" customHeight="1">
      <c r="A37" s="288" t="s">
        <v>113</v>
      </c>
      <c r="B37" s="321"/>
      <c r="C37" s="290" t="s">
        <v>1257</v>
      </c>
      <c r="D37" s="291"/>
      <c r="E37" s="20"/>
      <c r="F37" s="292"/>
      <c r="G37" s="293"/>
      <c r="H37" s="293"/>
      <c r="I37" s="1104"/>
      <c r="J37" s="1321">
        <v>3852</v>
      </c>
    </row>
    <row r="38" spans="1:10" s="266" customFormat="1" ht="12.75" customHeight="1">
      <c r="A38" s="288" t="s">
        <v>115</v>
      </c>
      <c r="B38" s="321"/>
      <c r="C38" s="290" t="s">
        <v>269</v>
      </c>
      <c r="D38" s="291">
        <v>877</v>
      </c>
      <c r="E38" s="20"/>
      <c r="F38" s="292">
        <f t="shared" si="1"/>
        <v>0</v>
      </c>
      <c r="G38" s="293"/>
      <c r="H38" s="293"/>
      <c r="I38" s="1104">
        <v>951</v>
      </c>
      <c r="J38" s="1321">
        <v>951</v>
      </c>
    </row>
    <row r="39" spans="1:10" s="266" customFormat="1" ht="12.75" customHeight="1">
      <c r="A39" s="288" t="s">
        <v>117</v>
      </c>
      <c r="B39" s="321"/>
      <c r="C39" s="290" t="s">
        <v>270</v>
      </c>
      <c r="D39" s="291"/>
      <c r="E39" s="20"/>
      <c r="F39" s="292"/>
      <c r="G39" s="293"/>
      <c r="H39" s="293"/>
      <c r="I39" s="1104"/>
      <c r="J39" s="1321"/>
    </row>
    <row r="40" spans="1:10" s="266" customFormat="1" ht="12.75" customHeight="1">
      <c r="A40" s="288" t="s">
        <v>118</v>
      </c>
      <c r="B40" s="321"/>
      <c r="C40" s="290" t="s">
        <v>264</v>
      </c>
      <c r="D40" s="291"/>
      <c r="E40" s="20"/>
      <c r="F40" s="292"/>
      <c r="G40" s="293">
        <v>80000</v>
      </c>
      <c r="H40" s="293">
        <v>80000</v>
      </c>
      <c r="I40" s="1104">
        <v>80000</v>
      </c>
      <c r="J40" s="1321">
        <v>83258</v>
      </c>
    </row>
    <row r="41" spans="1:10" s="266" customFormat="1" ht="12.75" customHeight="1">
      <c r="A41" s="288" t="s">
        <v>120</v>
      </c>
      <c r="B41" s="321"/>
      <c r="C41" s="290" t="s">
        <v>937</v>
      </c>
      <c r="D41" s="291">
        <v>0</v>
      </c>
      <c r="E41" s="20">
        <v>0</v>
      </c>
      <c r="F41" s="292">
        <v>0</v>
      </c>
      <c r="G41" s="293">
        <v>0</v>
      </c>
      <c r="H41" s="293">
        <v>0</v>
      </c>
      <c r="I41" s="1104">
        <v>805</v>
      </c>
      <c r="J41" s="1321">
        <v>1577</v>
      </c>
    </row>
    <row r="42" spans="1:10" s="323" customFormat="1" ht="12.75" customHeight="1">
      <c r="A42" s="312" t="s">
        <v>122</v>
      </c>
      <c r="B42" s="322"/>
      <c r="C42" s="314" t="s">
        <v>271</v>
      </c>
      <c r="D42" s="318">
        <f>SUM(153)</f>
        <v>153</v>
      </c>
      <c r="E42" s="13">
        <v>4125</v>
      </c>
      <c r="F42" s="319">
        <f>E42/D42</f>
        <v>26.96078431372549</v>
      </c>
      <c r="G42" s="320">
        <v>4125</v>
      </c>
      <c r="H42" s="320">
        <v>1020</v>
      </c>
      <c r="I42" s="1107">
        <v>971</v>
      </c>
      <c r="J42" s="1322">
        <v>956</v>
      </c>
    </row>
    <row r="43" spans="1:10" s="266" customFormat="1" ht="12.75" customHeight="1">
      <c r="A43" s="307" t="s">
        <v>124</v>
      </c>
      <c r="B43" s="308"/>
      <c r="C43" s="309" t="s">
        <v>272</v>
      </c>
      <c r="D43" s="310">
        <f>SUM(D33:D42)</f>
        <v>52691</v>
      </c>
      <c r="E43" s="15">
        <f>SUM(E33:E42)</f>
        <v>51913</v>
      </c>
      <c r="F43" s="299">
        <f>E43/D43</f>
        <v>0.9852346700575051</v>
      </c>
      <c r="G43" s="311">
        <f>SUM(G33:G42)</f>
        <v>131913</v>
      </c>
      <c r="H43" s="311">
        <f>SUM(H33:H42)</f>
        <v>128038</v>
      </c>
      <c r="I43" s="1106">
        <f>SUM(I32+I42)</f>
        <v>127183</v>
      </c>
      <c r="J43" s="1106">
        <f>SUM(J32+J42)</f>
        <v>138691</v>
      </c>
    </row>
    <row r="44" spans="1:10" s="323" customFormat="1" ht="12.75" customHeight="1">
      <c r="A44" s="312" t="s">
        <v>126</v>
      </c>
      <c r="B44" s="322" t="s">
        <v>186</v>
      </c>
      <c r="C44" s="314" t="s">
        <v>194</v>
      </c>
      <c r="D44" s="318">
        <v>10166</v>
      </c>
      <c r="E44" s="13">
        <v>6052</v>
      </c>
      <c r="F44" s="292">
        <f>E44/D44</f>
        <v>0.5953177257525084</v>
      </c>
      <c r="G44" s="320">
        <v>6052</v>
      </c>
      <c r="H44" s="320">
        <v>6052</v>
      </c>
      <c r="I44" s="1107">
        <v>4153</v>
      </c>
      <c r="J44" s="1107">
        <v>11934</v>
      </c>
    </row>
    <row r="45" spans="1:10" s="323" customFormat="1" ht="12.75" customHeight="1">
      <c r="A45" s="312" t="s">
        <v>128</v>
      </c>
      <c r="B45" s="322" t="s">
        <v>191</v>
      </c>
      <c r="C45" s="314" t="s">
        <v>273</v>
      </c>
      <c r="D45" s="318">
        <v>110000</v>
      </c>
      <c r="E45" s="13">
        <v>0</v>
      </c>
      <c r="F45" s="292">
        <f>E45/D45</f>
        <v>0</v>
      </c>
      <c r="G45" s="320">
        <v>0</v>
      </c>
      <c r="H45" s="320">
        <v>0</v>
      </c>
      <c r="I45" s="1107">
        <v>0</v>
      </c>
      <c r="J45" s="1107">
        <v>0</v>
      </c>
    </row>
    <row r="46" spans="1:10" s="266" customFormat="1" ht="12.75" customHeight="1">
      <c r="A46" s="312" t="s">
        <v>130</v>
      </c>
      <c r="B46" s="322" t="s">
        <v>196</v>
      </c>
      <c r="C46" s="314" t="s">
        <v>274</v>
      </c>
      <c r="D46" s="291">
        <v>43978</v>
      </c>
      <c r="E46" s="20">
        <v>10669</v>
      </c>
      <c r="F46" s="292">
        <f>E46/D46</f>
        <v>0.24259857201327936</v>
      </c>
      <c r="G46" s="293">
        <v>14626</v>
      </c>
      <c r="H46" s="293">
        <v>47026</v>
      </c>
      <c r="I46" s="1104">
        <v>49942</v>
      </c>
      <c r="J46" s="1104">
        <v>17028</v>
      </c>
    </row>
    <row r="47" spans="1:10" s="266" customFormat="1" ht="12.75" customHeight="1">
      <c r="A47" s="312" t="s">
        <v>131</v>
      </c>
      <c r="B47" s="313" t="s">
        <v>275</v>
      </c>
      <c r="C47" s="314" t="s">
        <v>276</v>
      </c>
      <c r="D47" s="291">
        <v>0</v>
      </c>
      <c r="E47" s="20">
        <v>90000</v>
      </c>
      <c r="F47" s="292">
        <v>0</v>
      </c>
      <c r="G47" s="293">
        <v>90000</v>
      </c>
      <c r="H47" s="293">
        <v>80000</v>
      </c>
      <c r="I47" s="1104">
        <v>80000</v>
      </c>
      <c r="J47" s="1104">
        <v>80000</v>
      </c>
    </row>
    <row r="48" spans="1:10" s="266" customFormat="1" ht="12.75" customHeight="1" thickBot="1">
      <c r="A48" s="324" t="s">
        <v>133</v>
      </c>
      <c r="B48" s="325"/>
      <c r="C48" s="326" t="s">
        <v>116</v>
      </c>
      <c r="D48" s="327">
        <f>D47+D43+D30+D25+D14+D46+D44+D45+D31+D20</f>
        <v>833924</v>
      </c>
      <c r="E48" s="328">
        <f>E47+E43+E30+E25+E14+E46+E44+E45+E31+E20</f>
        <v>604819</v>
      </c>
      <c r="F48" s="329">
        <f>E48/D48</f>
        <v>0.725268729524513</v>
      </c>
      <c r="G48" s="330">
        <f>G47+G43+G30+G25+G14+G46+G44+G45+G31+G20</f>
        <v>711289</v>
      </c>
      <c r="H48" s="330">
        <f>H47+H43+H30+H25+H14+H46+H44+H45+H31+H20</f>
        <v>702651</v>
      </c>
      <c r="I48" s="1108">
        <f>I47+I43+I30+I25+I14+I46+I44+I45+I31+I20</f>
        <v>690210</v>
      </c>
      <c r="J48" s="1108">
        <f>J47+J43+J30+J25+J14+J46+J44+J45+J31+J20</f>
        <v>699280</v>
      </c>
    </row>
    <row r="59" ht="14.25" customHeight="1"/>
  </sheetData>
  <sheetProtection selectLockedCells="1" selectUnlockedCells="1"/>
  <mergeCells count="6">
    <mergeCell ref="A5:J6"/>
    <mergeCell ref="A9:B10"/>
    <mergeCell ref="A4:F4"/>
    <mergeCell ref="C8:J8"/>
    <mergeCell ref="A1:J1"/>
    <mergeCell ref="A2:J2"/>
  </mergeCells>
  <printOptions/>
  <pageMargins left="0.7874015748031497" right="0.2362204724409449" top="0.5118110236220472" bottom="0.15748031496062992" header="0.5118110236220472" footer="0.5118110236220472"/>
  <pageSetup firstPageNumber="1" useFirstPageNumber="1"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V80"/>
  <sheetViews>
    <sheetView zoomScalePageLayoutView="0" workbookViewId="0" topLeftCell="A1">
      <selection activeCell="E8" sqref="E8"/>
    </sheetView>
  </sheetViews>
  <sheetFormatPr defaultColWidth="11.7109375" defaultRowHeight="12.75" customHeight="1"/>
  <cols>
    <col min="1" max="2" width="3.8515625" style="56" customWidth="1"/>
    <col min="3" max="3" width="35.140625" style="56" customWidth="1"/>
    <col min="4" max="4" width="14.140625" style="57" customWidth="1"/>
    <col min="5" max="5" width="13.421875" style="57" customWidth="1"/>
    <col min="6" max="9" width="14.7109375" style="57" customWidth="1"/>
    <col min="10" max="16384" width="11.7109375" style="56" customWidth="1"/>
  </cols>
  <sheetData>
    <row r="1" spans="1:9" s="217" customFormat="1" ht="18" customHeight="1">
      <c r="A1" s="1514" t="s">
        <v>277</v>
      </c>
      <c r="B1" s="1514"/>
      <c r="C1" s="1514"/>
      <c r="D1" s="1514"/>
      <c r="E1" s="1514"/>
      <c r="F1" s="1514"/>
      <c r="G1" s="1514"/>
      <c r="H1" s="1514"/>
      <c r="I1" s="1514"/>
    </row>
    <row r="2" spans="1:9" ht="19.5" customHeight="1">
      <c r="A2" s="1524" t="s">
        <v>1319</v>
      </c>
      <c r="B2" s="1524"/>
      <c r="C2" s="1524"/>
      <c r="D2" s="1524"/>
      <c r="E2" s="1524"/>
      <c r="F2" s="1524"/>
      <c r="G2" s="1524"/>
      <c r="H2" s="1524"/>
      <c r="I2" s="1524"/>
    </row>
    <row r="3" spans="1:9" ht="19.5" customHeight="1">
      <c r="A3" s="1524" t="s">
        <v>1316</v>
      </c>
      <c r="B3" s="1524"/>
      <c r="C3" s="1524"/>
      <c r="D3" s="1524"/>
      <c r="E3" s="1524"/>
      <c r="F3" s="1524"/>
      <c r="G3" s="1524"/>
      <c r="H3" s="1524"/>
      <c r="I3" s="1524"/>
    </row>
    <row r="4" spans="1:252" ht="45.75" customHeight="1">
      <c r="A4" s="1523" t="s">
        <v>278</v>
      </c>
      <c r="B4" s="1523"/>
      <c r="C4" s="1523"/>
      <c r="D4" s="1523"/>
      <c r="E4" s="1523"/>
      <c r="F4" s="1523"/>
      <c r="G4" s="1523"/>
      <c r="H4" s="152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2.75" customHeight="1">
      <c r="A5" s="1521"/>
      <c r="B5" s="1521"/>
      <c r="C5" s="1521"/>
      <c r="D5" s="1521"/>
      <c r="E5" s="1521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5.75" customHeight="1" thickBot="1">
      <c r="A6" s="1522" t="s">
        <v>279</v>
      </c>
      <c r="B6" s="1522"/>
      <c r="C6" s="1522"/>
      <c r="D6" s="1519" t="s">
        <v>155</v>
      </c>
      <c r="E6" s="1519"/>
      <c r="F6" s="1519"/>
      <c r="G6" s="1519"/>
      <c r="H6" s="1519"/>
      <c r="I6" s="15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7" customHeight="1" thickBot="1">
      <c r="A7" s="1526" t="s">
        <v>156</v>
      </c>
      <c r="B7" s="1526"/>
      <c r="C7" s="331" t="s">
        <v>157</v>
      </c>
      <c r="D7" s="332" t="s">
        <v>280</v>
      </c>
      <c r="E7" s="333" t="s">
        <v>159</v>
      </c>
      <c r="F7" s="334" t="s">
        <v>201</v>
      </c>
      <c r="G7" s="334" t="s">
        <v>162</v>
      </c>
      <c r="H7" s="334" t="s">
        <v>908</v>
      </c>
      <c r="I7" s="334" t="s">
        <v>941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.75" customHeight="1" thickBot="1">
      <c r="A8" s="1526"/>
      <c r="B8" s="1526"/>
      <c r="C8" s="65" t="s">
        <v>163</v>
      </c>
      <c r="D8" s="66" t="s">
        <v>164</v>
      </c>
      <c r="E8" s="335" t="s">
        <v>165</v>
      </c>
      <c r="F8" s="336" t="s">
        <v>166</v>
      </c>
      <c r="G8" s="336" t="s">
        <v>167</v>
      </c>
      <c r="H8" s="336" t="s">
        <v>168</v>
      </c>
      <c r="I8" s="336" t="s">
        <v>226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.75" customHeight="1">
      <c r="A9" s="337" t="s">
        <v>38</v>
      </c>
      <c r="B9" s="338"/>
      <c r="C9" s="339" t="s">
        <v>281</v>
      </c>
      <c r="D9" s="125">
        <v>14456</v>
      </c>
      <c r="E9" s="340">
        <f>SUM(20343)-180</f>
        <v>20163</v>
      </c>
      <c r="F9" s="341">
        <v>20163</v>
      </c>
      <c r="G9" s="341">
        <v>24413</v>
      </c>
      <c r="H9" s="341">
        <v>19278</v>
      </c>
      <c r="I9" s="341">
        <v>20600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2.75" customHeight="1">
      <c r="A10" s="342" t="s">
        <v>40</v>
      </c>
      <c r="B10" s="343"/>
      <c r="C10" s="344" t="s">
        <v>282</v>
      </c>
      <c r="D10" s="80"/>
      <c r="E10" s="345"/>
      <c r="F10" s="346"/>
      <c r="G10" s="346"/>
      <c r="H10" s="346"/>
      <c r="I10" s="34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2.75" customHeight="1">
      <c r="A11" s="342" t="s">
        <v>47</v>
      </c>
      <c r="B11" s="78"/>
      <c r="C11" s="79" t="s">
        <v>283</v>
      </c>
      <c r="D11" s="80"/>
      <c r="E11" s="345"/>
      <c r="F11" s="346"/>
      <c r="G11" s="346"/>
      <c r="H11" s="346"/>
      <c r="I11" s="34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9" s="348" customFormat="1" ht="12.75" customHeight="1">
      <c r="A12" s="342" t="s">
        <v>49</v>
      </c>
      <c r="B12" s="347"/>
      <c r="C12" s="79" t="s">
        <v>284</v>
      </c>
      <c r="D12" s="80"/>
      <c r="E12" s="345"/>
      <c r="F12" s="346"/>
      <c r="G12" s="346"/>
      <c r="H12" s="346"/>
      <c r="I12" s="346"/>
    </row>
    <row r="13" spans="1:252" ht="12.75" customHeight="1">
      <c r="A13" s="342" t="s">
        <v>51</v>
      </c>
      <c r="B13" s="349"/>
      <c r="C13" s="79" t="s">
        <v>285</v>
      </c>
      <c r="D13" s="80"/>
      <c r="E13" s="345"/>
      <c r="F13" s="346"/>
      <c r="G13" s="346"/>
      <c r="H13" s="346"/>
      <c r="I13" s="34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2.75" customHeight="1">
      <c r="A14" s="342" t="s">
        <v>53</v>
      </c>
      <c r="B14" s="349"/>
      <c r="C14" s="79" t="s">
        <v>286</v>
      </c>
      <c r="D14" s="80"/>
      <c r="E14" s="345"/>
      <c r="F14" s="346"/>
      <c r="G14" s="346"/>
      <c r="H14" s="346"/>
      <c r="I14" s="34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2.75" customHeight="1">
      <c r="A15" s="342" t="s">
        <v>55</v>
      </c>
      <c r="B15" s="349"/>
      <c r="C15" s="79" t="s">
        <v>287</v>
      </c>
      <c r="D15" s="80">
        <v>168798</v>
      </c>
      <c r="E15" s="345">
        <v>142477</v>
      </c>
      <c r="F15" s="346">
        <v>142477</v>
      </c>
      <c r="G15" s="346">
        <v>142477</v>
      </c>
      <c r="H15" s="346">
        <v>149880</v>
      </c>
      <c r="I15" s="346">
        <v>168644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2.75" customHeight="1">
      <c r="A16" s="342" t="s">
        <v>57</v>
      </c>
      <c r="B16" s="349"/>
      <c r="C16" s="79" t="s">
        <v>229</v>
      </c>
      <c r="D16" s="80">
        <v>175920</v>
      </c>
      <c r="E16" s="345">
        <v>172951</v>
      </c>
      <c r="F16" s="346">
        <v>174108</v>
      </c>
      <c r="G16" s="346">
        <v>174695</v>
      </c>
      <c r="H16" s="346">
        <v>185145</v>
      </c>
      <c r="I16" s="346">
        <v>185377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2.75" customHeight="1">
      <c r="A17" s="342" t="s">
        <v>86</v>
      </c>
      <c r="B17" s="349"/>
      <c r="C17" s="350" t="s">
        <v>288</v>
      </c>
      <c r="D17" s="80"/>
      <c r="E17" s="345"/>
      <c r="F17" s="346"/>
      <c r="G17" s="346"/>
      <c r="H17" s="346"/>
      <c r="I17" s="34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2.75" customHeight="1">
      <c r="A18" s="342" t="s">
        <v>59</v>
      </c>
      <c r="B18" s="349"/>
      <c r="C18" s="350" t="s">
        <v>289</v>
      </c>
      <c r="D18" s="80"/>
      <c r="E18" s="345"/>
      <c r="F18" s="346"/>
      <c r="G18" s="346"/>
      <c r="H18" s="346"/>
      <c r="I18" s="34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2.75" customHeight="1">
      <c r="A19" s="342" t="s">
        <v>61</v>
      </c>
      <c r="B19" s="349"/>
      <c r="C19" s="350" t="s">
        <v>290</v>
      </c>
      <c r="D19" s="80"/>
      <c r="E19" s="345"/>
      <c r="F19" s="346"/>
      <c r="G19" s="346"/>
      <c r="H19" s="346"/>
      <c r="I19" s="34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3.5" customHeight="1">
      <c r="A20" s="342" t="s">
        <v>63</v>
      </c>
      <c r="B20" s="349"/>
      <c r="C20" s="350" t="s">
        <v>291</v>
      </c>
      <c r="D20" s="80"/>
      <c r="E20" s="345"/>
      <c r="F20" s="346"/>
      <c r="G20" s="346"/>
      <c r="H20" s="346"/>
      <c r="I20" s="34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2.75" customHeight="1">
      <c r="A21" s="342" t="s">
        <v>65</v>
      </c>
      <c r="B21" s="349"/>
      <c r="C21" s="350" t="s">
        <v>292</v>
      </c>
      <c r="D21" s="80"/>
      <c r="E21" s="345"/>
      <c r="F21" s="346"/>
      <c r="G21" s="346"/>
      <c r="H21" s="346"/>
      <c r="I21" s="34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2.75" customHeight="1">
      <c r="A22" s="342" t="s">
        <v>92</v>
      </c>
      <c r="B22" s="349"/>
      <c r="C22" s="79" t="s">
        <v>293</v>
      </c>
      <c r="D22" s="80"/>
      <c r="E22" s="345"/>
      <c r="F22" s="346"/>
      <c r="G22" s="346"/>
      <c r="H22" s="346"/>
      <c r="I22" s="34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2.75" customHeight="1">
      <c r="A23" s="342" t="s">
        <v>66</v>
      </c>
      <c r="B23" s="349"/>
      <c r="C23" s="350" t="s">
        <v>294</v>
      </c>
      <c r="D23" s="80"/>
      <c r="E23" s="345"/>
      <c r="F23" s="346"/>
      <c r="G23" s="346"/>
      <c r="H23" s="346"/>
      <c r="I23" s="34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6" s="1" customFormat="1" ht="12.75" customHeight="1">
      <c r="A24" s="351" t="s">
        <v>67</v>
      </c>
      <c r="B24" s="349"/>
      <c r="C24" s="352" t="s">
        <v>295</v>
      </c>
      <c r="D24" s="353">
        <v>11464</v>
      </c>
      <c r="E24" s="354">
        <v>4125</v>
      </c>
      <c r="F24" s="355">
        <v>4125</v>
      </c>
      <c r="G24" s="355">
        <v>15288</v>
      </c>
      <c r="H24" s="355">
        <v>14208</v>
      </c>
      <c r="I24" s="355">
        <v>23769</v>
      </c>
      <c r="IS24" s="91"/>
      <c r="IT24" s="91"/>
      <c r="IU24" s="91"/>
      <c r="IV24" s="91"/>
    </row>
    <row r="25" spans="1:252" ht="12.75" customHeight="1">
      <c r="A25" s="342" t="s">
        <v>68</v>
      </c>
      <c r="B25" s="349"/>
      <c r="C25" s="79" t="s">
        <v>296</v>
      </c>
      <c r="D25" s="80">
        <v>34550</v>
      </c>
      <c r="E25" s="345">
        <v>33500</v>
      </c>
      <c r="F25" s="346">
        <v>33500</v>
      </c>
      <c r="G25" s="346">
        <v>32730</v>
      </c>
      <c r="H25" s="346">
        <v>31199</v>
      </c>
      <c r="I25" s="346">
        <v>31164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 customHeight="1">
      <c r="A26" s="342" t="s">
        <v>70</v>
      </c>
      <c r="B26" s="349"/>
      <c r="C26" s="79" t="s">
        <v>297</v>
      </c>
      <c r="D26" s="80">
        <v>643</v>
      </c>
      <c r="E26" s="345">
        <v>700</v>
      </c>
      <c r="F26" s="346">
        <v>700</v>
      </c>
      <c r="G26" s="346">
        <v>700</v>
      </c>
      <c r="H26" s="346">
        <v>40</v>
      </c>
      <c r="I26" s="346">
        <v>23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6" s="1" customFormat="1" ht="12.75" customHeight="1">
      <c r="A27" s="351" t="s">
        <v>97</v>
      </c>
      <c r="B27" s="349"/>
      <c r="C27" s="352" t="s">
        <v>194</v>
      </c>
      <c r="D27" s="353">
        <v>10166</v>
      </c>
      <c r="E27" s="354">
        <v>6052</v>
      </c>
      <c r="F27" s="355">
        <v>6052</v>
      </c>
      <c r="G27" s="355">
        <v>6052</v>
      </c>
      <c r="H27" s="355">
        <v>4153</v>
      </c>
      <c r="I27" s="355">
        <v>11934</v>
      </c>
      <c r="IS27" s="91"/>
      <c r="IT27" s="91"/>
      <c r="IU27" s="91"/>
      <c r="IV27" s="91"/>
    </row>
    <row r="28" spans="1:252" ht="12.75" customHeight="1">
      <c r="A28" s="342" t="s">
        <v>99</v>
      </c>
      <c r="B28" s="349"/>
      <c r="C28" s="79" t="s">
        <v>298</v>
      </c>
      <c r="D28" s="80">
        <v>9241</v>
      </c>
      <c r="E28" s="345">
        <v>35000</v>
      </c>
      <c r="F28" s="346">
        <v>47903</v>
      </c>
      <c r="G28" s="346">
        <v>47903</v>
      </c>
      <c r="H28" s="346">
        <v>39695</v>
      </c>
      <c r="I28" s="346">
        <v>7399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2.75" customHeight="1">
      <c r="A29" s="342" t="s">
        <v>101</v>
      </c>
      <c r="B29" s="349"/>
      <c r="C29" s="79" t="s">
        <v>299</v>
      </c>
      <c r="D29" s="80"/>
      <c r="E29" s="345"/>
      <c r="F29" s="346">
        <v>12410</v>
      </c>
      <c r="G29" s="346">
        <v>12410</v>
      </c>
      <c r="H29" s="346">
        <v>1773</v>
      </c>
      <c r="I29" s="34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2.75" customHeight="1">
      <c r="A30" s="342" t="s">
        <v>103</v>
      </c>
      <c r="B30" s="349"/>
      <c r="C30" s="79" t="s">
        <v>300</v>
      </c>
      <c r="D30" s="80">
        <v>189812</v>
      </c>
      <c r="E30" s="345">
        <v>0</v>
      </c>
      <c r="F30" s="346">
        <v>0</v>
      </c>
      <c r="G30" s="346">
        <v>0</v>
      </c>
      <c r="H30" s="346">
        <v>805</v>
      </c>
      <c r="I30" s="346">
        <v>1577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2.75" customHeight="1">
      <c r="A31" s="342" t="s">
        <v>105</v>
      </c>
      <c r="B31" s="349"/>
      <c r="C31" s="79" t="s">
        <v>301</v>
      </c>
      <c r="D31" s="80"/>
      <c r="E31" s="345"/>
      <c r="F31" s="346">
        <v>80000</v>
      </c>
      <c r="G31" s="346">
        <v>80000</v>
      </c>
      <c r="H31" s="346">
        <v>80000</v>
      </c>
      <c r="I31" s="346">
        <v>80110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2.75" customHeight="1">
      <c r="A32" s="342" t="s">
        <v>107</v>
      </c>
      <c r="B32" s="349"/>
      <c r="C32" s="79" t="s">
        <v>302</v>
      </c>
      <c r="D32" s="80">
        <v>0</v>
      </c>
      <c r="E32" s="345">
        <v>90000</v>
      </c>
      <c r="F32" s="346">
        <v>90000</v>
      </c>
      <c r="G32" s="346">
        <v>80000</v>
      </c>
      <c r="H32" s="346">
        <v>80000</v>
      </c>
      <c r="I32" s="346">
        <v>80000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2.75" customHeight="1">
      <c r="A33" s="342" t="s">
        <v>109</v>
      </c>
      <c r="B33" s="349"/>
      <c r="C33" s="79" t="s">
        <v>303</v>
      </c>
      <c r="D33" s="80">
        <v>295</v>
      </c>
      <c r="E33" s="345">
        <v>1205</v>
      </c>
      <c r="F33" s="346">
        <v>1205</v>
      </c>
      <c r="G33" s="346">
        <v>1605</v>
      </c>
      <c r="H33" s="346">
        <v>468</v>
      </c>
      <c r="I33" s="346">
        <v>859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2.75" customHeight="1">
      <c r="A34" s="342" t="s">
        <v>111</v>
      </c>
      <c r="B34" s="349"/>
      <c r="C34" s="79" t="s">
        <v>273</v>
      </c>
      <c r="D34" s="80">
        <v>110000</v>
      </c>
      <c r="E34" s="345">
        <v>0</v>
      </c>
      <c r="F34" s="346">
        <v>0</v>
      </c>
      <c r="G34" s="346">
        <v>0</v>
      </c>
      <c r="H34" s="346">
        <v>0</v>
      </c>
      <c r="I34" s="346">
        <v>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2.75" customHeight="1">
      <c r="A35" s="342" t="s">
        <v>113</v>
      </c>
      <c r="B35" s="349"/>
      <c r="C35" s="79" t="s">
        <v>230</v>
      </c>
      <c r="D35" s="80">
        <v>73227</v>
      </c>
      <c r="E35" s="345">
        <v>51066</v>
      </c>
      <c r="F35" s="346">
        <v>51066</v>
      </c>
      <c r="G35" s="346">
        <v>51066</v>
      </c>
      <c r="H35" s="346">
        <v>51066</v>
      </c>
      <c r="I35" s="346">
        <v>51066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2.75" customHeight="1" thickBot="1">
      <c r="A36" s="356" t="s">
        <v>115</v>
      </c>
      <c r="B36" s="357"/>
      <c r="C36" s="358" t="s">
        <v>304</v>
      </c>
      <c r="D36" s="359">
        <f aca="true" t="shared" si="0" ref="D36:I36">SUM(D9:D35)-D17-D18-D19-D20-D21-D23</f>
        <v>798572</v>
      </c>
      <c r="E36" s="360">
        <f t="shared" si="0"/>
        <v>557239</v>
      </c>
      <c r="F36" s="361">
        <f t="shared" si="0"/>
        <v>663709</v>
      </c>
      <c r="G36" s="361">
        <f t="shared" si="0"/>
        <v>669339</v>
      </c>
      <c r="H36" s="361">
        <f t="shared" si="0"/>
        <v>657710</v>
      </c>
      <c r="I36" s="361">
        <f t="shared" si="0"/>
        <v>662522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2.75" customHeight="1" thickBot="1">
      <c r="A37" s="1522" t="s">
        <v>305</v>
      </c>
      <c r="B37" s="1522"/>
      <c r="C37" s="1522"/>
      <c r="D37" s="362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5.5" customHeight="1" thickBot="1">
      <c r="A38" s="1525" t="s">
        <v>156</v>
      </c>
      <c r="B38" s="1525"/>
      <c r="C38" s="271" t="s">
        <v>157</v>
      </c>
      <c r="D38" s="332" t="s">
        <v>280</v>
      </c>
      <c r="E38" s="333" t="s">
        <v>159</v>
      </c>
      <c r="F38" s="334" t="s">
        <v>201</v>
      </c>
      <c r="G38" s="334" t="s">
        <v>162</v>
      </c>
      <c r="H38" s="334" t="s">
        <v>908</v>
      </c>
      <c r="I38" s="334" t="s">
        <v>941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2.75" customHeight="1">
      <c r="A39" s="1525"/>
      <c r="B39" s="1525"/>
      <c r="C39" s="363" t="s">
        <v>163</v>
      </c>
      <c r="D39" s="364" t="s">
        <v>164</v>
      </c>
      <c r="E39" s="365" t="s">
        <v>165</v>
      </c>
      <c r="F39" s="366" t="s">
        <v>166</v>
      </c>
      <c r="G39" s="366" t="s">
        <v>167</v>
      </c>
      <c r="H39" s="366" t="s">
        <v>168</v>
      </c>
      <c r="I39" s="366" t="s">
        <v>226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2.75" customHeight="1">
      <c r="A40" s="367" t="s">
        <v>38</v>
      </c>
      <c r="B40" s="349"/>
      <c r="C40" s="344" t="s">
        <v>281</v>
      </c>
      <c r="D40" s="80">
        <v>790</v>
      </c>
      <c r="E40" s="345">
        <v>799</v>
      </c>
      <c r="F40" s="346">
        <v>799</v>
      </c>
      <c r="G40" s="346">
        <v>799</v>
      </c>
      <c r="H40" s="346">
        <v>796</v>
      </c>
      <c r="I40" s="346">
        <v>633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2.75" customHeight="1">
      <c r="A41" s="367" t="s">
        <v>40</v>
      </c>
      <c r="B41" s="349"/>
      <c r="C41" s="79" t="s">
        <v>306</v>
      </c>
      <c r="D41" s="80">
        <v>877</v>
      </c>
      <c r="E41" s="345">
        <v>0</v>
      </c>
      <c r="F41" s="346">
        <v>0</v>
      </c>
      <c r="G41" s="346">
        <v>0</v>
      </c>
      <c r="H41" s="346">
        <v>951</v>
      </c>
      <c r="I41" s="346">
        <v>951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2.75" customHeight="1">
      <c r="A42" s="367" t="s">
        <v>47</v>
      </c>
      <c r="B42" s="349"/>
      <c r="C42" s="79" t="s">
        <v>230</v>
      </c>
      <c r="D42" s="80">
        <v>188</v>
      </c>
      <c r="E42" s="345">
        <v>2407</v>
      </c>
      <c r="F42" s="346">
        <v>2407</v>
      </c>
      <c r="G42" s="346">
        <v>2407</v>
      </c>
      <c r="H42" s="346">
        <v>2407</v>
      </c>
      <c r="I42" s="346">
        <v>2407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2.75" customHeight="1">
      <c r="A43" s="367" t="s">
        <v>49</v>
      </c>
      <c r="B43" s="349"/>
      <c r="C43" s="79" t="s">
        <v>307</v>
      </c>
      <c r="D43" s="80">
        <v>60946</v>
      </c>
      <c r="E43" s="345">
        <v>57793</v>
      </c>
      <c r="F43" s="346">
        <v>57819</v>
      </c>
      <c r="G43" s="346">
        <v>57819</v>
      </c>
      <c r="H43" s="346">
        <v>57819</v>
      </c>
      <c r="I43" s="346">
        <v>57793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2.75" customHeight="1">
      <c r="A44" s="367" t="s">
        <v>51</v>
      </c>
      <c r="B44" s="349"/>
      <c r="C44" s="344" t="s">
        <v>308</v>
      </c>
      <c r="D44" s="80">
        <v>13875</v>
      </c>
      <c r="E44" s="345">
        <v>16407</v>
      </c>
      <c r="F44" s="346">
        <v>16407</v>
      </c>
      <c r="G44" s="346">
        <v>16407</v>
      </c>
      <c r="H44" s="346">
        <v>14929</v>
      </c>
      <c r="I44" s="346">
        <v>7928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2.75" customHeight="1" thickBot="1">
      <c r="A45" s="356" t="s">
        <v>53</v>
      </c>
      <c r="B45" s="357"/>
      <c r="C45" s="358" t="s">
        <v>309</v>
      </c>
      <c r="D45" s="359">
        <f aca="true" t="shared" si="1" ref="D45:I45">SUM(D40:D44)</f>
        <v>76676</v>
      </c>
      <c r="E45" s="360">
        <f t="shared" si="1"/>
        <v>77406</v>
      </c>
      <c r="F45" s="361">
        <f t="shared" si="1"/>
        <v>77432</v>
      </c>
      <c r="G45" s="361">
        <f t="shared" si="1"/>
        <v>77432</v>
      </c>
      <c r="H45" s="361">
        <f t="shared" si="1"/>
        <v>76902</v>
      </c>
      <c r="I45" s="361">
        <f t="shared" si="1"/>
        <v>69712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2.75" customHeight="1" thickBot="1">
      <c r="A46" s="1522" t="s">
        <v>310</v>
      </c>
      <c r="B46" s="1522"/>
      <c r="C46" s="1522"/>
      <c r="D46" s="152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2.5" customHeight="1" thickBot="1">
      <c r="A47" s="1525" t="s">
        <v>156</v>
      </c>
      <c r="B47" s="1525"/>
      <c r="C47" s="271" t="s">
        <v>157</v>
      </c>
      <c r="D47" s="332" t="s">
        <v>280</v>
      </c>
      <c r="E47" s="333" t="s">
        <v>159</v>
      </c>
      <c r="F47" s="64" t="s">
        <v>201</v>
      </c>
      <c r="G47" s="64" t="s">
        <v>162</v>
      </c>
      <c r="H47" s="64" t="s">
        <v>908</v>
      </c>
      <c r="I47" s="334" t="s">
        <v>941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2.75" customHeight="1">
      <c r="A48" s="1525"/>
      <c r="B48" s="1525"/>
      <c r="C48" s="363" t="s">
        <v>163</v>
      </c>
      <c r="D48" s="364" t="s">
        <v>164</v>
      </c>
      <c r="E48" s="365" t="s">
        <v>165</v>
      </c>
      <c r="F48" s="368" t="s">
        <v>166</v>
      </c>
      <c r="G48" s="368" t="s">
        <v>167</v>
      </c>
      <c r="H48" s="368" t="s">
        <v>168</v>
      </c>
      <c r="I48" s="366" t="s">
        <v>226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2.75" customHeight="1">
      <c r="A49" s="367" t="s">
        <v>38</v>
      </c>
      <c r="B49" s="349"/>
      <c r="C49" s="369" t="s">
        <v>311</v>
      </c>
      <c r="D49" s="80">
        <v>3569</v>
      </c>
      <c r="E49" s="345">
        <v>2000</v>
      </c>
      <c r="F49" s="169">
        <v>2000</v>
      </c>
      <c r="G49" s="169">
        <v>2000</v>
      </c>
      <c r="H49" s="169">
        <v>1340</v>
      </c>
      <c r="I49" s="169">
        <v>1166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2.75" customHeight="1">
      <c r="A50" s="367" t="s">
        <v>40</v>
      </c>
      <c r="B50" s="349"/>
      <c r="C50" s="369" t="s">
        <v>312</v>
      </c>
      <c r="D50" s="80">
        <v>499</v>
      </c>
      <c r="E50" s="345">
        <v>200</v>
      </c>
      <c r="F50" s="169">
        <v>200</v>
      </c>
      <c r="G50" s="169">
        <v>200</v>
      </c>
      <c r="H50" s="169">
        <v>100</v>
      </c>
      <c r="I50" s="169">
        <v>190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2.75" customHeight="1">
      <c r="A51" s="367" t="s">
        <v>47</v>
      </c>
      <c r="B51" s="349"/>
      <c r="C51" s="370" t="s">
        <v>313</v>
      </c>
      <c r="D51" s="80">
        <v>21</v>
      </c>
      <c r="E51" s="345">
        <v>0</v>
      </c>
      <c r="F51" s="169">
        <v>0</v>
      </c>
      <c r="G51" s="169">
        <v>0</v>
      </c>
      <c r="H51" s="169">
        <v>0</v>
      </c>
      <c r="I51" s="169">
        <v>8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12.75" customHeight="1">
      <c r="A52" s="367" t="s">
        <v>49</v>
      </c>
      <c r="B52" s="349"/>
      <c r="C52" s="370" t="s">
        <v>314</v>
      </c>
      <c r="D52" s="80">
        <v>1098</v>
      </c>
      <c r="E52" s="345">
        <v>1100</v>
      </c>
      <c r="F52" s="169">
        <v>1100</v>
      </c>
      <c r="G52" s="169">
        <v>1100</v>
      </c>
      <c r="H52" s="169">
        <v>400</v>
      </c>
      <c r="I52" s="169">
        <v>369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12.75" customHeight="1">
      <c r="A53" s="371" t="s">
        <v>51</v>
      </c>
      <c r="B53" s="78"/>
      <c r="C53" s="86" t="s">
        <v>315</v>
      </c>
      <c r="D53" s="87">
        <f aca="true" t="shared" si="2" ref="D53:I53">SUM(D49:D52)</f>
        <v>5187</v>
      </c>
      <c r="E53" s="372">
        <f t="shared" si="2"/>
        <v>3300</v>
      </c>
      <c r="F53" s="167">
        <f t="shared" si="2"/>
        <v>3300</v>
      </c>
      <c r="G53" s="167">
        <f t="shared" si="2"/>
        <v>3300</v>
      </c>
      <c r="H53" s="167">
        <f t="shared" si="2"/>
        <v>1840</v>
      </c>
      <c r="I53" s="167">
        <f t="shared" si="2"/>
        <v>1733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12.75" customHeight="1">
      <c r="A54" s="371" t="s">
        <v>53</v>
      </c>
      <c r="B54" s="78"/>
      <c r="C54" s="86" t="s">
        <v>316</v>
      </c>
      <c r="D54" s="87">
        <v>790</v>
      </c>
      <c r="E54" s="345">
        <v>0</v>
      </c>
      <c r="F54" s="169">
        <v>0</v>
      </c>
      <c r="G54" s="169">
        <v>20</v>
      </c>
      <c r="H54" s="169">
        <v>20</v>
      </c>
      <c r="I54" s="169">
        <v>1120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12.75" customHeight="1">
      <c r="A55" s="367" t="s">
        <v>55</v>
      </c>
      <c r="B55" s="78"/>
      <c r="C55" s="344" t="s">
        <v>317</v>
      </c>
      <c r="D55" s="80">
        <v>68534</v>
      </c>
      <c r="E55" s="345">
        <v>73101</v>
      </c>
      <c r="F55" s="169">
        <v>73747</v>
      </c>
      <c r="G55" s="169">
        <v>74044</v>
      </c>
      <c r="H55" s="169">
        <v>76898</v>
      </c>
      <c r="I55" s="169">
        <v>78258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2.75" customHeight="1">
      <c r="A56" s="367" t="s">
        <v>57</v>
      </c>
      <c r="B56" s="373"/>
      <c r="C56" s="344" t="s">
        <v>308</v>
      </c>
      <c r="D56" s="80">
        <v>30040</v>
      </c>
      <c r="E56" s="345">
        <v>25256</v>
      </c>
      <c r="F56" s="169">
        <v>25256</v>
      </c>
      <c r="G56" s="169">
        <v>26822</v>
      </c>
      <c r="H56" s="169">
        <v>26751</v>
      </c>
      <c r="I56" s="169">
        <v>22378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2.75" customHeight="1">
      <c r="A57" s="367" t="s">
        <v>86</v>
      </c>
      <c r="B57" s="373"/>
      <c r="C57" s="369" t="s">
        <v>230</v>
      </c>
      <c r="D57" s="80">
        <v>722</v>
      </c>
      <c r="E57" s="345">
        <v>3309</v>
      </c>
      <c r="F57" s="169">
        <v>3309</v>
      </c>
      <c r="G57" s="169">
        <v>3309</v>
      </c>
      <c r="H57" s="169">
        <v>3309</v>
      </c>
      <c r="I57" s="169">
        <v>3309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12.75" customHeight="1">
      <c r="A58" s="371" t="s">
        <v>59</v>
      </c>
      <c r="B58" s="373"/>
      <c r="C58" s="374" t="s">
        <v>318</v>
      </c>
      <c r="D58" s="87">
        <f aca="true" t="shared" si="3" ref="D58:I58">SUM(D55:D56)</f>
        <v>98574</v>
      </c>
      <c r="E58" s="372">
        <f t="shared" si="3"/>
        <v>98357</v>
      </c>
      <c r="F58" s="167">
        <f t="shared" si="3"/>
        <v>99003</v>
      </c>
      <c r="G58" s="167">
        <f t="shared" si="3"/>
        <v>100866</v>
      </c>
      <c r="H58" s="167">
        <f t="shared" si="3"/>
        <v>103649</v>
      </c>
      <c r="I58" s="167">
        <f t="shared" si="3"/>
        <v>100636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12.75" customHeight="1" thickBot="1">
      <c r="A59" s="356" t="s">
        <v>61</v>
      </c>
      <c r="B59" s="375"/>
      <c r="C59" s="358" t="s">
        <v>319</v>
      </c>
      <c r="D59" s="359">
        <f aca="true" t="shared" si="4" ref="D59:I59">D53+D58+D54+D57</f>
        <v>105273</v>
      </c>
      <c r="E59" s="360">
        <f t="shared" si="4"/>
        <v>104966</v>
      </c>
      <c r="F59" s="376">
        <f t="shared" si="4"/>
        <v>105612</v>
      </c>
      <c r="G59" s="376">
        <f t="shared" si="4"/>
        <v>107495</v>
      </c>
      <c r="H59" s="376">
        <f t="shared" si="4"/>
        <v>108818</v>
      </c>
      <c r="I59" s="376">
        <f t="shared" si="4"/>
        <v>106798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12.75" customHeight="1" thickBot="1">
      <c r="A60" s="1522" t="s">
        <v>320</v>
      </c>
      <c r="B60" s="1522"/>
      <c r="C60" s="1522"/>
      <c r="D60" s="1522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28.5" customHeight="1" thickBot="1">
      <c r="A61" s="1525" t="s">
        <v>156</v>
      </c>
      <c r="B61" s="1525"/>
      <c r="C61" s="331" t="s">
        <v>157</v>
      </c>
      <c r="D61" s="332" t="s">
        <v>280</v>
      </c>
      <c r="E61" s="377" t="s">
        <v>159</v>
      </c>
      <c r="F61" s="378" t="s">
        <v>201</v>
      </c>
      <c r="G61" s="378" t="s">
        <v>162</v>
      </c>
      <c r="H61" s="378" t="s">
        <v>908</v>
      </c>
      <c r="I61" s="334" t="s">
        <v>941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4.25" customHeight="1">
      <c r="A62" s="1525"/>
      <c r="B62" s="1525"/>
      <c r="C62" s="160" t="s">
        <v>163</v>
      </c>
      <c r="D62" s="161" t="s">
        <v>164</v>
      </c>
      <c r="E62" s="365" t="s">
        <v>165</v>
      </c>
      <c r="F62" s="366" t="s">
        <v>166</v>
      </c>
      <c r="G62" s="366" t="s">
        <v>167</v>
      </c>
      <c r="H62" s="366" t="s">
        <v>168</v>
      </c>
      <c r="I62" s="366" t="s">
        <v>226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2.75" customHeight="1">
      <c r="A63" s="367" t="s">
        <v>38</v>
      </c>
      <c r="B63" s="373"/>
      <c r="C63" s="379" t="s">
        <v>321</v>
      </c>
      <c r="D63" s="125">
        <v>475</v>
      </c>
      <c r="E63" s="340">
        <v>600</v>
      </c>
      <c r="F63" s="341">
        <v>600</v>
      </c>
      <c r="G63" s="341">
        <v>600</v>
      </c>
      <c r="H63" s="341">
        <v>300</v>
      </c>
      <c r="I63" s="341">
        <v>314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12.75" customHeight="1">
      <c r="A64" s="367" t="s">
        <v>40</v>
      </c>
      <c r="B64" s="373"/>
      <c r="C64" s="344" t="s">
        <v>229</v>
      </c>
      <c r="D64" s="80">
        <v>4044</v>
      </c>
      <c r="E64" s="345">
        <v>4028</v>
      </c>
      <c r="F64" s="346">
        <v>4036</v>
      </c>
      <c r="G64" s="346">
        <v>4036</v>
      </c>
      <c r="H64" s="346">
        <v>4146</v>
      </c>
      <c r="I64" s="346">
        <v>4146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2.75" customHeight="1">
      <c r="A65" s="367" t="s">
        <v>49</v>
      </c>
      <c r="B65" s="373"/>
      <c r="C65" s="344" t="s">
        <v>308</v>
      </c>
      <c r="D65" s="80">
        <v>7860</v>
      </c>
      <c r="E65" s="345">
        <v>6596</v>
      </c>
      <c r="F65" s="346">
        <v>7542</v>
      </c>
      <c r="G65" s="346">
        <v>9692</v>
      </c>
      <c r="H65" s="346">
        <v>10673</v>
      </c>
      <c r="I65" s="346">
        <v>10072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2.75" customHeight="1">
      <c r="A66" s="367" t="s">
        <v>51</v>
      </c>
      <c r="B66" s="373"/>
      <c r="C66" s="369" t="s">
        <v>230</v>
      </c>
      <c r="D66" s="80">
        <v>129</v>
      </c>
      <c r="E66" s="345">
        <v>330</v>
      </c>
      <c r="F66" s="346">
        <v>330</v>
      </c>
      <c r="G66" s="346">
        <v>330</v>
      </c>
      <c r="H66" s="346">
        <v>330</v>
      </c>
      <c r="I66" s="346">
        <v>330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21.75" customHeight="1" thickBot="1">
      <c r="A67" s="380" t="s">
        <v>53</v>
      </c>
      <c r="B67" s="375"/>
      <c r="C67" s="381" t="s">
        <v>322</v>
      </c>
      <c r="D67" s="359">
        <f aca="true" t="shared" si="5" ref="D67:I67">SUM(D63:D66)</f>
        <v>12508</v>
      </c>
      <c r="E67" s="360">
        <f t="shared" si="5"/>
        <v>11554</v>
      </c>
      <c r="F67" s="361">
        <f t="shared" si="5"/>
        <v>12508</v>
      </c>
      <c r="G67" s="361">
        <f t="shared" si="5"/>
        <v>14658</v>
      </c>
      <c r="H67" s="361">
        <f t="shared" si="5"/>
        <v>15449</v>
      </c>
      <c r="I67" s="361">
        <f t="shared" si="5"/>
        <v>14862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9" s="385" customFormat="1" ht="12.75" customHeight="1">
      <c r="A68" s="382"/>
      <c r="B68" s="383"/>
      <c r="C68" s="384"/>
      <c r="D68" s="57"/>
      <c r="E68" s="57"/>
      <c r="F68" s="57"/>
      <c r="G68" s="57"/>
      <c r="H68" s="57"/>
      <c r="I68" s="57"/>
    </row>
    <row r="69" spans="1:9" s="385" customFormat="1" ht="12.75" customHeight="1" thickBot="1">
      <c r="A69" s="382"/>
      <c r="B69" s="383"/>
      <c r="C69" s="384" t="s">
        <v>323</v>
      </c>
      <c r="D69" s="57"/>
      <c r="E69" s="57"/>
      <c r="F69" s="57"/>
      <c r="G69" s="57"/>
      <c r="H69" s="57"/>
      <c r="I69" s="57"/>
    </row>
    <row r="70" spans="1:9" s="385" customFormat="1" ht="25.5" customHeight="1" thickBot="1">
      <c r="A70" s="1525" t="s">
        <v>156</v>
      </c>
      <c r="B70" s="1525"/>
      <c r="C70" s="331" t="s">
        <v>157</v>
      </c>
      <c r="D70" s="332" t="s">
        <v>280</v>
      </c>
      <c r="E70" s="377" t="s">
        <v>159</v>
      </c>
      <c r="F70" s="386" t="s">
        <v>201</v>
      </c>
      <c r="G70" s="386" t="s">
        <v>162</v>
      </c>
      <c r="H70" s="386" t="s">
        <v>908</v>
      </c>
      <c r="I70" s="334" t="s">
        <v>941</v>
      </c>
    </row>
    <row r="71" spans="1:9" s="385" customFormat="1" ht="12.75" customHeight="1">
      <c r="A71" s="1525"/>
      <c r="B71" s="1525"/>
      <c r="C71" s="160" t="s">
        <v>163</v>
      </c>
      <c r="D71" s="161" t="s">
        <v>164</v>
      </c>
      <c r="E71" s="365" t="s">
        <v>165</v>
      </c>
      <c r="F71" s="368" t="s">
        <v>166</v>
      </c>
      <c r="G71" s="368" t="s">
        <v>167</v>
      </c>
      <c r="H71" s="368" t="s">
        <v>168</v>
      </c>
      <c r="I71" s="366" t="s">
        <v>226</v>
      </c>
    </row>
    <row r="72" spans="1:9" s="385" customFormat="1" ht="12.75" customHeight="1">
      <c r="A72" s="367" t="s">
        <v>38</v>
      </c>
      <c r="B72" s="373"/>
      <c r="C72" s="379" t="s">
        <v>281</v>
      </c>
      <c r="D72" s="125">
        <v>21184</v>
      </c>
      <c r="E72" s="387">
        <v>19500</v>
      </c>
      <c r="F72" s="388">
        <v>19500</v>
      </c>
      <c r="G72" s="388">
        <v>19500</v>
      </c>
      <c r="H72" s="388">
        <v>19500</v>
      </c>
      <c r="I72" s="388">
        <v>22914</v>
      </c>
    </row>
    <row r="73" spans="1:9" s="385" customFormat="1" ht="12.75" customHeight="1">
      <c r="A73" s="367" t="s">
        <v>40</v>
      </c>
      <c r="B73" s="373"/>
      <c r="C73" s="379" t="s">
        <v>324</v>
      </c>
      <c r="D73" s="125">
        <v>5010</v>
      </c>
      <c r="E73" s="387">
        <v>14288</v>
      </c>
      <c r="F73" s="388">
        <v>14288</v>
      </c>
      <c r="G73" s="388">
        <v>0</v>
      </c>
      <c r="H73" s="388">
        <v>0</v>
      </c>
      <c r="I73" s="388">
        <v>0</v>
      </c>
    </row>
    <row r="74" spans="1:9" s="385" customFormat="1" ht="12.75" customHeight="1">
      <c r="A74" s="367" t="s">
        <v>47</v>
      </c>
      <c r="B74" s="373"/>
      <c r="C74" s="344" t="s">
        <v>229</v>
      </c>
      <c r="D74" s="80">
        <v>14017</v>
      </c>
      <c r="E74" s="389">
        <v>17801</v>
      </c>
      <c r="F74" s="390">
        <v>17869</v>
      </c>
      <c r="G74" s="390">
        <v>32157</v>
      </c>
      <c r="H74" s="390">
        <v>32157</v>
      </c>
      <c r="I74" s="390">
        <v>33676</v>
      </c>
    </row>
    <row r="75" spans="1:9" s="385" customFormat="1" ht="12.75" customHeight="1">
      <c r="A75" s="367" t="s">
        <v>49</v>
      </c>
      <c r="B75" s="373"/>
      <c r="C75" s="344" t="s">
        <v>308</v>
      </c>
      <c r="D75" s="80">
        <v>56215</v>
      </c>
      <c r="E75" s="389">
        <v>47789</v>
      </c>
      <c r="F75" s="390">
        <v>49689</v>
      </c>
      <c r="G75" s="390">
        <v>53372</v>
      </c>
      <c r="H75" s="390">
        <v>53372</v>
      </c>
      <c r="I75" s="390">
        <v>48194</v>
      </c>
    </row>
    <row r="76" spans="1:9" s="385" customFormat="1" ht="12.75" customHeight="1">
      <c r="A76" s="391" t="s">
        <v>51</v>
      </c>
      <c r="B76" s="373"/>
      <c r="C76" s="369" t="s">
        <v>230</v>
      </c>
      <c r="D76" s="80"/>
      <c r="E76" s="389">
        <v>3047</v>
      </c>
      <c r="F76" s="390">
        <v>3047</v>
      </c>
      <c r="G76" s="390">
        <v>3047</v>
      </c>
      <c r="H76" s="390">
        <v>3047</v>
      </c>
      <c r="I76" s="390">
        <v>3047</v>
      </c>
    </row>
    <row r="77" spans="1:9" s="385" customFormat="1" ht="36.75" customHeight="1" thickBot="1">
      <c r="A77" s="380" t="s">
        <v>53</v>
      </c>
      <c r="B77" s="375"/>
      <c r="C77" s="392" t="s">
        <v>325</v>
      </c>
      <c r="D77" s="359">
        <f>SUM(D72:D75)</f>
        <v>96426</v>
      </c>
      <c r="E77" s="360">
        <f>SUM(E72:E76)</f>
        <v>102425</v>
      </c>
      <c r="F77" s="376">
        <f>SUM(F72:F76)</f>
        <v>104393</v>
      </c>
      <c r="G77" s="376">
        <f>SUM(G72:G76)</f>
        <v>108076</v>
      </c>
      <c r="H77" s="376">
        <f>SUM(H72:H76)</f>
        <v>108076</v>
      </c>
      <c r="I77" s="376">
        <f>SUM(I72:I76)</f>
        <v>107831</v>
      </c>
    </row>
    <row r="78" spans="1:9" s="385" customFormat="1" ht="12.75" customHeight="1">
      <c r="A78" s="382"/>
      <c r="B78" s="383"/>
      <c r="C78" s="384"/>
      <c r="D78" s="57"/>
      <c r="E78" s="57"/>
      <c r="F78" s="57"/>
      <c r="G78" s="57"/>
      <c r="H78" s="57"/>
      <c r="I78" s="57"/>
    </row>
    <row r="79" spans="1:9" s="385" customFormat="1" ht="12.75" customHeight="1">
      <c r="A79" s="393"/>
      <c r="C79" s="394" t="s">
        <v>326</v>
      </c>
      <c r="D79" s="57">
        <f aca="true" t="shared" si="6" ref="D79:I79">D77+D67+D59+D45+D36</f>
        <v>1089455</v>
      </c>
      <c r="E79" s="57">
        <f t="shared" si="6"/>
        <v>853590</v>
      </c>
      <c r="F79" s="57">
        <f t="shared" si="6"/>
        <v>963654</v>
      </c>
      <c r="G79" s="57">
        <f t="shared" si="6"/>
        <v>977000</v>
      </c>
      <c r="H79" s="57">
        <f t="shared" si="6"/>
        <v>966955</v>
      </c>
      <c r="I79" s="57">
        <f t="shared" si="6"/>
        <v>961725</v>
      </c>
    </row>
    <row r="80" spans="1:9" s="396" customFormat="1" ht="12.75" customHeight="1">
      <c r="A80" s="395"/>
      <c r="C80" s="397" t="s">
        <v>326</v>
      </c>
      <c r="D80" s="398">
        <f aca="true" t="shared" si="7" ref="D80:I80">D79-D75-D74-D65-D64-D56-D55-D44-D43</f>
        <v>833924</v>
      </c>
      <c r="E80" s="398">
        <f t="shared" si="7"/>
        <v>604819</v>
      </c>
      <c r="F80" s="398">
        <f t="shared" si="7"/>
        <v>711289</v>
      </c>
      <c r="G80" s="398">
        <f t="shared" si="7"/>
        <v>702651</v>
      </c>
      <c r="H80" s="398">
        <f t="shared" si="7"/>
        <v>690210</v>
      </c>
      <c r="I80" s="398">
        <f t="shared" si="7"/>
        <v>699280</v>
      </c>
    </row>
  </sheetData>
  <sheetProtection selectLockedCells="1" selectUnlockedCells="1"/>
  <mergeCells count="15">
    <mergeCell ref="A61:B62"/>
    <mergeCell ref="A70:B71"/>
    <mergeCell ref="A7:B8"/>
    <mergeCell ref="A37:C37"/>
    <mergeCell ref="A38:B39"/>
    <mergeCell ref="A46:D46"/>
    <mergeCell ref="A47:B48"/>
    <mergeCell ref="A60:D60"/>
    <mergeCell ref="A5:E5"/>
    <mergeCell ref="A6:C6"/>
    <mergeCell ref="A4:H4"/>
    <mergeCell ref="D6:I6"/>
    <mergeCell ref="A1:I1"/>
    <mergeCell ref="A2:I2"/>
    <mergeCell ref="A3:I3"/>
  </mergeCells>
  <printOptions/>
  <pageMargins left="0.7875" right="0.7875" top="1.0631944444444446" bottom="1.0631944444444446" header="0.5118055555555555" footer="0.7875"/>
  <pageSetup horizontalDpi="300" verticalDpi="300" orientation="portrait" paperSize="9" scale="67" r:id="rId1"/>
  <headerFooter alignWithMargins="0">
    <oddFooter>&amp;C&amp;"Times New Roman,Normál"&amp;12Oldal &amp;P</oddFooter>
  </headerFooter>
  <rowBreaks count="1" manualBreakCount="1">
    <brk id="67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IP300"/>
  <sheetViews>
    <sheetView showGridLines="0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15" sqref="A115"/>
      <selection pane="bottomRight" activeCell="A5" sqref="A5:I7"/>
    </sheetView>
  </sheetViews>
  <sheetFormatPr defaultColWidth="11.7109375" defaultRowHeight="12.75" customHeight="1"/>
  <cols>
    <col min="1" max="1" width="4.7109375" style="56" customWidth="1"/>
    <col min="2" max="2" width="3.8515625" style="56" customWidth="1"/>
    <col min="3" max="3" width="31.57421875" style="56" customWidth="1"/>
    <col min="4" max="4" width="12.421875" style="56" customWidth="1"/>
    <col min="5" max="5" width="13.7109375" style="57" customWidth="1"/>
    <col min="6" max="9" width="14.7109375" style="57" customWidth="1"/>
    <col min="10" max="16384" width="11.7109375" style="56" customWidth="1"/>
  </cols>
  <sheetData>
    <row r="1" spans="1:9" s="217" customFormat="1" ht="18" customHeight="1">
      <c r="A1" s="1514" t="s">
        <v>327</v>
      </c>
      <c r="B1" s="1514"/>
      <c r="C1" s="1514"/>
      <c r="D1" s="1514"/>
      <c r="E1" s="1514"/>
      <c r="F1" s="1514"/>
      <c r="G1" s="1514"/>
      <c r="H1" s="1514"/>
      <c r="I1" s="1514"/>
    </row>
    <row r="2" spans="1:9" ht="12.75" customHeight="1">
      <c r="A2" s="1527" t="s">
        <v>1321</v>
      </c>
      <c r="B2" s="1527"/>
      <c r="C2" s="1527"/>
      <c r="D2" s="1527"/>
      <c r="E2" s="1527"/>
      <c r="F2" s="1527"/>
      <c r="G2" s="1527"/>
      <c r="H2" s="1527"/>
      <c r="I2" s="1527"/>
    </row>
    <row r="3" spans="1:9" ht="12.75" customHeight="1">
      <c r="A3" s="1527"/>
      <c r="B3" s="1527"/>
      <c r="C3" s="1527"/>
      <c r="D3" s="1527"/>
      <c r="E3" s="1527"/>
      <c r="F3" s="1527"/>
      <c r="G3" s="1527"/>
      <c r="H3" s="1527"/>
      <c r="I3" s="1527"/>
    </row>
    <row r="4" spans="1:9" ht="12.75" customHeight="1">
      <c r="A4" s="1486"/>
      <c r="B4" s="1486"/>
      <c r="C4" s="1527" t="s">
        <v>1320</v>
      </c>
      <c r="D4" s="1527"/>
      <c r="E4" s="1527"/>
      <c r="F4" s="1527"/>
      <c r="G4" s="1527"/>
      <c r="H4" s="1486"/>
      <c r="I4" s="1486"/>
    </row>
    <row r="5" spans="1:9" s="266" customFormat="1" ht="12.75" customHeight="1">
      <c r="A5" s="1516" t="s">
        <v>328</v>
      </c>
      <c r="B5" s="1516"/>
      <c r="C5" s="1516"/>
      <c r="D5" s="1516"/>
      <c r="E5" s="1516"/>
      <c r="F5" s="1516"/>
      <c r="G5" s="1516"/>
      <c r="H5" s="1516"/>
      <c r="I5" s="1516"/>
    </row>
    <row r="6" spans="1:9" s="266" customFormat="1" ht="12.75" customHeight="1">
      <c r="A6" s="1516"/>
      <c r="B6" s="1516"/>
      <c r="C6" s="1516"/>
      <c r="D6" s="1516"/>
      <c r="E6" s="1516"/>
      <c r="F6" s="1516"/>
      <c r="G6" s="1516"/>
      <c r="H6" s="1516"/>
      <c r="I6" s="1516"/>
    </row>
    <row r="7" spans="1:9" s="266" customFormat="1" ht="20.25" customHeight="1">
      <c r="A7" s="1516"/>
      <c r="B7" s="1516"/>
      <c r="C7" s="1516"/>
      <c r="D7" s="1516"/>
      <c r="E7" s="1516"/>
      <c r="F7" s="1516"/>
      <c r="G7" s="1516"/>
      <c r="H7" s="1516"/>
      <c r="I7" s="1516"/>
    </row>
    <row r="8" spans="1:9" s="266" customFormat="1" ht="12.75" customHeight="1">
      <c r="A8" s="399"/>
      <c r="B8" s="399"/>
      <c r="C8" s="399"/>
      <c r="D8" s="399"/>
      <c r="E8" s="362"/>
      <c r="F8" s="362"/>
      <c r="G8" s="362"/>
      <c r="H8" s="362"/>
      <c r="I8" s="362"/>
    </row>
    <row r="9" spans="2:9" s="266" customFormat="1" ht="12" customHeight="1">
      <c r="B9" s="400"/>
      <c r="C9" s="400"/>
      <c r="D9" s="400"/>
      <c r="E9" s="57"/>
      <c r="F9" s="57"/>
      <c r="G9" s="57"/>
      <c r="H9" s="57"/>
      <c r="I9" s="57"/>
    </row>
    <row r="10" spans="1:9" s="266" customFormat="1" ht="12" customHeight="1" thickBot="1">
      <c r="A10" s="1519" t="s">
        <v>155</v>
      </c>
      <c r="B10" s="1519"/>
      <c r="C10" s="1519"/>
      <c r="D10" s="1519"/>
      <c r="E10" s="1519"/>
      <c r="F10" s="1519"/>
      <c r="G10" s="1519"/>
      <c r="H10" s="1519"/>
      <c r="I10" s="1519"/>
    </row>
    <row r="11" spans="1:9" s="323" customFormat="1" ht="48" customHeight="1" thickBot="1">
      <c r="A11" s="1503" t="s">
        <v>156</v>
      </c>
      <c r="B11" s="1503"/>
      <c r="C11" s="401" t="s">
        <v>329</v>
      </c>
      <c r="D11" s="402" t="s">
        <v>330</v>
      </c>
      <c r="E11" s="403" t="s">
        <v>331</v>
      </c>
      <c r="F11" s="334" t="s">
        <v>201</v>
      </c>
      <c r="G11" s="334" t="s">
        <v>162</v>
      </c>
      <c r="H11" s="334" t="s">
        <v>908</v>
      </c>
      <c r="I11" s="334" t="s">
        <v>941</v>
      </c>
    </row>
    <row r="12" spans="1:9" s="323" customFormat="1" ht="12.75" customHeight="1" thickBot="1">
      <c r="A12" s="1544"/>
      <c r="B12" s="1544"/>
      <c r="C12" s="1347" t="s">
        <v>163</v>
      </c>
      <c r="D12" s="1347" t="s">
        <v>164</v>
      </c>
      <c r="E12" s="1348" t="s">
        <v>165</v>
      </c>
      <c r="F12" s="1349" t="s">
        <v>166</v>
      </c>
      <c r="G12" s="1349" t="s">
        <v>167</v>
      </c>
      <c r="H12" s="1349" t="s">
        <v>168</v>
      </c>
      <c r="I12" s="1349" t="s">
        <v>226</v>
      </c>
    </row>
    <row r="13" spans="1:9" s="406" customFormat="1" ht="19.5" customHeight="1" thickBot="1">
      <c r="A13" s="1356" t="s">
        <v>38</v>
      </c>
      <c r="B13" s="1384" t="s">
        <v>169</v>
      </c>
      <c r="C13" s="1538" t="s">
        <v>332</v>
      </c>
      <c r="D13" s="1539"/>
      <c r="E13" s="1539"/>
      <c r="F13" s="1539"/>
      <c r="G13" s="1539"/>
      <c r="H13" s="1539"/>
      <c r="I13" s="1540"/>
    </row>
    <row r="14" spans="1:9" s="323" customFormat="1" ht="12.75" customHeight="1">
      <c r="A14" s="1357" t="s">
        <v>40</v>
      </c>
      <c r="B14" s="1358" t="s">
        <v>38</v>
      </c>
      <c r="C14" s="1359" t="s">
        <v>333</v>
      </c>
      <c r="D14" s="1360"/>
      <c r="E14" s="1361">
        <f>E15</f>
        <v>673</v>
      </c>
      <c r="F14" s="1361">
        <f>F15</f>
        <v>673</v>
      </c>
      <c r="G14" s="1361">
        <f>G15</f>
        <v>673</v>
      </c>
      <c r="H14" s="1361">
        <f>H15</f>
        <v>673</v>
      </c>
      <c r="I14" s="1362">
        <f>I15</f>
        <v>539</v>
      </c>
    </row>
    <row r="15" spans="1:9" s="266" customFormat="1" ht="12.75" customHeight="1">
      <c r="A15" s="1363" t="s">
        <v>47</v>
      </c>
      <c r="B15" s="963"/>
      <c r="C15" s="964" t="s">
        <v>334</v>
      </c>
      <c r="D15" s="918"/>
      <c r="E15" s="1326">
        <v>673</v>
      </c>
      <c r="F15" s="1326">
        <v>673</v>
      </c>
      <c r="G15" s="1326">
        <v>673</v>
      </c>
      <c r="H15" s="1326">
        <v>673</v>
      </c>
      <c r="I15" s="1364">
        <v>539</v>
      </c>
    </row>
    <row r="16" spans="1:9" s="266" customFormat="1" ht="12.75" customHeight="1">
      <c r="A16" s="1365" t="s">
        <v>49</v>
      </c>
      <c r="B16" s="959" t="s">
        <v>40</v>
      </c>
      <c r="C16" s="1147" t="s">
        <v>335</v>
      </c>
      <c r="D16" s="918"/>
      <c r="E16" s="1325">
        <f>E17</f>
        <v>551</v>
      </c>
      <c r="F16" s="1325">
        <f>F17</f>
        <v>551</v>
      </c>
      <c r="G16" s="1325">
        <f>G17</f>
        <v>551</v>
      </c>
      <c r="H16" s="1325">
        <f>H17</f>
        <v>551</v>
      </c>
      <c r="I16" s="1366">
        <f>I17</f>
        <v>0</v>
      </c>
    </row>
    <row r="17" spans="1:9" s="266" customFormat="1" ht="12.75" customHeight="1">
      <c r="A17" s="1363" t="s">
        <v>51</v>
      </c>
      <c r="B17" s="963"/>
      <c r="C17" s="964" t="s">
        <v>334</v>
      </c>
      <c r="D17" s="918"/>
      <c r="E17" s="1326">
        <v>551</v>
      </c>
      <c r="F17" s="1326">
        <v>551</v>
      </c>
      <c r="G17" s="1326">
        <v>551</v>
      </c>
      <c r="H17" s="1326">
        <v>551</v>
      </c>
      <c r="I17" s="1364">
        <v>0</v>
      </c>
    </row>
    <row r="18" spans="1:9" s="266" customFormat="1" ht="12.75" customHeight="1">
      <c r="A18" s="1363" t="s">
        <v>53</v>
      </c>
      <c r="B18" s="963"/>
      <c r="C18" s="1144" t="s">
        <v>336</v>
      </c>
      <c r="D18" s="918"/>
      <c r="E18" s="1326"/>
      <c r="F18" s="1326"/>
      <c r="G18" s="1326"/>
      <c r="H18" s="1326"/>
      <c r="I18" s="1364"/>
    </row>
    <row r="19" spans="1:9" s="266" customFormat="1" ht="12.75" customHeight="1">
      <c r="A19" s="1365" t="s">
        <v>55</v>
      </c>
      <c r="B19" s="959" t="s">
        <v>47</v>
      </c>
      <c r="C19" s="1147" t="s">
        <v>337</v>
      </c>
      <c r="D19" s="953"/>
      <c r="E19" s="1325">
        <f>SUM(E20:E23)</f>
        <v>140442</v>
      </c>
      <c r="F19" s="1325">
        <f>SUM(F20:F23)</f>
        <v>160538</v>
      </c>
      <c r="G19" s="1325">
        <v>0</v>
      </c>
      <c r="H19" s="1325">
        <v>0</v>
      </c>
      <c r="I19" s="1366">
        <v>0</v>
      </c>
    </row>
    <row r="20" spans="1:9" s="266" customFormat="1" ht="12.75" customHeight="1">
      <c r="A20" s="1363" t="s">
        <v>57</v>
      </c>
      <c r="B20" s="963"/>
      <c r="C20" s="964" t="s">
        <v>203</v>
      </c>
      <c r="D20" s="918"/>
      <c r="E20" s="1326"/>
      <c r="F20" s="1326"/>
      <c r="G20" s="1326"/>
      <c r="H20" s="1326"/>
      <c r="I20" s="1364"/>
    </row>
    <row r="21" spans="1:9" s="266" customFormat="1" ht="12.75" customHeight="1">
      <c r="A21" s="1363" t="s">
        <v>86</v>
      </c>
      <c r="B21" s="963"/>
      <c r="C21" s="964" t="s">
        <v>204</v>
      </c>
      <c r="D21" s="918"/>
      <c r="E21" s="1326"/>
      <c r="F21" s="1326"/>
      <c r="G21" s="1326"/>
      <c r="H21" s="1326"/>
      <c r="I21" s="1364"/>
    </row>
    <row r="22" spans="1:9" s="266" customFormat="1" ht="12.75" customHeight="1">
      <c r="A22" s="1363" t="s">
        <v>59</v>
      </c>
      <c r="B22" s="963"/>
      <c r="C22" s="964" t="s">
        <v>338</v>
      </c>
      <c r="D22" s="918"/>
      <c r="E22" s="1326">
        <v>15000</v>
      </c>
      <c r="F22" s="1326">
        <v>15000</v>
      </c>
      <c r="G22" s="1326">
        <v>0</v>
      </c>
      <c r="H22" s="1326">
        <v>0</v>
      </c>
      <c r="I22" s="1364">
        <v>0</v>
      </c>
    </row>
    <row r="23" spans="1:9" s="266" customFormat="1" ht="12.75" customHeight="1">
      <c r="A23" s="1363" t="s">
        <v>61</v>
      </c>
      <c r="B23" s="963"/>
      <c r="C23" s="1144" t="s">
        <v>336</v>
      </c>
      <c r="D23" s="918"/>
      <c r="E23" s="1326">
        <v>125442</v>
      </c>
      <c r="F23" s="1326">
        <v>145538</v>
      </c>
      <c r="G23" s="1326">
        <v>0</v>
      </c>
      <c r="H23" s="1326">
        <v>0</v>
      </c>
      <c r="I23" s="1364">
        <v>0</v>
      </c>
    </row>
    <row r="24" spans="1:9" s="323" customFormat="1" ht="12.75" customHeight="1">
      <c r="A24" s="1365" t="s">
        <v>63</v>
      </c>
      <c r="B24" s="959" t="s">
        <v>49</v>
      </c>
      <c r="C24" s="1147" t="s">
        <v>1258</v>
      </c>
      <c r="D24" s="953"/>
      <c r="E24" s="1325"/>
      <c r="F24" s="1325"/>
      <c r="G24" s="1325"/>
      <c r="H24" s="1325"/>
      <c r="I24" s="1366">
        <v>345</v>
      </c>
    </row>
    <row r="25" spans="1:9" s="266" customFormat="1" ht="12.75" customHeight="1">
      <c r="A25" s="1363" t="s">
        <v>65</v>
      </c>
      <c r="B25" s="963"/>
      <c r="C25" s="1144" t="s">
        <v>205</v>
      </c>
      <c r="D25" s="918"/>
      <c r="E25" s="1326"/>
      <c r="F25" s="1326"/>
      <c r="G25" s="1326"/>
      <c r="H25" s="1326"/>
      <c r="I25" s="1364">
        <v>345</v>
      </c>
    </row>
    <row r="26" spans="1:9" s="266" customFormat="1" ht="12.75" customHeight="1">
      <c r="A26" s="1365" t="s">
        <v>92</v>
      </c>
      <c r="B26" s="959" t="s">
        <v>51</v>
      </c>
      <c r="C26" s="1147" t="s">
        <v>339</v>
      </c>
      <c r="D26" s="918"/>
      <c r="E26" s="1325">
        <f>E27</f>
        <v>8200</v>
      </c>
      <c r="F26" s="1325">
        <f>F27</f>
        <v>8200</v>
      </c>
      <c r="G26" s="1325">
        <f>G27</f>
        <v>8200</v>
      </c>
      <c r="H26" s="1325">
        <f>H27</f>
        <v>8200</v>
      </c>
      <c r="I26" s="1366">
        <f>I27</f>
        <v>6756</v>
      </c>
    </row>
    <row r="27" spans="1:9" s="266" customFormat="1" ht="12.75" customHeight="1">
      <c r="A27" s="1363" t="s">
        <v>66</v>
      </c>
      <c r="B27" s="963"/>
      <c r="C27" s="964" t="s">
        <v>334</v>
      </c>
      <c r="D27" s="918"/>
      <c r="E27" s="1326">
        <v>8200</v>
      </c>
      <c r="F27" s="1326">
        <v>8200</v>
      </c>
      <c r="G27" s="1326">
        <v>8200</v>
      </c>
      <c r="H27" s="1326">
        <v>8200</v>
      </c>
      <c r="I27" s="1364">
        <v>6756</v>
      </c>
    </row>
    <row r="28" spans="1:9" s="266" customFormat="1" ht="12.75" customHeight="1">
      <c r="A28" s="1365" t="s">
        <v>67</v>
      </c>
      <c r="B28" s="959" t="s">
        <v>53</v>
      </c>
      <c r="C28" s="1147" t="s">
        <v>340</v>
      </c>
      <c r="D28" s="918"/>
      <c r="E28" s="1325">
        <f>E29</f>
        <v>130</v>
      </c>
      <c r="F28" s="1325">
        <f>F29</f>
        <v>130</v>
      </c>
      <c r="G28" s="1325">
        <f>G29</f>
        <v>130</v>
      </c>
      <c r="H28" s="1325">
        <f>H29</f>
        <v>130</v>
      </c>
      <c r="I28" s="1366">
        <f>I29</f>
        <v>0</v>
      </c>
    </row>
    <row r="29" spans="1:9" s="266" customFormat="1" ht="12.75" customHeight="1">
      <c r="A29" s="1363" t="s">
        <v>68</v>
      </c>
      <c r="B29" s="963"/>
      <c r="C29" s="964" t="s">
        <v>334</v>
      </c>
      <c r="D29" s="918"/>
      <c r="E29" s="1326">
        <v>130</v>
      </c>
      <c r="F29" s="1326">
        <v>130</v>
      </c>
      <c r="G29" s="1326">
        <v>130</v>
      </c>
      <c r="H29" s="1326">
        <v>130</v>
      </c>
      <c r="I29" s="1364">
        <v>0</v>
      </c>
    </row>
    <row r="30" spans="1:9" s="266" customFormat="1" ht="12.75" customHeight="1">
      <c r="A30" s="1365" t="s">
        <v>70</v>
      </c>
      <c r="B30" s="959" t="s">
        <v>55</v>
      </c>
      <c r="C30" s="1147" t="s">
        <v>341</v>
      </c>
      <c r="D30" s="953">
        <v>4</v>
      </c>
      <c r="E30" s="1325">
        <f>SUM(E31:E34)</f>
        <v>35014</v>
      </c>
      <c r="F30" s="1325">
        <f>SUM(F31:F34)</f>
        <v>35014</v>
      </c>
      <c r="G30" s="1325">
        <f>SUM(G31:G34)</f>
        <v>35014</v>
      </c>
      <c r="H30" s="1325">
        <f>SUM(H31:H34)</f>
        <v>35014</v>
      </c>
      <c r="I30" s="1366">
        <f>SUM(I31:I35)</f>
        <v>35813</v>
      </c>
    </row>
    <row r="31" spans="1:9" s="266" customFormat="1" ht="12.75" customHeight="1">
      <c r="A31" s="1363" t="s">
        <v>97</v>
      </c>
      <c r="B31" s="963"/>
      <c r="C31" s="964" t="s">
        <v>203</v>
      </c>
      <c r="D31" s="918"/>
      <c r="E31" s="1326">
        <v>23185</v>
      </c>
      <c r="F31" s="1326">
        <v>23185</v>
      </c>
      <c r="G31" s="1326">
        <v>23185</v>
      </c>
      <c r="H31" s="1326">
        <v>23185</v>
      </c>
      <c r="I31" s="1364">
        <v>23391</v>
      </c>
    </row>
    <row r="32" spans="1:9" s="266" customFormat="1" ht="12.75" customHeight="1">
      <c r="A32" s="1363" t="s">
        <v>99</v>
      </c>
      <c r="B32" s="963"/>
      <c r="C32" s="964" t="s">
        <v>204</v>
      </c>
      <c r="D32" s="918"/>
      <c r="E32" s="1326">
        <v>6329</v>
      </c>
      <c r="F32" s="1326">
        <v>6329</v>
      </c>
      <c r="G32" s="1326">
        <v>6329</v>
      </c>
      <c r="H32" s="1326">
        <v>6329</v>
      </c>
      <c r="I32" s="1364">
        <v>6147</v>
      </c>
    </row>
    <row r="33" spans="1:9" s="266" customFormat="1" ht="12.75" customHeight="1">
      <c r="A33" s="1363" t="s">
        <v>101</v>
      </c>
      <c r="B33" s="963"/>
      <c r="C33" s="964" t="s">
        <v>338</v>
      </c>
      <c r="D33" s="918"/>
      <c r="E33" s="1326">
        <v>4000</v>
      </c>
      <c r="F33" s="1326">
        <v>4000</v>
      </c>
      <c r="G33" s="1326">
        <v>4000</v>
      </c>
      <c r="H33" s="1326">
        <v>4000</v>
      </c>
      <c r="I33" s="1364">
        <v>5121</v>
      </c>
    </row>
    <row r="34" spans="1:9" s="266" customFormat="1" ht="12.75" customHeight="1">
      <c r="A34" s="1363" t="s">
        <v>103</v>
      </c>
      <c r="B34" s="963"/>
      <c r="C34" s="1144" t="s">
        <v>342</v>
      </c>
      <c r="D34" s="918"/>
      <c r="E34" s="1326">
        <v>1500</v>
      </c>
      <c r="F34" s="1326">
        <v>1500</v>
      </c>
      <c r="G34" s="1326">
        <v>1500</v>
      </c>
      <c r="H34" s="1326">
        <v>1500</v>
      </c>
      <c r="I34" s="1364">
        <v>1002</v>
      </c>
    </row>
    <row r="35" spans="1:9" s="266" customFormat="1" ht="12.75" customHeight="1">
      <c r="A35" s="1363" t="s">
        <v>105</v>
      </c>
      <c r="B35" s="963"/>
      <c r="C35" s="1144" t="s">
        <v>1259</v>
      </c>
      <c r="D35" s="918"/>
      <c r="E35" s="1326"/>
      <c r="F35" s="1326"/>
      <c r="G35" s="1326"/>
      <c r="H35" s="1326"/>
      <c r="I35" s="1364">
        <v>152</v>
      </c>
    </row>
    <row r="36" spans="1:9" s="266" customFormat="1" ht="12.75" customHeight="1">
      <c r="A36" s="1365" t="s">
        <v>107</v>
      </c>
      <c r="B36" s="959" t="s">
        <v>57</v>
      </c>
      <c r="C36" s="1147" t="s">
        <v>343</v>
      </c>
      <c r="D36" s="1350">
        <v>0</v>
      </c>
      <c r="E36" s="1326">
        <f>E39</f>
        <v>0</v>
      </c>
      <c r="F36" s="1326">
        <f>F39</f>
        <v>0</v>
      </c>
      <c r="G36" s="1326">
        <f>G39</f>
        <v>0</v>
      </c>
      <c r="H36" s="1326">
        <f>H39</f>
        <v>0</v>
      </c>
      <c r="I36" s="1366">
        <f>I39</f>
        <v>209</v>
      </c>
    </row>
    <row r="37" spans="1:9" s="266" customFormat="1" ht="12.75" customHeight="1">
      <c r="A37" s="1363" t="s">
        <v>109</v>
      </c>
      <c r="B37" s="963"/>
      <c r="C37" s="964" t="s">
        <v>344</v>
      </c>
      <c r="D37" s="918"/>
      <c r="E37" s="1326">
        <v>0</v>
      </c>
      <c r="F37" s="1326">
        <v>0</v>
      </c>
      <c r="G37" s="1326">
        <v>0</v>
      </c>
      <c r="H37" s="1326">
        <v>0</v>
      </c>
      <c r="I37" s="1364">
        <v>0</v>
      </c>
    </row>
    <row r="38" spans="1:9" s="266" customFormat="1" ht="12.75" customHeight="1">
      <c r="A38" s="1363" t="s">
        <v>111</v>
      </c>
      <c r="B38" s="963"/>
      <c r="C38" s="964" t="s">
        <v>345</v>
      </c>
      <c r="D38" s="918"/>
      <c r="E38" s="1326">
        <v>0</v>
      </c>
      <c r="F38" s="1326">
        <v>0</v>
      </c>
      <c r="G38" s="1326">
        <v>0</v>
      </c>
      <c r="H38" s="1326">
        <v>0</v>
      </c>
      <c r="I38" s="1364">
        <v>0</v>
      </c>
    </row>
    <row r="39" spans="1:9" s="266" customFormat="1" ht="12.75" customHeight="1">
      <c r="A39" s="1363" t="s">
        <v>113</v>
      </c>
      <c r="B39" s="963"/>
      <c r="C39" s="964" t="s">
        <v>338</v>
      </c>
      <c r="D39" s="918"/>
      <c r="E39" s="1326">
        <v>0</v>
      </c>
      <c r="F39" s="1326">
        <v>0</v>
      </c>
      <c r="G39" s="1326">
        <v>0</v>
      </c>
      <c r="H39" s="1326">
        <v>0</v>
      </c>
      <c r="I39" s="1364">
        <v>209</v>
      </c>
    </row>
    <row r="40" spans="1:9" s="266" customFormat="1" ht="12.75" customHeight="1">
      <c r="A40" s="1365" t="s">
        <v>115</v>
      </c>
      <c r="B40" s="959" t="s">
        <v>86</v>
      </c>
      <c r="C40" s="1147" t="s">
        <v>346</v>
      </c>
      <c r="D40" s="918"/>
      <c r="E40" s="1325">
        <f>SUM(E41:E42)</f>
        <v>236</v>
      </c>
      <c r="F40" s="1325">
        <f>SUM(F41:F42)</f>
        <v>236</v>
      </c>
      <c r="G40" s="1325">
        <f>SUM(G41:G42)</f>
        <v>236</v>
      </c>
      <c r="H40" s="1325">
        <f>SUM(H41:H42)</f>
        <v>236</v>
      </c>
      <c r="I40" s="1366">
        <f>SUM(I41:I42)</f>
        <v>0</v>
      </c>
    </row>
    <row r="41" spans="1:9" s="266" customFormat="1" ht="12.75" customHeight="1">
      <c r="A41" s="1363" t="s">
        <v>117</v>
      </c>
      <c r="B41" s="963"/>
      <c r="C41" s="964" t="s">
        <v>203</v>
      </c>
      <c r="D41" s="918"/>
      <c r="E41" s="1326">
        <v>185</v>
      </c>
      <c r="F41" s="1326">
        <v>185</v>
      </c>
      <c r="G41" s="1326">
        <v>185</v>
      </c>
      <c r="H41" s="1326">
        <v>185</v>
      </c>
      <c r="I41" s="1364">
        <v>0</v>
      </c>
    </row>
    <row r="42" spans="1:9" s="266" customFormat="1" ht="12.75" customHeight="1">
      <c r="A42" s="1363" t="s">
        <v>118</v>
      </c>
      <c r="B42" s="963"/>
      <c r="C42" s="964" t="s">
        <v>204</v>
      </c>
      <c r="D42" s="918"/>
      <c r="E42" s="1326">
        <v>51</v>
      </c>
      <c r="F42" s="1326">
        <v>51</v>
      </c>
      <c r="G42" s="1326">
        <v>51</v>
      </c>
      <c r="H42" s="1326">
        <v>51</v>
      </c>
      <c r="I42" s="1364">
        <v>0</v>
      </c>
    </row>
    <row r="43" spans="1:9" s="266" customFormat="1" ht="12.75" customHeight="1">
      <c r="A43" s="1363" t="s">
        <v>120</v>
      </c>
      <c r="B43" s="963"/>
      <c r="C43" s="1144" t="s">
        <v>342</v>
      </c>
      <c r="D43" s="918"/>
      <c r="E43" s="1326"/>
      <c r="F43" s="1326"/>
      <c r="G43" s="1326"/>
      <c r="H43" s="1326"/>
      <c r="I43" s="1364"/>
    </row>
    <row r="44" spans="1:9" s="266" customFormat="1" ht="12.75" customHeight="1">
      <c r="A44" s="1365" t="s">
        <v>122</v>
      </c>
      <c r="B44" s="959" t="s">
        <v>59</v>
      </c>
      <c r="C44" s="1147" t="s">
        <v>347</v>
      </c>
      <c r="D44" s="918"/>
      <c r="E44" s="1325">
        <f>SUM(E45:E48)</f>
        <v>31264</v>
      </c>
      <c r="F44" s="1325">
        <f>SUM(F45:F48)</f>
        <v>32112</v>
      </c>
      <c r="G44" s="1325">
        <f>SUM(G45:G48)</f>
        <v>34077</v>
      </c>
      <c r="H44" s="1325">
        <f>SUM(H45:H48)</f>
        <v>34172</v>
      </c>
      <c r="I44" s="1366">
        <f>SUM(I45:I48)</f>
        <v>0</v>
      </c>
    </row>
    <row r="45" spans="1:9" s="266" customFormat="1" ht="12.75" customHeight="1">
      <c r="A45" s="1363" t="s">
        <v>124</v>
      </c>
      <c r="B45" s="963"/>
      <c r="C45" s="1144" t="s">
        <v>342</v>
      </c>
      <c r="D45" s="1113"/>
      <c r="E45" s="1326">
        <v>8639</v>
      </c>
      <c r="F45" s="1326">
        <v>8639</v>
      </c>
      <c r="G45" s="1326">
        <v>8772</v>
      </c>
      <c r="H45" s="1326">
        <v>7272</v>
      </c>
      <c r="I45" s="1364">
        <v>0</v>
      </c>
    </row>
    <row r="46" spans="1:9" s="266" customFormat="1" ht="12.75" customHeight="1">
      <c r="A46" s="1363" t="s">
        <v>126</v>
      </c>
      <c r="B46" s="963"/>
      <c r="C46" s="1144" t="s">
        <v>348</v>
      </c>
      <c r="D46" s="1113"/>
      <c r="E46" s="1326">
        <v>18725</v>
      </c>
      <c r="F46" s="1326">
        <v>19573</v>
      </c>
      <c r="G46" s="1326">
        <v>21405</v>
      </c>
      <c r="H46" s="1326">
        <v>23000</v>
      </c>
      <c r="I46" s="1364">
        <v>0</v>
      </c>
    </row>
    <row r="47" spans="1:9" s="266" customFormat="1" ht="12.75" customHeight="1">
      <c r="A47" s="1363" t="s">
        <v>128</v>
      </c>
      <c r="B47" s="963"/>
      <c r="C47" s="1144" t="s">
        <v>349</v>
      </c>
      <c r="D47" s="1113"/>
      <c r="E47" s="1326">
        <v>3000</v>
      </c>
      <c r="F47" s="1326">
        <v>3000</v>
      </c>
      <c r="G47" s="1326">
        <v>3000</v>
      </c>
      <c r="H47" s="1326">
        <v>3000</v>
      </c>
      <c r="I47" s="1364">
        <v>0</v>
      </c>
    </row>
    <row r="48" spans="1:9" s="266" customFormat="1" ht="12.75" customHeight="1">
      <c r="A48" s="1363" t="s">
        <v>130</v>
      </c>
      <c r="B48" s="963"/>
      <c r="C48" s="1144" t="s">
        <v>350</v>
      </c>
      <c r="D48" s="1113"/>
      <c r="E48" s="1326">
        <v>900</v>
      </c>
      <c r="F48" s="1326">
        <v>900</v>
      </c>
      <c r="G48" s="1326">
        <v>900</v>
      </c>
      <c r="H48" s="1326">
        <v>900</v>
      </c>
      <c r="I48" s="1364">
        <v>0</v>
      </c>
    </row>
    <row r="49" spans="1:9" s="266" customFormat="1" ht="12" customHeight="1">
      <c r="A49" s="1365" t="s">
        <v>131</v>
      </c>
      <c r="B49" s="959" t="s">
        <v>61</v>
      </c>
      <c r="C49" s="1147" t="s">
        <v>351</v>
      </c>
      <c r="D49" s="1113"/>
      <c r="E49" s="1325">
        <f>SUM(E50:E65)</f>
        <v>3210</v>
      </c>
      <c r="F49" s="1325">
        <f>SUM(F50:F65)</f>
        <v>3210</v>
      </c>
      <c r="G49" s="1325">
        <f>SUM(G50:G65)</f>
        <v>3210</v>
      </c>
      <c r="H49" s="1325">
        <f>SUM(H50:H65)</f>
        <v>3274</v>
      </c>
      <c r="I49" s="1366">
        <f>SUM(I50:I65)</f>
        <v>0</v>
      </c>
    </row>
    <row r="50" spans="1:9" s="266" customFormat="1" ht="12.75" customHeight="1">
      <c r="A50" s="1363" t="s">
        <v>133</v>
      </c>
      <c r="B50" s="963"/>
      <c r="C50" s="1144" t="s">
        <v>352</v>
      </c>
      <c r="D50" s="1113"/>
      <c r="E50" s="1326"/>
      <c r="F50" s="1326"/>
      <c r="G50" s="1326"/>
      <c r="H50" s="1326"/>
      <c r="I50" s="1364"/>
    </row>
    <row r="51" spans="1:9" s="266" customFormat="1" ht="12.75" customHeight="1">
      <c r="A51" s="1363" t="s">
        <v>135</v>
      </c>
      <c r="B51" s="963"/>
      <c r="C51" s="964" t="s">
        <v>353</v>
      </c>
      <c r="D51" s="1113"/>
      <c r="E51" s="1326"/>
      <c r="F51" s="1326"/>
      <c r="G51" s="1326"/>
      <c r="H51" s="1326"/>
      <c r="I51" s="1364"/>
    </row>
    <row r="52" spans="1:9" s="266" customFormat="1" ht="12.75" customHeight="1">
      <c r="A52" s="1363" t="s">
        <v>137</v>
      </c>
      <c r="B52" s="963"/>
      <c r="C52" s="964" t="s">
        <v>354</v>
      </c>
      <c r="D52" s="1113"/>
      <c r="E52" s="1326">
        <v>1500</v>
      </c>
      <c r="F52" s="1326">
        <v>1500</v>
      </c>
      <c r="G52" s="1326">
        <v>1500</v>
      </c>
      <c r="H52" s="1326">
        <v>1500</v>
      </c>
      <c r="I52" s="1364">
        <v>0</v>
      </c>
    </row>
    <row r="53" spans="1:9" s="266" customFormat="1" ht="12.75" customHeight="1">
      <c r="A53" s="1363" t="s">
        <v>139</v>
      </c>
      <c r="B53" s="963"/>
      <c r="C53" s="964" t="s">
        <v>355</v>
      </c>
      <c r="D53" s="1113"/>
      <c r="E53" s="1326"/>
      <c r="F53" s="1326"/>
      <c r="G53" s="1326"/>
      <c r="H53" s="1326"/>
      <c r="I53" s="1364"/>
    </row>
    <row r="54" spans="1:9" s="266" customFormat="1" ht="12.75" customHeight="1">
      <c r="A54" s="1363" t="s">
        <v>141</v>
      </c>
      <c r="B54" s="963"/>
      <c r="C54" s="964" t="s">
        <v>356</v>
      </c>
      <c r="D54" s="1113"/>
      <c r="E54" s="1326"/>
      <c r="F54" s="1326"/>
      <c r="G54" s="1326"/>
      <c r="H54" s="1326"/>
      <c r="I54" s="1364"/>
    </row>
    <row r="55" spans="1:9" s="266" customFormat="1" ht="12.75" customHeight="1">
      <c r="A55" s="1363" t="s">
        <v>143</v>
      </c>
      <c r="B55" s="1351"/>
      <c r="C55" s="964" t="s">
        <v>357</v>
      </c>
      <c r="D55" s="1113"/>
      <c r="E55" s="1326"/>
      <c r="F55" s="1326"/>
      <c r="G55" s="1326"/>
      <c r="H55" s="1326"/>
      <c r="I55" s="1364"/>
    </row>
    <row r="56" spans="1:9" s="266" customFormat="1" ht="12.75" customHeight="1">
      <c r="A56" s="1367" t="s">
        <v>145</v>
      </c>
      <c r="B56" s="1352"/>
      <c r="C56" s="964" t="s">
        <v>358</v>
      </c>
      <c r="D56" s="1113"/>
      <c r="E56" s="1326">
        <v>400</v>
      </c>
      <c r="F56" s="1326">
        <v>400</v>
      </c>
      <c r="G56" s="1326">
        <v>400</v>
      </c>
      <c r="H56" s="1326">
        <v>400</v>
      </c>
      <c r="I56" s="1364">
        <v>0</v>
      </c>
    </row>
    <row r="57" spans="1:9" s="266" customFormat="1" ht="12.75" customHeight="1">
      <c r="A57" s="1367" t="s">
        <v>147</v>
      </c>
      <c r="B57" s="412"/>
      <c r="C57" s="964" t="s">
        <v>359</v>
      </c>
      <c r="D57" s="1113"/>
      <c r="E57" s="1326"/>
      <c r="F57" s="1326"/>
      <c r="G57" s="1326"/>
      <c r="H57" s="1326"/>
      <c r="I57" s="1364"/>
    </row>
    <row r="58" spans="1:9" s="266" customFormat="1" ht="12.75" customHeight="1">
      <c r="A58" s="1367" t="s">
        <v>149</v>
      </c>
      <c r="B58" s="412"/>
      <c r="C58" s="964" t="s">
        <v>360</v>
      </c>
      <c r="D58" s="1113"/>
      <c r="E58" s="1326">
        <v>950</v>
      </c>
      <c r="F58" s="1326">
        <v>950</v>
      </c>
      <c r="G58" s="1326">
        <v>950</v>
      </c>
      <c r="H58" s="1326">
        <v>950</v>
      </c>
      <c r="I58" s="1364">
        <v>0</v>
      </c>
    </row>
    <row r="59" spans="1:9" s="266" customFormat="1" ht="12.75" customHeight="1">
      <c r="A59" s="1367" t="s">
        <v>151</v>
      </c>
      <c r="B59" s="412"/>
      <c r="C59" s="964" t="s">
        <v>361</v>
      </c>
      <c r="D59" s="918"/>
      <c r="E59" s="1326">
        <v>60</v>
      </c>
      <c r="F59" s="1326">
        <v>60</v>
      </c>
      <c r="G59" s="1326">
        <v>60</v>
      </c>
      <c r="H59" s="1326">
        <v>60</v>
      </c>
      <c r="I59" s="1364">
        <v>0</v>
      </c>
    </row>
    <row r="60" spans="1:9" s="266" customFormat="1" ht="12.75" customHeight="1">
      <c r="A60" s="1367" t="s">
        <v>212</v>
      </c>
      <c r="B60" s="412"/>
      <c r="C60" s="964" t="s">
        <v>362</v>
      </c>
      <c r="D60" s="918"/>
      <c r="E60" s="1326">
        <v>180</v>
      </c>
      <c r="F60" s="1326">
        <v>180</v>
      </c>
      <c r="G60" s="1326">
        <v>180</v>
      </c>
      <c r="H60" s="1326">
        <v>244</v>
      </c>
      <c r="I60" s="1364">
        <v>0</v>
      </c>
    </row>
    <row r="61" spans="1:9" s="266" customFormat="1" ht="12.75" customHeight="1">
      <c r="A61" s="1367" t="s">
        <v>214</v>
      </c>
      <c r="B61" s="412"/>
      <c r="C61" s="964" t="s">
        <v>363</v>
      </c>
      <c r="D61" s="918"/>
      <c r="E61" s="1326"/>
      <c r="F61" s="1326"/>
      <c r="G61" s="1326"/>
      <c r="H61" s="1326"/>
      <c r="I61" s="1364"/>
    </row>
    <row r="62" spans="1:9" s="266" customFormat="1" ht="12.75" customHeight="1">
      <c r="A62" s="1367" t="s">
        <v>215</v>
      </c>
      <c r="B62" s="412"/>
      <c r="C62" s="964" t="s">
        <v>364</v>
      </c>
      <c r="D62" s="918"/>
      <c r="E62" s="1326"/>
      <c r="F62" s="1326"/>
      <c r="G62" s="1326"/>
      <c r="H62" s="1326"/>
      <c r="I62" s="1364"/>
    </row>
    <row r="63" spans="1:9" s="266" customFormat="1" ht="12.75" customHeight="1">
      <c r="A63" s="1367" t="s">
        <v>217</v>
      </c>
      <c r="B63" s="412"/>
      <c r="C63" s="964" t="s">
        <v>365</v>
      </c>
      <c r="D63" s="918"/>
      <c r="E63" s="1326"/>
      <c r="F63" s="1326"/>
      <c r="G63" s="1326"/>
      <c r="H63" s="1326"/>
      <c r="I63" s="1364"/>
    </row>
    <row r="64" spans="1:9" s="266" customFormat="1" ht="12.75" customHeight="1">
      <c r="A64" s="1367" t="s">
        <v>219</v>
      </c>
      <c r="B64" s="412"/>
      <c r="C64" s="964" t="s">
        <v>366</v>
      </c>
      <c r="D64" s="918"/>
      <c r="E64" s="1326">
        <v>120</v>
      </c>
      <c r="F64" s="1326">
        <v>120</v>
      </c>
      <c r="G64" s="1326">
        <v>120</v>
      </c>
      <c r="H64" s="1326">
        <v>120</v>
      </c>
      <c r="I64" s="1364">
        <v>0</v>
      </c>
    </row>
    <row r="65" spans="1:9" s="266" customFormat="1" ht="12.75" customHeight="1">
      <c r="A65" s="1367" t="s">
        <v>369</v>
      </c>
      <c r="B65" s="412"/>
      <c r="C65" s="964" t="s">
        <v>367</v>
      </c>
      <c r="D65" s="918"/>
      <c r="E65" s="1326"/>
      <c r="F65" s="1326"/>
      <c r="G65" s="1326"/>
      <c r="H65" s="1326"/>
      <c r="I65" s="1364"/>
    </row>
    <row r="66" spans="1:9" s="323" customFormat="1" ht="12.75" customHeight="1">
      <c r="A66" s="1368" t="s">
        <v>370</v>
      </c>
      <c r="B66" s="407" t="s">
        <v>63</v>
      </c>
      <c r="C66" s="1180" t="s">
        <v>1227</v>
      </c>
      <c r="D66" s="1178"/>
      <c r="E66" s="1188"/>
      <c r="F66" s="1178"/>
      <c r="G66" s="1178"/>
      <c r="H66" s="1178"/>
      <c r="I66" s="1369">
        <f>SUM(I67)+I68</f>
        <v>2136</v>
      </c>
    </row>
    <row r="67" spans="1:9" s="266" customFormat="1" ht="12.75" customHeight="1">
      <c r="A67" s="1367" t="s">
        <v>371</v>
      </c>
      <c r="B67" s="417"/>
      <c r="C67" s="1353" t="s">
        <v>1228</v>
      </c>
      <c r="D67" s="1353"/>
      <c r="E67" s="1354"/>
      <c r="F67" s="1355"/>
      <c r="G67" s="808"/>
      <c r="H67" s="808"/>
      <c r="I67" s="1370">
        <v>705</v>
      </c>
    </row>
    <row r="68" spans="1:9" s="266" customFormat="1" ht="12.75" customHeight="1">
      <c r="A68" s="1367" t="s">
        <v>373</v>
      </c>
      <c r="B68" s="417"/>
      <c r="C68" s="1176" t="s">
        <v>1229</v>
      </c>
      <c r="D68" s="1176"/>
      <c r="E68" s="1187"/>
      <c r="F68" s="1181"/>
      <c r="G68" s="802"/>
      <c r="H68" s="802"/>
      <c r="I68" s="1371">
        <v>1431</v>
      </c>
    </row>
    <row r="69" spans="1:9" s="323" customFormat="1" ht="12.75" customHeight="1">
      <c r="A69" s="1368" t="s">
        <v>375</v>
      </c>
      <c r="B69" s="418" t="s">
        <v>65</v>
      </c>
      <c r="C69" s="1184" t="s">
        <v>1225</v>
      </c>
      <c r="D69" s="1185"/>
      <c r="E69" s="1186"/>
      <c r="F69" s="804"/>
      <c r="G69" s="804"/>
      <c r="H69" s="804"/>
      <c r="I69" s="1372">
        <f>SUM(I70)</f>
        <v>116</v>
      </c>
    </row>
    <row r="70" spans="1:9" s="266" customFormat="1" ht="12.75" customHeight="1">
      <c r="A70" s="1367" t="s">
        <v>377</v>
      </c>
      <c r="B70" s="417"/>
      <c r="C70" s="1176" t="s">
        <v>1226</v>
      </c>
      <c r="D70" s="1176"/>
      <c r="E70" s="1173"/>
      <c r="F70" s="802"/>
      <c r="G70" s="802"/>
      <c r="H70" s="802"/>
      <c r="I70" s="1371">
        <v>116</v>
      </c>
    </row>
    <row r="71" spans="1:9" s="323" customFormat="1" ht="12.75" customHeight="1">
      <c r="A71" s="1368" t="s">
        <v>378</v>
      </c>
      <c r="B71" s="418" t="s">
        <v>92</v>
      </c>
      <c r="C71" s="1178" t="s">
        <v>1230</v>
      </c>
      <c r="D71" s="1178"/>
      <c r="E71" s="1179"/>
      <c r="F71" s="804"/>
      <c r="G71" s="804"/>
      <c r="H71" s="804"/>
      <c r="I71" s="1372">
        <f>SUM(I72)</f>
        <v>116</v>
      </c>
    </row>
    <row r="72" spans="1:9" s="266" customFormat="1" ht="12.75" customHeight="1">
      <c r="A72" s="1367" t="s">
        <v>379</v>
      </c>
      <c r="B72" s="417"/>
      <c r="C72" s="1176" t="s">
        <v>1231</v>
      </c>
      <c r="D72" s="1176"/>
      <c r="E72" s="1173"/>
      <c r="F72" s="802"/>
      <c r="G72" s="802"/>
      <c r="H72" s="802"/>
      <c r="I72" s="1371">
        <v>116</v>
      </c>
    </row>
    <row r="73" spans="1:9" s="323" customFormat="1" ht="12.75" customHeight="1">
      <c r="A73" s="1368" t="s">
        <v>380</v>
      </c>
      <c r="B73" s="418" t="s">
        <v>66</v>
      </c>
      <c r="C73" s="1180" t="s">
        <v>1232</v>
      </c>
      <c r="D73" s="1178"/>
      <c r="E73" s="1179"/>
      <c r="F73" s="804"/>
      <c r="G73" s="804"/>
      <c r="H73" s="804"/>
      <c r="I73" s="1372">
        <f>SUM(I74:I75)</f>
        <v>1681</v>
      </c>
    </row>
    <row r="74" spans="1:9" s="266" customFormat="1" ht="12.75" customHeight="1">
      <c r="A74" s="1367" t="s">
        <v>382</v>
      </c>
      <c r="B74" s="417"/>
      <c r="C74" s="1176" t="s">
        <v>1233</v>
      </c>
      <c r="D74" s="1176"/>
      <c r="E74" s="1173"/>
      <c r="F74" s="802"/>
      <c r="G74" s="802"/>
      <c r="H74" s="802"/>
      <c r="I74" s="1371">
        <v>510</v>
      </c>
    </row>
    <row r="75" spans="1:9" s="266" customFormat="1" ht="12.75" customHeight="1">
      <c r="A75" s="1367" t="s">
        <v>384</v>
      </c>
      <c r="B75" s="417"/>
      <c r="C75" s="1176" t="s">
        <v>1234</v>
      </c>
      <c r="D75" s="1176"/>
      <c r="E75" s="1173"/>
      <c r="F75" s="802"/>
      <c r="G75" s="802"/>
      <c r="H75" s="802"/>
      <c r="I75" s="1371">
        <f>SUM(I76:I77)</f>
        <v>1171</v>
      </c>
    </row>
    <row r="76" spans="1:9" s="266" customFormat="1" ht="12.75" customHeight="1">
      <c r="A76" s="1367" t="s">
        <v>385</v>
      </c>
      <c r="B76" s="417"/>
      <c r="C76" s="1191" t="s">
        <v>1235</v>
      </c>
      <c r="D76" s="1191"/>
      <c r="E76" s="1192"/>
      <c r="F76" s="1193"/>
      <c r="G76" s="1193"/>
      <c r="H76" s="1193"/>
      <c r="I76" s="1371">
        <v>961</v>
      </c>
    </row>
    <row r="77" spans="1:9" s="266" customFormat="1" ht="12.75" customHeight="1">
      <c r="A77" s="1367" t="s">
        <v>387</v>
      </c>
      <c r="B77" s="417"/>
      <c r="C77" s="1191" t="s">
        <v>1236</v>
      </c>
      <c r="D77" s="1191"/>
      <c r="E77" s="1435"/>
      <c r="F77" s="1436"/>
      <c r="G77" s="1436"/>
      <c r="H77" s="1436"/>
      <c r="I77" s="1371">
        <v>210</v>
      </c>
    </row>
    <row r="78" spans="1:9" s="266" customFormat="1" ht="12.75" customHeight="1">
      <c r="A78" s="1368" t="s">
        <v>388</v>
      </c>
      <c r="B78" s="343" t="s">
        <v>67</v>
      </c>
      <c r="C78" s="10" t="s">
        <v>368</v>
      </c>
      <c r="D78" s="416"/>
      <c r="E78" s="1325">
        <f>SUM(E79:E87)</f>
        <v>88748</v>
      </c>
      <c r="F78" s="1325">
        <f>SUM(F79:F88)</f>
        <v>164203</v>
      </c>
      <c r="G78" s="1325">
        <f>SUM(G79:G88)</f>
        <v>303181</v>
      </c>
      <c r="H78" s="1325">
        <f>SUM(H79:H89)</f>
        <v>289411</v>
      </c>
      <c r="I78" s="1433">
        <f>SUM(I79:I89)</f>
        <v>226953</v>
      </c>
    </row>
    <row r="79" spans="1:9" s="266" customFormat="1" ht="12.75" customHeight="1">
      <c r="A79" s="1367" t="s">
        <v>389</v>
      </c>
      <c r="B79" s="349"/>
      <c r="C79" s="20" t="s">
        <v>203</v>
      </c>
      <c r="D79" s="419"/>
      <c r="E79" s="1326">
        <v>15535</v>
      </c>
      <c r="F79" s="1326">
        <v>15692</v>
      </c>
      <c r="G79" s="1326">
        <v>16947</v>
      </c>
      <c r="H79" s="1326">
        <v>16947</v>
      </c>
      <c r="I79" s="1434">
        <v>19070</v>
      </c>
    </row>
    <row r="80" spans="1:9" s="266" customFormat="1" ht="12.75" customHeight="1">
      <c r="A80" s="1367" t="s">
        <v>390</v>
      </c>
      <c r="B80" s="349"/>
      <c r="C80" s="302" t="s">
        <v>204</v>
      </c>
      <c r="D80" s="419"/>
      <c r="E80" s="1326">
        <v>3579</v>
      </c>
      <c r="F80" s="1326">
        <v>3579</v>
      </c>
      <c r="G80" s="1326">
        <v>3903</v>
      </c>
      <c r="H80" s="1326">
        <v>3903</v>
      </c>
      <c r="I80" s="1434">
        <v>4461</v>
      </c>
    </row>
    <row r="81" spans="1:9" s="266" customFormat="1" ht="12.75" customHeight="1">
      <c r="A81" s="1367" t="s">
        <v>392</v>
      </c>
      <c r="B81" s="349"/>
      <c r="C81" s="92" t="s">
        <v>338</v>
      </c>
      <c r="D81" s="419"/>
      <c r="E81" s="1326">
        <v>14959</v>
      </c>
      <c r="F81" s="1326">
        <v>13153</v>
      </c>
      <c r="G81" s="1326">
        <v>50254</v>
      </c>
      <c r="H81" s="1326">
        <v>57575</v>
      </c>
      <c r="I81" s="1434">
        <v>66765</v>
      </c>
    </row>
    <row r="82" spans="1:9" s="266" customFormat="1" ht="15" customHeight="1">
      <c r="A82" s="1367" t="s">
        <v>393</v>
      </c>
      <c r="B82" s="349"/>
      <c r="C82" s="20" t="s">
        <v>372</v>
      </c>
      <c r="D82" s="419"/>
      <c r="E82" s="1326">
        <v>36582</v>
      </c>
      <c r="F82" s="1326">
        <v>51720</v>
      </c>
      <c r="G82" s="1326">
        <v>33726</v>
      </c>
      <c r="H82" s="1326">
        <v>33438</v>
      </c>
      <c r="I82" s="1434">
        <v>37290</v>
      </c>
    </row>
    <row r="83" spans="1:9" s="266" customFormat="1" ht="15" customHeight="1">
      <c r="A83" s="1367" t="s">
        <v>394</v>
      </c>
      <c r="B83" s="349"/>
      <c r="C83" s="20" t="s">
        <v>374</v>
      </c>
      <c r="D83" s="419"/>
      <c r="E83" s="1326"/>
      <c r="F83" s="1326"/>
      <c r="G83" s="1326">
        <v>117695</v>
      </c>
      <c r="H83" s="1326">
        <v>96087</v>
      </c>
      <c r="I83" s="1434">
        <v>97790</v>
      </c>
    </row>
    <row r="84" spans="1:9" s="266" customFormat="1" ht="15" customHeight="1">
      <c r="A84" s="1367" t="s">
        <v>396</v>
      </c>
      <c r="B84" s="349"/>
      <c r="C84" s="20" t="s">
        <v>376</v>
      </c>
      <c r="D84" s="419"/>
      <c r="E84" s="1326">
        <v>0</v>
      </c>
      <c r="F84" s="1326">
        <v>0</v>
      </c>
      <c r="G84" s="1326">
        <v>400</v>
      </c>
      <c r="H84" s="1326">
        <v>400</v>
      </c>
      <c r="I84" s="1434">
        <v>0</v>
      </c>
    </row>
    <row r="85" spans="1:9" s="266" customFormat="1" ht="15" customHeight="1">
      <c r="A85" s="1367" t="s">
        <v>397</v>
      </c>
      <c r="B85" s="349"/>
      <c r="C85" s="20" t="s">
        <v>213</v>
      </c>
      <c r="D85" s="419"/>
      <c r="E85" s="1326">
        <v>6052</v>
      </c>
      <c r="F85" s="1326">
        <v>0</v>
      </c>
      <c r="G85" s="1326">
        <v>0</v>
      </c>
      <c r="H85" s="1326">
        <v>0</v>
      </c>
      <c r="I85" s="1434">
        <v>0</v>
      </c>
    </row>
    <row r="86" spans="1:9" s="266" customFormat="1" ht="15" customHeight="1">
      <c r="A86" s="1367" t="s">
        <v>398</v>
      </c>
      <c r="B86" s="349"/>
      <c r="C86" s="20" t="s">
        <v>216</v>
      </c>
      <c r="D86" s="419"/>
      <c r="E86" s="1326">
        <v>12041</v>
      </c>
      <c r="F86" s="1326">
        <v>80000</v>
      </c>
      <c r="G86" s="1326">
        <v>80000</v>
      </c>
      <c r="H86" s="1326">
        <v>80000</v>
      </c>
      <c r="I86" s="1434"/>
    </row>
    <row r="87" spans="1:9" s="266" customFormat="1" ht="15" customHeight="1">
      <c r="A87" s="1367" t="s">
        <v>399</v>
      </c>
      <c r="B87" s="349"/>
      <c r="C87" s="20" t="s">
        <v>195</v>
      </c>
      <c r="D87" s="419"/>
      <c r="E87" s="1326"/>
      <c r="F87" s="1326"/>
      <c r="G87" s="1326"/>
      <c r="H87" s="1326"/>
      <c r="I87" s="1434"/>
    </row>
    <row r="88" spans="1:9" s="266" customFormat="1" ht="15" customHeight="1">
      <c r="A88" s="1367" t="s">
        <v>400</v>
      </c>
      <c r="B88" s="349"/>
      <c r="C88" s="20" t="s">
        <v>381</v>
      </c>
      <c r="D88" s="419"/>
      <c r="E88" s="1326"/>
      <c r="F88" s="1326">
        <v>59</v>
      </c>
      <c r="G88" s="1326">
        <v>256</v>
      </c>
      <c r="H88" s="1326">
        <v>256</v>
      </c>
      <c r="I88" s="1434"/>
    </row>
    <row r="89" spans="1:9" s="266" customFormat="1" ht="15" customHeight="1">
      <c r="A89" s="1367" t="s">
        <v>402</v>
      </c>
      <c r="B89" s="349"/>
      <c r="C89" s="20" t="s">
        <v>803</v>
      </c>
      <c r="D89" s="419"/>
      <c r="E89" s="1326">
        <v>0</v>
      </c>
      <c r="F89" s="1326">
        <v>0</v>
      </c>
      <c r="G89" s="1326">
        <v>0</v>
      </c>
      <c r="H89" s="1326">
        <v>805</v>
      </c>
      <c r="I89" s="1434">
        <v>1577</v>
      </c>
    </row>
    <row r="90" spans="1:9" s="323" customFormat="1" ht="15" customHeight="1">
      <c r="A90" s="1368" t="s">
        <v>403</v>
      </c>
      <c r="B90" s="343" t="s">
        <v>68</v>
      </c>
      <c r="C90" s="800" t="s">
        <v>1215</v>
      </c>
      <c r="D90" s="800"/>
      <c r="E90" s="800"/>
      <c r="F90" s="800"/>
      <c r="G90" s="800"/>
      <c r="H90" s="800"/>
      <c r="I90" s="1373">
        <f>SUM(I91)+I94+I95</f>
        <v>33572</v>
      </c>
    </row>
    <row r="91" spans="1:9" s="266" customFormat="1" ht="23.25" customHeight="1">
      <c r="A91" s="1367" t="s">
        <v>404</v>
      </c>
      <c r="B91" s="349"/>
      <c r="C91" s="1346" t="s">
        <v>1216</v>
      </c>
      <c r="D91" s="808"/>
      <c r="E91" s="808"/>
      <c r="F91" s="808"/>
      <c r="G91" s="808"/>
      <c r="H91" s="808"/>
      <c r="I91" s="1370">
        <f>SUM(I92:I93)</f>
        <v>28831</v>
      </c>
    </row>
    <row r="92" spans="1:9" s="266" customFormat="1" ht="15" customHeight="1">
      <c r="A92" s="1367" t="s">
        <v>405</v>
      </c>
      <c r="B92" s="349"/>
      <c r="C92" s="1171" t="s">
        <v>1217</v>
      </c>
      <c r="D92" s="1171"/>
      <c r="E92" s="1171"/>
      <c r="F92" s="1171"/>
      <c r="G92" s="1171"/>
      <c r="H92" s="1171"/>
      <c r="I92" s="1370">
        <v>1041</v>
      </c>
    </row>
    <row r="93" spans="1:9" s="266" customFormat="1" ht="15" customHeight="1">
      <c r="A93" s="1367" t="s">
        <v>406</v>
      </c>
      <c r="B93" s="349"/>
      <c r="C93" s="1171" t="s">
        <v>1218</v>
      </c>
      <c r="D93" s="1171"/>
      <c r="E93" s="1171"/>
      <c r="F93" s="1171"/>
      <c r="G93" s="1171"/>
      <c r="H93" s="1171"/>
      <c r="I93" s="1370">
        <v>27790</v>
      </c>
    </row>
    <row r="94" spans="1:9" s="266" customFormat="1" ht="15" customHeight="1">
      <c r="A94" s="1367" t="s">
        <v>407</v>
      </c>
      <c r="B94" s="349"/>
      <c r="C94" s="1169" t="s">
        <v>1219</v>
      </c>
      <c r="D94" s="808"/>
      <c r="E94" s="808"/>
      <c r="F94" s="808"/>
      <c r="G94" s="808"/>
      <c r="H94" s="808"/>
      <c r="I94" s="1370">
        <v>750</v>
      </c>
    </row>
    <row r="95" spans="1:9" s="266" customFormat="1" ht="15" customHeight="1">
      <c r="A95" s="1367" t="s">
        <v>409</v>
      </c>
      <c r="B95" s="349"/>
      <c r="C95" s="808" t="s">
        <v>1220</v>
      </c>
      <c r="D95" s="808"/>
      <c r="E95" s="808"/>
      <c r="F95" s="808"/>
      <c r="G95" s="808"/>
      <c r="H95" s="808"/>
      <c r="I95" s="1370">
        <f>SUM(I96:I97)</f>
        <v>3991</v>
      </c>
    </row>
    <row r="96" spans="1:9" s="266" customFormat="1" ht="15" customHeight="1">
      <c r="A96" s="1367" t="s">
        <v>411</v>
      </c>
      <c r="B96" s="349"/>
      <c r="C96" s="1171" t="s">
        <v>1221</v>
      </c>
      <c r="D96" s="1171"/>
      <c r="E96" s="1171"/>
      <c r="F96" s="1171"/>
      <c r="G96" s="1171"/>
      <c r="H96" s="1171"/>
      <c r="I96" s="1370">
        <v>3614</v>
      </c>
    </row>
    <row r="97" spans="1:9" s="266" customFormat="1" ht="15" customHeight="1">
      <c r="A97" s="1367" t="s">
        <v>413</v>
      </c>
      <c r="B97" s="349"/>
      <c r="C97" s="1171" t="s">
        <v>1222</v>
      </c>
      <c r="D97" s="1171"/>
      <c r="E97" s="1324"/>
      <c r="F97" s="1324"/>
      <c r="G97" s="1324"/>
      <c r="H97" s="1324"/>
      <c r="I97" s="1374">
        <v>377</v>
      </c>
    </row>
    <row r="98" spans="1:9" s="323" customFormat="1" ht="15" customHeight="1">
      <c r="A98" s="1368" t="s">
        <v>414</v>
      </c>
      <c r="B98" s="343" t="s">
        <v>70</v>
      </c>
      <c r="C98" s="13" t="s">
        <v>383</v>
      </c>
      <c r="D98" s="1323"/>
      <c r="E98" s="1325">
        <v>0</v>
      </c>
      <c r="F98" s="1325">
        <v>7406</v>
      </c>
      <c r="G98" s="1325">
        <v>9718</v>
      </c>
      <c r="H98" s="1325">
        <v>10204</v>
      </c>
      <c r="I98" s="1366">
        <f>SUM(I99:I100)</f>
        <v>11841</v>
      </c>
    </row>
    <row r="99" spans="1:9" s="266" customFormat="1" ht="15" customHeight="1">
      <c r="A99" s="1367" t="s">
        <v>415</v>
      </c>
      <c r="B99" s="349"/>
      <c r="C99" s="20" t="s">
        <v>213</v>
      </c>
      <c r="D99" s="419"/>
      <c r="E99" s="1326">
        <v>0</v>
      </c>
      <c r="F99" s="1326">
        <v>7406</v>
      </c>
      <c r="G99" s="1326">
        <v>9718</v>
      </c>
      <c r="H99" s="1326">
        <v>10204</v>
      </c>
      <c r="I99" s="1364">
        <v>11585</v>
      </c>
    </row>
    <row r="100" spans="1:9" s="266" customFormat="1" ht="15" customHeight="1">
      <c r="A100" s="1367" t="s">
        <v>416</v>
      </c>
      <c r="B100" s="349"/>
      <c r="C100" s="20" t="s">
        <v>699</v>
      </c>
      <c r="D100" s="419"/>
      <c r="E100" s="1326"/>
      <c r="F100" s="1326"/>
      <c r="G100" s="1326"/>
      <c r="H100" s="1326"/>
      <c r="I100" s="1364">
        <v>256</v>
      </c>
    </row>
    <row r="101" spans="1:9" s="266" customFormat="1" ht="12.75" customHeight="1">
      <c r="A101" s="1368" t="s">
        <v>417</v>
      </c>
      <c r="B101" s="343" t="s">
        <v>97</v>
      </c>
      <c r="C101" s="13" t="s">
        <v>1260</v>
      </c>
      <c r="D101" s="414">
        <v>0</v>
      </c>
      <c r="E101" s="1326">
        <f>SUM(E102:E103)</f>
        <v>0</v>
      </c>
      <c r="F101" s="1326">
        <f>SUM(F102:F103)</f>
        <v>0</v>
      </c>
      <c r="G101" s="1326">
        <f>SUM(G102:G103)</f>
        <v>0</v>
      </c>
      <c r="H101" s="1326">
        <f>SUM(H102:H103)</f>
        <v>0</v>
      </c>
      <c r="I101" s="1366">
        <f>SUM(I102:I103)</f>
        <v>80000</v>
      </c>
    </row>
    <row r="102" spans="1:9" s="266" customFormat="1" ht="12.75" customHeight="1">
      <c r="A102" s="1375" t="s">
        <v>418</v>
      </c>
      <c r="B102" s="349"/>
      <c r="C102" s="302" t="s">
        <v>195</v>
      </c>
      <c r="D102" s="416"/>
      <c r="E102" s="1326"/>
      <c r="F102" s="1326"/>
      <c r="G102" s="1326"/>
      <c r="H102" s="1326"/>
      <c r="I102" s="1364"/>
    </row>
    <row r="103" spans="1:9" s="266" customFormat="1" ht="12.75" customHeight="1">
      <c r="A103" s="1376" t="s">
        <v>420</v>
      </c>
      <c r="B103" s="439"/>
      <c r="C103" s="440" t="s">
        <v>243</v>
      </c>
      <c r="D103" s="1327"/>
      <c r="E103" s="1328"/>
      <c r="F103" s="1328"/>
      <c r="G103" s="1328"/>
      <c r="H103" s="1328"/>
      <c r="I103" s="1377">
        <v>80000</v>
      </c>
    </row>
    <row r="104" spans="1:70" s="422" customFormat="1" ht="15.75" customHeight="1">
      <c r="A104" s="1365" t="s">
        <v>422</v>
      </c>
      <c r="B104" s="959" t="s">
        <v>99</v>
      </c>
      <c r="C104" s="1534" t="s">
        <v>1261</v>
      </c>
      <c r="D104" s="1534"/>
      <c r="E104" s="1325">
        <v>248771</v>
      </c>
      <c r="F104" s="1325">
        <v>252365</v>
      </c>
      <c r="G104" s="1325">
        <v>274349</v>
      </c>
      <c r="H104" s="1325">
        <v>276745</v>
      </c>
      <c r="I104" s="1366">
        <v>262445</v>
      </c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</row>
    <row r="105" spans="1:70" s="422" customFormat="1" ht="15.75" customHeight="1" thickBot="1">
      <c r="A105" s="1378" t="s">
        <v>423</v>
      </c>
      <c r="B105" s="1379"/>
      <c r="C105" s="1380" t="s">
        <v>401</v>
      </c>
      <c r="D105" s="1381"/>
      <c r="E105" s="1382">
        <v>248771</v>
      </c>
      <c r="F105" s="1382">
        <v>252365</v>
      </c>
      <c r="G105" s="1382">
        <v>274349</v>
      </c>
      <c r="H105" s="1382">
        <v>276745</v>
      </c>
      <c r="I105" s="1383">
        <v>262445</v>
      </c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</row>
    <row r="106" spans="1:70" s="266" customFormat="1" ht="12.75" customHeight="1">
      <c r="A106" s="1333" t="s">
        <v>424</v>
      </c>
      <c r="B106" s="1334"/>
      <c r="C106" s="1335" t="s">
        <v>304</v>
      </c>
      <c r="D106" s="1336">
        <v>0</v>
      </c>
      <c r="E106" s="1337">
        <v>558139</v>
      </c>
      <c r="F106" s="1337">
        <f>SUM(F107:F119)</f>
        <v>663709</v>
      </c>
      <c r="G106" s="1337">
        <f>SUM(G107:G120)</f>
        <v>669339</v>
      </c>
      <c r="H106" s="1337">
        <f>SUM(H107:H120)</f>
        <v>657710</v>
      </c>
      <c r="I106" s="1338">
        <f>SUM(I107:I120)</f>
        <v>662522</v>
      </c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</row>
    <row r="107" spans="1:70" s="266" customFormat="1" ht="12.75" customHeight="1">
      <c r="A107" s="1339" t="s">
        <v>425</v>
      </c>
      <c r="B107" s="1109"/>
      <c r="C107" s="1110" t="s">
        <v>203</v>
      </c>
      <c r="D107" s="1329"/>
      <c r="E107" s="1111">
        <f>E20+E31+E37+E41+E102+E79</f>
        <v>38905</v>
      </c>
      <c r="F107" s="1111">
        <f>F20+F31+F37+F41+F102+F79</f>
        <v>39062</v>
      </c>
      <c r="G107" s="1111">
        <f>G20+G31+G37+G41+G102+G79</f>
        <v>40317</v>
      </c>
      <c r="H107" s="1111">
        <f>H20+H31+H37+H41+H102+H79</f>
        <v>40317</v>
      </c>
      <c r="I107" s="1340">
        <f>I20+I31+I37+I41+I102+I79</f>
        <v>42461</v>
      </c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</row>
    <row r="108" spans="1:70" s="266" customFormat="1" ht="12.75" customHeight="1">
      <c r="A108" s="1339" t="s">
        <v>426</v>
      </c>
      <c r="B108" s="1109"/>
      <c r="C108" s="1110" t="s">
        <v>204</v>
      </c>
      <c r="D108" s="1329"/>
      <c r="E108" s="1111">
        <f>E21+E32+E38+E42+E103+E80</f>
        <v>9959</v>
      </c>
      <c r="F108" s="1111">
        <f>F21+F32+F38+F42+F103+F80</f>
        <v>9959</v>
      </c>
      <c r="G108" s="1111">
        <f>G21+G32+G38+G42+G103+G80</f>
        <v>10283</v>
      </c>
      <c r="H108" s="1111">
        <f>H21+H32+H38+H42+H103+H80</f>
        <v>10283</v>
      </c>
      <c r="I108" s="1340">
        <f>I21+I32+I38+I42+I80</f>
        <v>10608</v>
      </c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</row>
    <row r="109" spans="1:70" s="266" customFormat="1" ht="12.75" customHeight="1">
      <c r="A109" s="1339" t="s">
        <v>427</v>
      </c>
      <c r="B109" s="1109"/>
      <c r="C109" s="1110" t="s">
        <v>338</v>
      </c>
      <c r="D109" s="1329"/>
      <c r="E109" s="1111">
        <f>+E15+E17+E22+E27+E29+E33+E39+E81</f>
        <v>43513</v>
      </c>
      <c r="F109" s="1111">
        <v>42615</v>
      </c>
      <c r="G109" s="1111">
        <v>63808</v>
      </c>
      <c r="H109" s="1111">
        <v>71129</v>
      </c>
      <c r="I109" s="1340">
        <v>80556</v>
      </c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</row>
    <row r="110" spans="1:14" s="266" customFormat="1" ht="12.75" customHeight="1">
      <c r="A110" s="1339" t="s">
        <v>428</v>
      </c>
      <c r="B110" s="1109"/>
      <c r="C110" s="1110" t="s">
        <v>342</v>
      </c>
      <c r="D110" s="1329"/>
      <c r="E110" s="1111">
        <f>E34+E43+E45+E46+E47+E48</f>
        <v>32764</v>
      </c>
      <c r="F110" s="1111">
        <f>F34+F43+F45+F46+F47+F48</f>
        <v>33612</v>
      </c>
      <c r="G110" s="1111">
        <f>G34+G43+G45+G46+G47+G48</f>
        <v>35577</v>
      </c>
      <c r="H110" s="1111">
        <f>H34+H43+H45+H46+H47+H48</f>
        <v>35672</v>
      </c>
      <c r="I110" s="1340">
        <v>34574</v>
      </c>
      <c r="J110" s="56"/>
      <c r="K110" s="56"/>
      <c r="L110" s="56"/>
      <c r="M110" s="56"/>
      <c r="N110" s="56"/>
    </row>
    <row r="111" spans="1:14" s="266" customFormat="1" ht="12.75" customHeight="1">
      <c r="A111" s="1339" t="s">
        <v>430</v>
      </c>
      <c r="B111" s="1109"/>
      <c r="C111" s="1110" t="s">
        <v>408</v>
      </c>
      <c r="D111" s="1110"/>
      <c r="E111" s="1111">
        <f>E49</f>
        <v>3210</v>
      </c>
      <c r="F111" s="1111">
        <f>F49</f>
        <v>3210</v>
      </c>
      <c r="G111" s="1111">
        <f>G49</f>
        <v>3210</v>
      </c>
      <c r="H111" s="1111">
        <f>H49</f>
        <v>3274</v>
      </c>
      <c r="I111" s="1340">
        <v>3228</v>
      </c>
      <c r="J111" s="56"/>
      <c r="K111" s="56"/>
      <c r="L111" s="56"/>
      <c r="M111" s="56"/>
      <c r="N111" s="56"/>
    </row>
    <row r="112" spans="1:14" s="266" customFormat="1" ht="12.75" customHeight="1">
      <c r="A112" s="1339" t="s">
        <v>431</v>
      </c>
      <c r="B112" s="1109"/>
      <c r="C112" s="1110" t="s">
        <v>938</v>
      </c>
      <c r="D112" s="1110"/>
      <c r="E112" s="1111">
        <v>0</v>
      </c>
      <c r="F112" s="1111">
        <v>0</v>
      </c>
      <c r="G112" s="1111">
        <v>0</v>
      </c>
      <c r="H112" s="1111">
        <v>805</v>
      </c>
      <c r="I112" s="1340">
        <v>1577</v>
      </c>
      <c r="J112" s="56"/>
      <c r="K112" s="56"/>
      <c r="L112" s="56"/>
      <c r="M112" s="56"/>
      <c r="N112" s="56"/>
    </row>
    <row r="113" spans="1:14" s="266" customFormat="1" ht="12.75" customHeight="1">
      <c r="A113" s="1339" t="s">
        <v>432</v>
      </c>
      <c r="B113" s="1109"/>
      <c r="C113" s="1110" t="s">
        <v>410</v>
      </c>
      <c r="D113" s="1110"/>
      <c r="E113" s="1111">
        <f>E23+E83</f>
        <v>125442</v>
      </c>
      <c r="F113" s="1111">
        <v>143701</v>
      </c>
      <c r="G113" s="1111">
        <v>117695</v>
      </c>
      <c r="H113" s="1111">
        <v>95187</v>
      </c>
      <c r="I113" s="1340">
        <v>97942</v>
      </c>
      <c r="J113" s="56"/>
      <c r="K113" s="56"/>
      <c r="L113" s="56"/>
      <c r="M113" s="56"/>
      <c r="N113" s="56"/>
    </row>
    <row r="114" spans="1:14" s="266" customFormat="1" ht="12.75" customHeight="1">
      <c r="A114" s="1339" t="s">
        <v>433</v>
      </c>
      <c r="B114" s="1109"/>
      <c r="C114" s="1110" t="s">
        <v>412</v>
      </c>
      <c r="D114" s="1110"/>
      <c r="E114" s="1111">
        <f>E105</f>
        <v>248771</v>
      </c>
      <c r="F114" s="1111">
        <f>F105</f>
        <v>252365</v>
      </c>
      <c r="G114" s="1111">
        <f>G105</f>
        <v>274349</v>
      </c>
      <c r="H114" s="1111">
        <f>H105</f>
        <v>276745</v>
      </c>
      <c r="I114" s="1340">
        <f>I105</f>
        <v>262445</v>
      </c>
      <c r="J114" s="56"/>
      <c r="K114" s="56"/>
      <c r="L114" s="56"/>
      <c r="M114" s="56"/>
      <c r="N114" s="56"/>
    </row>
    <row r="115" spans="1:9" s="266" customFormat="1" ht="12.75" customHeight="1">
      <c r="A115" s="1339" t="s">
        <v>434</v>
      </c>
      <c r="B115" s="1109"/>
      <c r="C115" s="1110" t="s">
        <v>213</v>
      </c>
      <c r="D115" s="1110"/>
      <c r="E115" s="1111">
        <v>6052</v>
      </c>
      <c r="F115" s="1111">
        <v>7406</v>
      </c>
      <c r="G115" s="1111">
        <v>9718</v>
      </c>
      <c r="H115" s="1111">
        <v>10204</v>
      </c>
      <c r="I115" s="1340">
        <v>11585</v>
      </c>
    </row>
    <row r="116" spans="1:9" s="266" customFormat="1" ht="12.75" customHeight="1">
      <c r="A116" s="1339" t="s">
        <v>435</v>
      </c>
      <c r="B116" s="1109"/>
      <c r="C116" s="1110" t="s">
        <v>243</v>
      </c>
      <c r="D116" s="1110"/>
      <c r="E116" s="1111">
        <v>12041</v>
      </c>
      <c r="F116" s="1111">
        <v>80000</v>
      </c>
      <c r="G116" s="1111">
        <v>80000</v>
      </c>
      <c r="H116" s="1111">
        <v>80000</v>
      </c>
      <c r="I116" s="1340">
        <v>80000</v>
      </c>
    </row>
    <row r="117" spans="1:9" s="266" customFormat="1" ht="12.75" customHeight="1">
      <c r="A117" s="1339" t="s">
        <v>436</v>
      </c>
      <c r="B117" s="1109"/>
      <c r="C117" s="1110" t="s">
        <v>195</v>
      </c>
      <c r="D117" s="1110"/>
      <c r="E117" s="1111"/>
      <c r="F117" s="1111"/>
      <c r="G117" s="1111"/>
      <c r="H117" s="1111"/>
      <c r="I117" s="1340"/>
    </row>
    <row r="118" spans="1:9" s="266" customFormat="1" ht="14.25" customHeight="1">
      <c r="A118" s="1339" t="s">
        <v>437</v>
      </c>
      <c r="B118" s="1109"/>
      <c r="C118" s="1110" t="s">
        <v>150</v>
      </c>
      <c r="D118" s="1110"/>
      <c r="E118" s="1111">
        <f>E82</f>
        <v>36582</v>
      </c>
      <c r="F118" s="1111">
        <f>F82</f>
        <v>51720</v>
      </c>
      <c r="G118" s="1111">
        <f>G82</f>
        <v>33726</v>
      </c>
      <c r="H118" s="1111">
        <f>H82</f>
        <v>33438</v>
      </c>
      <c r="I118" s="1340">
        <f>I82</f>
        <v>37290</v>
      </c>
    </row>
    <row r="119" spans="1:9" s="266" customFormat="1" ht="14.25" customHeight="1">
      <c r="A119" s="1339" t="s">
        <v>438</v>
      </c>
      <c r="B119" s="1109"/>
      <c r="C119" s="1110" t="s">
        <v>381</v>
      </c>
      <c r="D119" s="1110"/>
      <c r="E119" s="1111"/>
      <c r="F119" s="1111">
        <v>59</v>
      </c>
      <c r="G119" s="1111">
        <v>256</v>
      </c>
      <c r="H119" s="1111">
        <v>256</v>
      </c>
      <c r="I119" s="1340">
        <v>256</v>
      </c>
    </row>
    <row r="120" spans="1:9" s="266" customFormat="1" ht="14.25" customHeight="1" thickBot="1">
      <c r="A120" s="1341" t="s">
        <v>439</v>
      </c>
      <c r="B120" s="1342"/>
      <c r="C120" s="1343" t="s">
        <v>419</v>
      </c>
      <c r="D120" s="1343"/>
      <c r="E120" s="1344">
        <v>0</v>
      </c>
      <c r="F120" s="1344">
        <v>0</v>
      </c>
      <c r="G120" s="1344">
        <v>400</v>
      </c>
      <c r="H120" s="1344">
        <v>400</v>
      </c>
      <c r="I120" s="1345">
        <v>0</v>
      </c>
    </row>
    <row r="121" spans="1:9" s="217" customFormat="1" ht="18" customHeight="1" thickBot="1">
      <c r="A121" s="1385" t="s">
        <v>442</v>
      </c>
      <c r="B121" s="1386" t="s">
        <v>173</v>
      </c>
      <c r="C121" s="1535" t="s">
        <v>421</v>
      </c>
      <c r="D121" s="1536"/>
      <c r="E121" s="1536"/>
      <c r="F121" s="1536"/>
      <c r="G121" s="1536"/>
      <c r="H121" s="1536"/>
      <c r="I121" s="1537"/>
    </row>
    <row r="122" spans="1:9" s="266" customFormat="1" ht="12.75" customHeight="1">
      <c r="A122" s="1357" t="s">
        <v>443</v>
      </c>
      <c r="B122" s="1387" t="s">
        <v>38</v>
      </c>
      <c r="C122" s="1388" t="s">
        <v>368</v>
      </c>
      <c r="D122" s="1389">
        <v>15</v>
      </c>
      <c r="E122" s="1361">
        <f>SUM(E123:E127)</f>
        <v>77406</v>
      </c>
      <c r="F122" s="1361">
        <f>SUM(F123:F127)</f>
        <v>74378</v>
      </c>
      <c r="G122" s="1361">
        <f>SUM(G123:G127)</f>
        <v>74378</v>
      </c>
      <c r="H122" s="1361">
        <f>SUM(H123:H127)</f>
        <v>72897</v>
      </c>
      <c r="I122" s="1362">
        <f>SUM(I123:I127)</f>
        <v>66592</v>
      </c>
    </row>
    <row r="123" spans="1:9" s="266" customFormat="1" ht="12.75" customHeight="1">
      <c r="A123" s="1363" t="s">
        <v>444</v>
      </c>
      <c r="B123" s="1112"/>
      <c r="C123" s="919" t="s">
        <v>203</v>
      </c>
      <c r="D123" s="1113"/>
      <c r="E123" s="1326">
        <v>50191</v>
      </c>
      <c r="F123" s="1326">
        <v>47808</v>
      </c>
      <c r="G123" s="1326">
        <v>47808</v>
      </c>
      <c r="H123" s="1326">
        <v>47808</v>
      </c>
      <c r="I123" s="1364">
        <v>43655</v>
      </c>
    </row>
    <row r="124" spans="1:9" s="266" customFormat="1" ht="12.75" customHeight="1">
      <c r="A124" s="1363" t="s">
        <v>445</v>
      </c>
      <c r="B124" s="1112"/>
      <c r="C124" s="919" t="s">
        <v>204</v>
      </c>
      <c r="D124" s="1113"/>
      <c r="E124" s="1326">
        <v>13715</v>
      </c>
      <c r="F124" s="1326">
        <v>13070</v>
      </c>
      <c r="G124" s="1326">
        <v>13070</v>
      </c>
      <c r="H124" s="1326">
        <v>13070</v>
      </c>
      <c r="I124" s="1364">
        <v>12039</v>
      </c>
    </row>
    <row r="125" spans="1:9" s="266" customFormat="1" ht="12.75" customHeight="1">
      <c r="A125" s="1363" t="s">
        <v>447</v>
      </c>
      <c r="B125" s="1112"/>
      <c r="C125" s="919" t="s">
        <v>338</v>
      </c>
      <c r="D125" s="1113"/>
      <c r="E125" s="1326">
        <v>13000</v>
      </c>
      <c r="F125" s="1326">
        <v>13000</v>
      </c>
      <c r="G125" s="1326">
        <v>13000</v>
      </c>
      <c r="H125" s="1326">
        <v>12019</v>
      </c>
      <c r="I125" s="1364">
        <v>10898</v>
      </c>
    </row>
    <row r="126" spans="1:9" s="266" customFormat="1" ht="12.75" customHeight="1">
      <c r="A126" s="1363" t="s">
        <v>448</v>
      </c>
      <c r="B126" s="1112"/>
      <c r="C126" s="919" t="s">
        <v>374</v>
      </c>
      <c r="D126" s="1113"/>
      <c r="E126" s="1326">
        <v>500</v>
      </c>
      <c r="F126" s="1326">
        <v>500</v>
      </c>
      <c r="G126" s="1326">
        <v>500</v>
      </c>
      <c r="H126" s="1326">
        <v>0</v>
      </c>
      <c r="I126" s="1364">
        <v>0</v>
      </c>
    </row>
    <row r="127" spans="1:9" s="266" customFormat="1" ht="12.75" customHeight="1">
      <c r="A127" s="1363" t="s">
        <v>449</v>
      </c>
      <c r="B127" s="1112"/>
      <c r="C127" s="919" t="s">
        <v>150</v>
      </c>
      <c r="D127" s="1113"/>
      <c r="E127" s="1326">
        <v>0</v>
      </c>
      <c r="F127" s="1326">
        <v>0</v>
      </c>
      <c r="G127" s="1326">
        <v>0</v>
      </c>
      <c r="H127" s="1326">
        <v>0</v>
      </c>
      <c r="I127" s="1364">
        <v>0</v>
      </c>
    </row>
    <row r="128" spans="1:9" s="323" customFormat="1" ht="12.75" customHeight="1">
      <c r="A128" s="1365" t="s">
        <v>450</v>
      </c>
      <c r="B128" s="1114" t="s">
        <v>40</v>
      </c>
      <c r="C128" s="917" t="s">
        <v>429</v>
      </c>
      <c r="D128" s="1115"/>
      <c r="E128" s="1325">
        <v>0</v>
      </c>
      <c r="F128" s="1325">
        <v>3054</v>
      </c>
      <c r="G128" s="1325">
        <v>3054</v>
      </c>
      <c r="H128" s="1325">
        <v>3054</v>
      </c>
      <c r="I128" s="1366">
        <f>SUM(I129:I130)</f>
        <v>2169</v>
      </c>
    </row>
    <row r="129" spans="1:9" s="266" customFormat="1" ht="12.75" customHeight="1">
      <c r="A129" s="1363" t="s">
        <v>452</v>
      </c>
      <c r="B129" s="1112"/>
      <c r="C129" s="919" t="s">
        <v>203</v>
      </c>
      <c r="D129" s="1113"/>
      <c r="E129" s="1326">
        <v>0</v>
      </c>
      <c r="F129" s="1326">
        <v>2409</v>
      </c>
      <c r="G129" s="1326">
        <v>2409</v>
      </c>
      <c r="H129" s="1326">
        <v>2409</v>
      </c>
      <c r="I129" s="1364">
        <v>1713</v>
      </c>
    </row>
    <row r="130" spans="1:9" s="266" customFormat="1" ht="12.75" customHeight="1">
      <c r="A130" s="1363" t="s">
        <v>453</v>
      </c>
      <c r="B130" s="1112"/>
      <c r="C130" s="919" t="s">
        <v>204</v>
      </c>
      <c r="D130" s="1113"/>
      <c r="E130" s="1326">
        <v>0</v>
      </c>
      <c r="F130" s="1326">
        <v>645</v>
      </c>
      <c r="G130" s="1326">
        <v>645</v>
      </c>
      <c r="H130" s="1326">
        <v>645</v>
      </c>
      <c r="I130" s="1364">
        <v>456</v>
      </c>
    </row>
    <row r="131" spans="1:9" s="266" customFormat="1" ht="12.75" customHeight="1">
      <c r="A131" s="1363" t="s">
        <v>454</v>
      </c>
      <c r="B131" s="1112"/>
      <c r="C131" s="919" t="s">
        <v>338</v>
      </c>
      <c r="D131" s="1113"/>
      <c r="E131" s="1326">
        <v>0</v>
      </c>
      <c r="F131" s="1326">
        <v>0</v>
      </c>
      <c r="G131" s="1326">
        <v>0</v>
      </c>
      <c r="H131" s="1326">
        <v>0</v>
      </c>
      <c r="I131" s="1364">
        <v>0</v>
      </c>
    </row>
    <row r="132" spans="1:9" s="323" customFormat="1" ht="12.75" customHeight="1">
      <c r="A132" s="1365" t="s">
        <v>455</v>
      </c>
      <c r="B132" s="1114" t="s">
        <v>47</v>
      </c>
      <c r="C132" s="917" t="s">
        <v>909</v>
      </c>
      <c r="D132" s="1115"/>
      <c r="E132" s="1325"/>
      <c r="F132" s="1325"/>
      <c r="G132" s="1325"/>
      <c r="H132" s="1325">
        <f>SUM(H133:H135)</f>
        <v>951</v>
      </c>
      <c r="I132" s="1366">
        <f>SUM(I133:I135)</f>
        <v>951</v>
      </c>
    </row>
    <row r="133" spans="1:9" s="266" customFormat="1" ht="12.75" customHeight="1">
      <c r="A133" s="1363" t="s">
        <v>456</v>
      </c>
      <c r="B133" s="1112"/>
      <c r="C133" s="919" t="s">
        <v>203</v>
      </c>
      <c r="D133" s="1113"/>
      <c r="E133" s="1326"/>
      <c r="F133" s="1326"/>
      <c r="G133" s="1326"/>
      <c r="H133" s="1326">
        <v>640</v>
      </c>
      <c r="I133" s="1364">
        <v>570</v>
      </c>
    </row>
    <row r="134" spans="1:9" s="266" customFormat="1" ht="12.75" customHeight="1">
      <c r="A134" s="1363" t="s">
        <v>458</v>
      </c>
      <c r="B134" s="1112"/>
      <c r="C134" s="919" t="s">
        <v>204</v>
      </c>
      <c r="D134" s="1113"/>
      <c r="E134" s="1326"/>
      <c r="F134" s="1326"/>
      <c r="G134" s="1326"/>
      <c r="H134" s="1326">
        <v>175</v>
      </c>
      <c r="I134" s="1364">
        <v>141</v>
      </c>
    </row>
    <row r="135" spans="1:9" s="266" customFormat="1" ht="12.75" customHeight="1" thickBot="1">
      <c r="A135" s="1390" t="s">
        <v>459</v>
      </c>
      <c r="B135" s="1330"/>
      <c r="C135" s="1391" t="s">
        <v>338</v>
      </c>
      <c r="D135" s="1332"/>
      <c r="E135" s="1328"/>
      <c r="F135" s="1328"/>
      <c r="G135" s="1328"/>
      <c r="H135" s="1328">
        <v>136</v>
      </c>
      <c r="I135" s="1377">
        <v>240</v>
      </c>
    </row>
    <row r="136" spans="1:9" s="266" customFormat="1" ht="12.75" customHeight="1">
      <c r="A136" s="1333" t="s">
        <v>460</v>
      </c>
      <c r="B136" s="1392"/>
      <c r="C136" s="1335" t="s">
        <v>309</v>
      </c>
      <c r="D136" s="1336">
        <v>15</v>
      </c>
      <c r="E136" s="1337">
        <f>SUM(E137:E141)</f>
        <v>77406</v>
      </c>
      <c r="F136" s="1337">
        <f>SUM(F137:F141)</f>
        <v>77432</v>
      </c>
      <c r="G136" s="1337">
        <f>SUM(G137:G141)</f>
        <v>77432</v>
      </c>
      <c r="H136" s="1337">
        <f>SUM(H137:H141)</f>
        <v>76902</v>
      </c>
      <c r="I136" s="1338">
        <f>SUM(I137:I141)</f>
        <v>69712</v>
      </c>
    </row>
    <row r="137" spans="1:9" s="266" customFormat="1" ht="12.75" customHeight="1">
      <c r="A137" s="1339" t="s">
        <v>461</v>
      </c>
      <c r="B137" s="1109"/>
      <c r="C137" s="1110" t="s">
        <v>203</v>
      </c>
      <c r="D137" s="1110"/>
      <c r="E137" s="1111">
        <f>E123</f>
        <v>50191</v>
      </c>
      <c r="F137" s="1111">
        <v>50217</v>
      </c>
      <c r="G137" s="1111">
        <v>50217</v>
      </c>
      <c r="H137" s="1111">
        <v>50857</v>
      </c>
      <c r="I137" s="1340">
        <v>45938</v>
      </c>
    </row>
    <row r="138" spans="1:9" s="266" customFormat="1" ht="12.75" customHeight="1">
      <c r="A138" s="1339" t="s">
        <v>463</v>
      </c>
      <c r="B138" s="1109"/>
      <c r="C138" s="1110" t="s">
        <v>204</v>
      </c>
      <c r="D138" s="1110"/>
      <c r="E138" s="1111">
        <f>E124</f>
        <v>13715</v>
      </c>
      <c r="F138" s="1111">
        <v>13715</v>
      </c>
      <c r="G138" s="1111">
        <v>13715</v>
      </c>
      <c r="H138" s="1111">
        <v>13890</v>
      </c>
      <c r="I138" s="1340">
        <v>12636</v>
      </c>
    </row>
    <row r="139" spans="1:9" s="266" customFormat="1" ht="12.75" customHeight="1">
      <c r="A139" s="1339" t="s">
        <v>464</v>
      </c>
      <c r="B139" s="1109"/>
      <c r="C139" s="1110" t="s">
        <v>338</v>
      </c>
      <c r="D139" s="1110"/>
      <c r="E139" s="1111">
        <f>SUM(E125)</f>
        <v>13000</v>
      </c>
      <c r="F139" s="1111">
        <v>13000</v>
      </c>
      <c r="G139" s="1111">
        <v>13000</v>
      </c>
      <c r="H139" s="1111">
        <v>12155</v>
      </c>
      <c r="I139" s="1340">
        <v>11138</v>
      </c>
    </row>
    <row r="140" spans="1:9" s="266" customFormat="1" ht="12.75" customHeight="1">
      <c r="A140" s="1339" t="s">
        <v>465</v>
      </c>
      <c r="B140" s="1109"/>
      <c r="C140" s="1110" t="s">
        <v>374</v>
      </c>
      <c r="D140" s="1110"/>
      <c r="E140" s="1111">
        <f>E126</f>
        <v>500</v>
      </c>
      <c r="F140" s="1111">
        <v>500</v>
      </c>
      <c r="G140" s="1111">
        <v>500</v>
      </c>
      <c r="H140" s="1111">
        <v>0</v>
      </c>
      <c r="I140" s="1340">
        <v>0</v>
      </c>
    </row>
    <row r="141" spans="1:9" s="266" customFormat="1" ht="12.75" customHeight="1" thickBot="1">
      <c r="A141" s="1341" t="s">
        <v>466</v>
      </c>
      <c r="B141" s="1342"/>
      <c r="C141" s="1343" t="s">
        <v>150</v>
      </c>
      <c r="D141" s="1343"/>
      <c r="E141" s="1344"/>
      <c r="F141" s="1344"/>
      <c r="G141" s="1344"/>
      <c r="H141" s="1344"/>
      <c r="I141" s="1345"/>
    </row>
    <row r="142" spans="1:9" s="217" customFormat="1" ht="18" customHeight="1" thickBot="1">
      <c r="A142" s="1394" t="s">
        <v>468</v>
      </c>
      <c r="B142" s="1395" t="s">
        <v>177</v>
      </c>
      <c r="C142" s="1541" t="s">
        <v>440</v>
      </c>
      <c r="D142" s="1542"/>
      <c r="E142" s="1542"/>
      <c r="F142" s="1542"/>
      <c r="G142" s="1542"/>
      <c r="H142" s="1542"/>
      <c r="I142" s="1543"/>
    </row>
    <row r="143" spans="1:9" s="266" customFormat="1" ht="12.75" customHeight="1">
      <c r="A143" s="1396" t="s">
        <v>469</v>
      </c>
      <c r="B143" s="1397" t="s">
        <v>38</v>
      </c>
      <c r="C143" s="1359" t="s">
        <v>441</v>
      </c>
      <c r="D143" s="1360">
        <v>1</v>
      </c>
      <c r="E143" s="1361">
        <f>SUM(E144:E145)+E146</f>
        <v>14541</v>
      </c>
      <c r="F143" s="1361">
        <f>SUM(F144:F145)+F146</f>
        <v>14541</v>
      </c>
      <c r="G143" s="1361">
        <f>SUM(G144:G145)+G146</f>
        <v>14541</v>
      </c>
      <c r="H143" s="1361">
        <f>SUM(H144:H145)+H146</f>
        <v>14541</v>
      </c>
      <c r="I143" s="1362">
        <f>SUM(I144:I145)+I146</f>
        <v>17247</v>
      </c>
    </row>
    <row r="144" spans="1:9" s="266" customFormat="1" ht="12.75" customHeight="1">
      <c r="A144" s="1367" t="s">
        <v>470</v>
      </c>
      <c r="B144" s="412"/>
      <c r="C144" s="964" t="s">
        <v>203</v>
      </c>
      <c r="D144" s="918"/>
      <c r="E144" s="1326">
        <v>1505</v>
      </c>
      <c r="F144" s="1326">
        <v>1505</v>
      </c>
      <c r="G144" s="1326">
        <v>1505</v>
      </c>
      <c r="H144" s="1326">
        <v>1505</v>
      </c>
      <c r="I144" s="1364">
        <v>1582</v>
      </c>
    </row>
    <row r="145" spans="1:9" s="266" customFormat="1" ht="12.75" customHeight="1">
      <c r="A145" s="1367" t="s">
        <v>471</v>
      </c>
      <c r="B145" s="412"/>
      <c r="C145" s="964" t="s">
        <v>204</v>
      </c>
      <c r="D145" s="918"/>
      <c r="E145" s="1326">
        <v>416</v>
      </c>
      <c r="F145" s="1326">
        <v>416</v>
      </c>
      <c r="G145" s="1326">
        <v>416</v>
      </c>
      <c r="H145" s="1326">
        <v>416</v>
      </c>
      <c r="I145" s="1364">
        <v>447</v>
      </c>
    </row>
    <row r="146" spans="1:9" s="266" customFormat="1" ht="12.75" customHeight="1">
      <c r="A146" s="1367" t="s">
        <v>472</v>
      </c>
      <c r="B146" s="412"/>
      <c r="C146" s="964" t="s">
        <v>338</v>
      </c>
      <c r="D146" s="918"/>
      <c r="E146" s="1326">
        <v>12620</v>
      </c>
      <c r="F146" s="1326">
        <v>12620</v>
      </c>
      <c r="G146" s="1326">
        <v>12620</v>
      </c>
      <c r="H146" s="1326">
        <v>12620</v>
      </c>
      <c r="I146" s="1364">
        <v>15218</v>
      </c>
    </row>
    <row r="147" spans="1:9" s="266" customFormat="1" ht="12.75" customHeight="1">
      <c r="A147" s="1367" t="s">
        <v>474</v>
      </c>
      <c r="B147" s="407" t="s">
        <v>40</v>
      </c>
      <c r="C147" s="1147" t="s">
        <v>446</v>
      </c>
      <c r="D147" s="918"/>
      <c r="E147" s="1325">
        <f>SUM(E148:E150)</f>
        <v>1845</v>
      </c>
      <c r="F147" s="1325">
        <f>SUM(F148:F150)</f>
        <v>1845</v>
      </c>
      <c r="G147" s="1325">
        <f>SUM(G148:G150)</f>
        <v>1845</v>
      </c>
      <c r="H147" s="1325">
        <f>SUM(H148:H150)</f>
        <v>1845</v>
      </c>
      <c r="I147" s="1366">
        <f>SUM(I148:I150)</f>
        <v>1644</v>
      </c>
    </row>
    <row r="148" spans="1:9" s="266" customFormat="1" ht="12.75" customHeight="1">
      <c r="A148" s="1367" t="s">
        <v>475</v>
      </c>
      <c r="B148" s="412"/>
      <c r="C148" s="964" t="s">
        <v>203</v>
      </c>
      <c r="D148" s="918"/>
      <c r="E148" s="1326">
        <v>192</v>
      </c>
      <c r="F148" s="1326">
        <v>192</v>
      </c>
      <c r="G148" s="1326">
        <v>192</v>
      </c>
      <c r="H148" s="1326">
        <v>192</v>
      </c>
      <c r="I148" s="1364">
        <v>110</v>
      </c>
    </row>
    <row r="149" spans="1:9" s="266" customFormat="1" ht="12.75" customHeight="1">
      <c r="A149" s="1367" t="s">
        <v>477</v>
      </c>
      <c r="B149" s="412"/>
      <c r="C149" s="964" t="s">
        <v>204</v>
      </c>
      <c r="D149" s="918"/>
      <c r="E149" s="1326">
        <v>53</v>
      </c>
      <c r="F149" s="1326">
        <v>53</v>
      </c>
      <c r="G149" s="1326">
        <v>53</v>
      </c>
      <c r="H149" s="1326">
        <v>53</v>
      </c>
      <c r="I149" s="1364">
        <v>31</v>
      </c>
    </row>
    <row r="150" spans="1:9" s="266" customFormat="1" ht="12.75" customHeight="1">
      <c r="A150" s="1367" t="s">
        <v>479</v>
      </c>
      <c r="B150" s="412"/>
      <c r="C150" s="919" t="s">
        <v>338</v>
      </c>
      <c r="D150" s="1115"/>
      <c r="E150" s="1326">
        <v>1600</v>
      </c>
      <c r="F150" s="1326">
        <v>1600</v>
      </c>
      <c r="G150" s="1326">
        <v>1600</v>
      </c>
      <c r="H150" s="1326">
        <v>1600</v>
      </c>
      <c r="I150" s="1364">
        <v>1503</v>
      </c>
    </row>
    <row r="151" spans="1:9" s="323" customFormat="1" ht="12.75" customHeight="1">
      <c r="A151" s="1368" t="s">
        <v>480</v>
      </c>
      <c r="B151" s="407" t="s">
        <v>47</v>
      </c>
      <c r="C151" s="917" t="s">
        <v>1262</v>
      </c>
      <c r="D151" s="1115"/>
      <c r="E151" s="1325"/>
      <c r="F151" s="1325"/>
      <c r="G151" s="1325"/>
      <c r="H151" s="1325"/>
      <c r="I151" s="1366">
        <v>11</v>
      </c>
    </row>
    <row r="152" spans="1:9" s="266" customFormat="1" ht="12.75" customHeight="1">
      <c r="A152" s="1367" t="s">
        <v>482</v>
      </c>
      <c r="B152" s="412"/>
      <c r="C152" s="919" t="s">
        <v>338</v>
      </c>
      <c r="D152" s="1115"/>
      <c r="E152" s="1326"/>
      <c r="F152" s="1326"/>
      <c r="G152" s="1326"/>
      <c r="H152" s="1326"/>
      <c r="I152" s="1364">
        <v>11</v>
      </c>
    </row>
    <row r="153" spans="1:9" s="266" customFormat="1" ht="12.75" customHeight="1">
      <c r="A153" s="1367" t="s">
        <v>483</v>
      </c>
      <c r="B153" s="407" t="s">
        <v>49</v>
      </c>
      <c r="C153" s="917" t="s">
        <v>451</v>
      </c>
      <c r="D153" s="1115">
        <v>17</v>
      </c>
      <c r="E153" s="1325">
        <f>SUM(E154:E157)</f>
        <v>64293</v>
      </c>
      <c r="F153" s="1325">
        <f>SUM(F154:F157)</f>
        <v>60748</v>
      </c>
      <c r="G153" s="1325">
        <f>SUM(G154:G157)</f>
        <v>61938</v>
      </c>
      <c r="H153" s="1325">
        <f>SUM(H154:H157)</f>
        <v>61938</v>
      </c>
      <c r="I153" s="1366">
        <f>SUM(I154:I157)</f>
        <v>58952</v>
      </c>
    </row>
    <row r="154" spans="1:9" s="266" customFormat="1" ht="12.75" customHeight="1">
      <c r="A154" s="1367" t="s">
        <v>484</v>
      </c>
      <c r="B154" s="412"/>
      <c r="C154" s="919" t="s">
        <v>203</v>
      </c>
      <c r="D154" s="1115"/>
      <c r="E154" s="1326">
        <v>49460</v>
      </c>
      <c r="F154" s="1326">
        <v>47834</v>
      </c>
      <c r="G154" s="1326">
        <v>47514</v>
      </c>
      <c r="H154" s="1326">
        <v>47514</v>
      </c>
      <c r="I154" s="1364">
        <v>45099</v>
      </c>
    </row>
    <row r="155" spans="1:9" s="266" customFormat="1" ht="12.75" customHeight="1">
      <c r="A155" s="1367" t="s">
        <v>485</v>
      </c>
      <c r="B155" s="412"/>
      <c r="C155" s="919" t="s">
        <v>204</v>
      </c>
      <c r="D155" s="1115"/>
      <c r="E155" s="1326">
        <v>12483</v>
      </c>
      <c r="F155" s="1326">
        <v>12514</v>
      </c>
      <c r="G155" s="1326">
        <v>12458</v>
      </c>
      <c r="H155" s="1326">
        <v>12458</v>
      </c>
      <c r="I155" s="1364">
        <v>12540</v>
      </c>
    </row>
    <row r="156" spans="1:9" s="266" customFormat="1" ht="12.75" customHeight="1">
      <c r="A156" s="1367" t="s">
        <v>486</v>
      </c>
      <c r="B156" s="412"/>
      <c r="C156" s="919" t="s">
        <v>338</v>
      </c>
      <c r="D156" s="1115"/>
      <c r="E156" s="1326">
        <v>2350</v>
      </c>
      <c r="F156" s="1326">
        <v>400</v>
      </c>
      <c r="G156" s="1326">
        <v>1966</v>
      </c>
      <c r="H156" s="1326">
        <v>1966</v>
      </c>
      <c r="I156" s="1364">
        <v>658</v>
      </c>
    </row>
    <row r="157" spans="1:9" s="266" customFormat="1" ht="12.75" customHeight="1">
      <c r="A157" s="1367" t="s">
        <v>487</v>
      </c>
      <c r="B157" s="412"/>
      <c r="C157" s="919" t="s">
        <v>374</v>
      </c>
      <c r="D157" s="1115"/>
      <c r="E157" s="1326">
        <v>0</v>
      </c>
      <c r="F157" s="1326">
        <v>0</v>
      </c>
      <c r="G157" s="1326">
        <v>0</v>
      </c>
      <c r="H157" s="1326">
        <v>0</v>
      </c>
      <c r="I157" s="1364">
        <v>655</v>
      </c>
    </row>
    <row r="158" spans="1:9" s="323" customFormat="1" ht="12.75" customHeight="1">
      <c r="A158" s="1368" t="s">
        <v>489</v>
      </c>
      <c r="B158" s="407" t="s">
        <v>51</v>
      </c>
      <c r="C158" s="917" t="s">
        <v>457</v>
      </c>
      <c r="D158" s="1115"/>
      <c r="E158" s="1325">
        <v>0</v>
      </c>
      <c r="F158" s="1325">
        <v>194</v>
      </c>
      <c r="G158" s="1325">
        <v>194</v>
      </c>
      <c r="H158" s="1325">
        <v>194</v>
      </c>
      <c r="I158" s="1366">
        <v>226</v>
      </c>
    </row>
    <row r="159" spans="1:9" s="266" customFormat="1" ht="12.75" customHeight="1">
      <c r="A159" s="1367" t="s">
        <v>491</v>
      </c>
      <c r="B159" s="412"/>
      <c r="C159" s="919" t="s">
        <v>203</v>
      </c>
      <c r="D159" s="1115"/>
      <c r="E159" s="1326">
        <v>0</v>
      </c>
      <c r="F159" s="1326">
        <v>112</v>
      </c>
      <c r="G159" s="1326">
        <v>112</v>
      </c>
      <c r="H159" s="1326">
        <v>112</v>
      </c>
      <c r="I159" s="1364">
        <v>182</v>
      </c>
    </row>
    <row r="160" spans="1:9" s="266" customFormat="1" ht="12.75" customHeight="1">
      <c r="A160" s="1367" t="s">
        <v>492</v>
      </c>
      <c r="B160" s="412"/>
      <c r="C160" s="919" t="s">
        <v>204</v>
      </c>
      <c r="D160" s="1115"/>
      <c r="E160" s="1326">
        <v>0</v>
      </c>
      <c r="F160" s="1326">
        <v>82</v>
      </c>
      <c r="G160" s="1326">
        <v>82</v>
      </c>
      <c r="H160" s="1326">
        <v>82</v>
      </c>
      <c r="I160" s="1364">
        <v>44</v>
      </c>
    </row>
    <row r="161" spans="1:9" s="266" customFormat="1" ht="12.75" customHeight="1">
      <c r="A161" s="1367" t="s">
        <v>493</v>
      </c>
      <c r="B161" s="412"/>
      <c r="C161" s="919" t="s">
        <v>338</v>
      </c>
      <c r="D161" s="1115"/>
      <c r="E161" s="1326">
        <v>0</v>
      </c>
      <c r="F161" s="1326">
        <v>0</v>
      </c>
      <c r="G161" s="1326">
        <v>0</v>
      </c>
      <c r="H161" s="1326">
        <v>0</v>
      </c>
      <c r="I161" s="1364">
        <v>0</v>
      </c>
    </row>
    <row r="162" spans="1:9" s="266" customFormat="1" ht="12.75" customHeight="1">
      <c r="A162" s="1367" t="s">
        <v>494</v>
      </c>
      <c r="B162" s="407" t="s">
        <v>53</v>
      </c>
      <c r="C162" s="917" t="s">
        <v>462</v>
      </c>
      <c r="D162" s="917">
        <v>3</v>
      </c>
      <c r="E162" s="1325">
        <f>SUM(E163:E165)</f>
        <v>13559</v>
      </c>
      <c r="F162" s="1325">
        <f>SUM(F163:F165)</f>
        <v>15606</v>
      </c>
      <c r="G162" s="1325">
        <f>SUM(G163:G165)</f>
        <v>15626</v>
      </c>
      <c r="H162" s="1325">
        <f>SUM(H163:H165)</f>
        <v>15626</v>
      </c>
      <c r="I162" s="1366">
        <f>SUM(I163:I165)</f>
        <v>15413</v>
      </c>
    </row>
    <row r="163" spans="1:9" s="266" customFormat="1" ht="12.75" customHeight="1">
      <c r="A163" s="1367" t="s">
        <v>495</v>
      </c>
      <c r="B163" s="412"/>
      <c r="C163" s="919" t="s">
        <v>203</v>
      </c>
      <c r="D163" s="1115"/>
      <c r="E163" s="1326">
        <v>10543</v>
      </c>
      <c r="F163" s="1326">
        <v>12590</v>
      </c>
      <c r="G163" s="1326">
        <v>12590</v>
      </c>
      <c r="H163" s="1326">
        <v>12590</v>
      </c>
      <c r="I163" s="1364">
        <v>12214</v>
      </c>
    </row>
    <row r="164" spans="1:9" s="266" customFormat="1" ht="12.75" customHeight="1">
      <c r="A164" s="1367" t="s">
        <v>497</v>
      </c>
      <c r="B164" s="412"/>
      <c r="C164" s="919" t="s">
        <v>204</v>
      </c>
      <c r="D164" s="1115"/>
      <c r="E164" s="1326">
        <v>2881</v>
      </c>
      <c r="F164" s="1326">
        <v>2881</v>
      </c>
      <c r="G164" s="1326">
        <v>2881</v>
      </c>
      <c r="H164" s="1326">
        <v>2881</v>
      </c>
      <c r="I164" s="1364">
        <v>3184</v>
      </c>
    </row>
    <row r="165" spans="1:9" s="266" customFormat="1" ht="12.75" customHeight="1">
      <c r="A165" s="1367" t="s">
        <v>498</v>
      </c>
      <c r="B165" s="412"/>
      <c r="C165" s="964" t="s">
        <v>338</v>
      </c>
      <c r="D165" s="953"/>
      <c r="E165" s="1326">
        <v>135</v>
      </c>
      <c r="F165" s="1326">
        <v>135</v>
      </c>
      <c r="G165" s="1326">
        <v>155</v>
      </c>
      <c r="H165" s="1326">
        <v>155</v>
      </c>
      <c r="I165" s="1364">
        <v>15</v>
      </c>
    </row>
    <row r="166" spans="1:9" s="266" customFormat="1" ht="12.75" customHeight="1">
      <c r="A166" s="1367" t="s">
        <v>499</v>
      </c>
      <c r="B166" s="407" t="s">
        <v>55</v>
      </c>
      <c r="C166" s="1147" t="s">
        <v>467</v>
      </c>
      <c r="D166" s="953">
        <v>3</v>
      </c>
      <c r="E166" s="1325">
        <f>SUM(E167:E170)</f>
        <v>6798</v>
      </c>
      <c r="F166" s="1325">
        <f>SUM(F167:F170)</f>
        <v>7065</v>
      </c>
      <c r="G166" s="1325">
        <f>SUM(G167:G170)</f>
        <v>7738</v>
      </c>
      <c r="H166" s="1325">
        <f>SUM(H167:H170)</f>
        <v>7738</v>
      </c>
      <c r="I166" s="1366">
        <f>SUM(I167:I170)</f>
        <v>7826</v>
      </c>
    </row>
    <row r="167" spans="1:9" s="266" customFormat="1" ht="12.75" customHeight="1">
      <c r="A167" s="1367" t="s">
        <v>500</v>
      </c>
      <c r="B167" s="412"/>
      <c r="C167" s="964" t="s">
        <v>203</v>
      </c>
      <c r="D167" s="953"/>
      <c r="E167" s="1326">
        <v>5090</v>
      </c>
      <c r="F167" s="1326">
        <v>5090</v>
      </c>
      <c r="G167" s="1326">
        <v>5620</v>
      </c>
      <c r="H167" s="1326">
        <v>5620</v>
      </c>
      <c r="I167" s="1364">
        <v>5601</v>
      </c>
    </row>
    <row r="168" spans="1:9" s="266" customFormat="1" ht="12.75" customHeight="1">
      <c r="A168" s="1367" t="s">
        <v>502</v>
      </c>
      <c r="B168" s="412"/>
      <c r="C168" s="964" t="s">
        <v>204</v>
      </c>
      <c r="D168" s="918"/>
      <c r="E168" s="1326">
        <v>1408</v>
      </c>
      <c r="F168" s="1326">
        <v>1408</v>
      </c>
      <c r="G168" s="1326">
        <v>1551</v>
      </c>
      <c r="H168" s="1326">
        <v>1551</v>
      </c>
      <c r="I168" s="1364">
        <v>1534</v>
      </c>
    </row>
    <row r="169" spans="1:9" s="266" customFormat="1" ht="12.75" customHeight="1">
      <c r="A169" s="1367" t="s">
        <v>503</v>
      </c>
      <c r="B169" s="412"/>
      <c r="C169" s="964" t="s">
        <v>338</v>
      </c>
      <c r="D169" s="918"/>
      <c r="E169" s="1326">
        <v>300</v>
      </c>
      <c r="F169" s="1326">
        <v>567</v>
      </c>
      <c r="G169" s="1326">
        <v>567</v>
      </c>
      <c r="H169" s="1326">
        <v>567</v>
      </c>
      <c r="I169" s="1364">
        <v>680</v>
      </c>
    </row>
    <row r="170" spans="1:9" s="266" customFormat="1" ht="12.75" customHeight="1">
      <c r="A170" s="1367" t="s">
        <v>504</v>
      </c>
      <c r="B170" s="412"/>
      <c r="C170" s="964" t="s">
        <v>374</v>
      </c>
      <c r="D170" s="918"/>
      <c r="E170" s="1326"/>
      <c r="F170" s="1326"/>
      <c r="G170" s="1326"/>
      <c r="H170" s="1326"/>
      <c r="I170" s="1364">
        <v>11</v>
      </c>
    </row>
    <row r="171" spans="1:9" s="266" customFormat="1" ht="12.75" customHeight="1">
      <c r="A171" s="1367" t="s">
        <v>505</v>
      </c>
      <c r="B171" s="407" t="s">
        <v>57</v>
      </c>
      <c r="C171" s="1147" t="s">
        <v>473</v>
      </c>
      <c r="D171" s="918"/>
      <c r="E171" s="1325">
        <v>3930</v>
      </c>
      <c r="F171" s="1325">
        <v>5613</v>
      </c>
      <c r="G171" s="1325">
        <v>5613</v>
      </c>
      <c r="H171" s="1325">
        <v>6936</v>
      </c>
      <c r="I171" s="1366">
        <v>5479</v>
      </c>
    </row>
    <row r="172" spans="1:9" s="266" customFormat="1" ht="12.75" customHeight="1">
      <c r="A172" s="1367" t="s">
        <v>506</v>
      </c>
      <c r="B172" s="412"/>
      <c r="C172" s="964" t="s">
        <v>203</v>
      </c>
      <c r="D172" s="918"/>
      <c r="E172" s="1326"/>
      <c r="F172" s="1326"/>
      <c r="G172" s="1326"/>
      <c r="H172" s="1326"/>
      <c r="I172" s="1364"/>
    </row>
    <row r="173" spans="1:9" s="266" customFormat="1" ht="12.75" customHeight="1">
      <c r="A173" s="1367" t="s">
        <v>507</v>
      </c>
      <c r="B173" s="412"/>
      <c r="C173" s="964" t="s">
        <v>476</v>
      </c>
      <c r="D173" s="918"/>
      <c r="E173" s="1326"/>
      <c r="F173" s="1326"/>
      <c r="G173" s="1326"/>
      <c r="H173" s="1326"/>
      <c r="I173" s="1364"/>
    </row>
    <row r="174" spans="1:9" s="266" customFormat="1" ht="12.75" customHeight="1">
      <c r="A174" s="1367" t="s">
        <v>509</v>
      </c>
      <c r="B174" s="412"/>
      <c r="C174" s="964" t="s">
        <v>478</v>
      </c>
      <c r="D174" s="918"/>
      <c r="E174" s="1326">
        <v>3250</v>
      </c>
      <c r="F174" s="1326">
        <v>4933</v>
      </c>
      <c r="G174" s="1326">
        <v>4933</v>
      </c>
      <c r="H174" s="1326">
        <v>6256</v>
      </c>
      <c r="I174" s="1364">
        <v>5009</v>
      </c>
    </row>
    <row r="175" spans="1:9" s="266" customFormat="1" ht="12.75" customHeight="1" thickBot="1">
      <c r="A175" s="1376" t="s">
        <v>510</v>
      </c>
      <c r="B175" s="415"/>
      <c r="C175" s="1401" t="s">
        <v>374</v>
      </c>
      <c r="D175" s="1402"/>
      <c r="E175" s="1328">
        <v>680</v>
      </c>
      <c r="F175" s="1328">
        <v>680</v>
      </c>
      <c r="G175" s="1328">
        <v>680</v>
      </c>
      <c r="H175" s="1328">
        <v>680</v>
      </c>
      <c r="I175" s="1377">
        <v>470</v>
      </c>
    </row>
    <row r="176" spans="1:9" s="266" customFormat="1" ht="12.75" customHeight="1">
      <c r="A176" s="1403" t="s">
        <v>511</v>
      </c>
      <c r="B176" s="1404"/>
      <c r="C176" s="1336" t="s">
        <v>481</v>
      </c>
      <c r="D176" s="1405">
        <v>23</v>
      </c>
      <c r="E176" s="1337">
        <f>SUM(E177:E180)</f>
        <v>104966</v>
      </c>
      <c r="F176" s="1337">
        <f>SUM(F177:F180)</f>
        <v>105612</v>
      </c>
      <c r="G176" s="1337">
        <f>SUM(G177:G180)</f>
        <v>107495</v>
      </c>
      <c r="H176" s="1337">
        <f>SUM(H177:H180)</f>
        <v>108818</v>
      </c>
      <c r="I176" s="1338">
        <f>SUM(I177:I180)</f>
        <v>106798</v>
      </c>
    </row>
    <row r="177" spans="1:9" s="266" customFormat="1" ht="12.75" customHeight="1">
      <c r="A177" s="1398" t="s">
        <v>512</v>
      </c>
      <c r="B177" s="1393"/>
      <c r="C177" s="1110" t="s">
        <v>203</v>
      </c>
      <c r="D177" s="1110"/>
      <c r="E177" s="1111">
        <f>E144+E154+E163+E167+E148</f>
        <v>66790</v>
      </c>
      <c r="F177" s="1111">
        <f aca="true" t="shared" si="0" ref="F177:I178">F144+F154+F163+F167+F148+F159</f>
        <v>67323</v>
      </c>
      <c r="G177" s="1111">
        <f t="shared" si="0"/>
        <v>67533</v>
      </c>
      <c r="H177" s="1111">
        <f t="shared" si="0"/>
        <v>67533</v>
      </c>
      <c r="I177" s="1340">
        <f t="shared" si="0"/>
        <v>64788</v>
      </c>
    </row>
    <row r="178" spans="1:9" s="266" customFormat="1" ht="12.75" customHeight="1">
      <c r="A178" s="1398" t="s">
        <v>514</v>
      </c>
      <c r="B178" s="1393"/>
      <c r="C178" s="1110" t="s">
        <v>204</v>
      </c>
      <c r="D178" s="1110"/>
      <c r="E178" s="1111">
        <f>E145+E155+E164+E168+E149</f>
        <v>17241</v>
      </c>
      <c r="F178" s="1111">
        <f t="shared" si="0"/>
        <v>17354</v>
      </c>
      <c r="G178" s="1111">
        <f t="shared" si="0"/>
        <v>17441</v>
      </c>
      <c r="H178" s="1111">
        <f t="shared" si="0"/>
        <v>17441</v>
      </c>
      <c r="I178" s="1340">
        <f t="shared" si="0"/>
        <v>17780</v>
      </c>
    </row>
    <row r="179" spans="1:9" s="266" customFormat="1" ht="12.75" customHeight="1">
      <c r="A179" s="1398" t="s">
        <v>515</v>
      </c>
      <c r="B179" s="1393"/>
      <c r="C179" s="1110" t="s">
        <v>338</v>
      </c>
      <c r="D179" s="1110"/>
      <c r="E179" s="1111">
        <v>20255</v>
      </c>
      <c r="F179" s="1111">
        <v>20255</v>
      </c>
      <c r="G179" s="1111">
        <v>21841</v>
      </c>
      <c r="H179" s="1111">
        <v>23164</v>
      </c>
      <c r="I179" s="1340">
        <v>23094</v>
      </c>
    </row>
    <row r="180" spans="1:9" s="266" customFormat="1" ht="12.75" customHeight="1">
      <c r="A180" s="1398" t="s">
        <v>516</v>
      </c>
      <c r="B180" s="1393"/>
      <c r="C180" s="1110" t="s">
        <v>374</v>
      </c>
      <c r="D180" s="1110"/>
      <c r="E180" s="1111">
        <f>E175+E170+E157</f>
        <v>680</v>
      </c>
      <c r="F180" s="1111">
        <f>F175+F170+F157</f>
        <v>680</v>
      </c>
      <c r="G180" s="1111">
        <f>G175+G170+G157</f>
        <v>680</v>
      </c>
      <c r="H180" s="1111">
        <f>H175+H170+H157</f>
        <v>680</v>
      </c>
      <c r="I180" s="1340">
        <f>I175+I170+I157</f>
        <v>1136</v>
      </c>
    </row>
    <row r="181" spans="1:9" s="266" customFormat="1" ht="12.75" customHeight="1" thickBot="1">
      <c r="A181" s="1399" t="s">
        <v>517</v>
      </c>
      <c r="B181" s="1400"/>
      <c r="C181" s="1343" t="s">
        <v>150</v>
      </c>
      <c r="D181" s="1343"/>
      <c r="E181" s="1344"/>
      <c r="F181" s="1344"/>
      <c r="G181" s="1344"/>
      <c r="H181" s="1344"/>
      <c r="I181" s="1345"/>
    </row>
    <row r="182" spans="1:9" s="266" customFormat="1" ht="27.75" customHeight="1" thickBot="1">
      <c r="A182" s="1394" t="s">
        <v>519</v>
      </c>
      <c r="B182" s="1406" t="s">
        <v>179</v>
      </c>
      <c r="C182" s="1528" t="s">
        <v>488</v>
      </c>
      <c r="D182" s="1529"/>
      <c r="E182" s="1529"/>
      <c r="F182" s="1529"/>
      <c r="G182" s="1529"/>
      <c r="H182" s="1529"/>
      <c r="I182" s="1530"/>
    </row>
    <row r="183" spans="1:9" s="266" customFormat="1" ht="12.75" customHeight="1">
      <c r="A183" s="1407" t="s">
        <v>520</v>
      </c>
      <c r="B183" s="1358" t="s">
        <v>38</v>
      </c>
      <c r="C183" s="1359" t="s">
        <v>490</v>
      </c>
      <c r="D183" s="1360">
        <v>2.5</v>
      </c>
      <c r="E183" s="1361">
        <f>SUM(E184:E186)</f>
        <v>9553</v>
      </c>
      <c r="F183" s="1361">
        <f>SUM(F184:F186)</f>
        <v>10507</v>
      </c>
      <c r="G183" s="1361">
        <f>SUM(G184:G186)</f>
        <v>12657</v>
      </c>
      <c r="H183" s="1361">
        <f>SUM(H184:H187)</f>
        <v>12086</v>
      </c>
      <c r="I183" s="1362">
        <f>SUM(I184:I187)</f>
        <v>12304</v>
      </c>
    </row>
    <row r="184" spans="1:9" s="266" customFormat="1" ht="12.75" customHeight="1">
      <c r="A184" s="1363" t="s">
        <v>521</v>
      </c>
      <c r="B184" s="963"/>
      <c r="C184" s="964" t="s">
        <v>203</v>
      </c>
      <c r="D184" s="918"/>
      <c r="E184" s="1326">
        <v>5766</v>
      </c>
      <c r="F184" s="1326">
        <v>5803</v>
      </c>
      <c r="G184" s="1326">
        <v>5803</v>
      </c>
      <c r="H184" s="1326">
        <v>5803</v>
      </c>
      <c r="I184" s="1364">
        <v>6392</v>
      </c>
    </row>
    <row r="185" spans="1:9" s="266" customFormat="1" ht="12.75" customHeight="1">
      <c r="A185" s="1363" t="s">
        <v>522</v>
      </c>
      <c r="B185" s="963"/>
      <c r="C185" s="964" t="s">
        <v>204</v>
      </c>
      <c r="D185" s="918"/>
      <c r="E185" s="1326">
        <v>1577</v>
      </c>
      <c r="F185" s="1326">
        <v>1730</v>
      </c>
      <c r="G185" s="1326">
        <v>1730</v>
      </c>
      <c r="H185" s="1326">
        <v>1730</v>
      </c>
      <c r="I185" s="1364">
        <v>1726</v>
      </c>
    </row>
    <row r="186" spans="1:9" s="266" customFormat="1" ht="12.75" customHeight="1">
      <c r="A186" s="1363" t="s">
        <v>523</v>
      </c>
      <c r="B186" s="963"/>
      <c r="C186" s="964" t="s">
        <v>338</v>
      </c>
      <c r="D186" s="918"/>
      <c r="E186" s="1326">
        <v>2210</v>
      </c>
      <c r="F186" s="1326">
        <v>2974</v>
      </c>
      <c r="G186" s="1326">
        <v>5124</v>
      </c>
      <c r="H186" s="1326">
        <v>4155</v>
      </c>
      <c r="I186" s="1364">
        <v>3823</v>
      </c>
    </row>
    <row r="187" spans="1:9" s="266" customFormat="1" ht="12.75" customHeight="1">
      <c r="A187" s="1363" t="s">
        <v>525</v>
      </c>
      <c r="B187" s="963"/>
      <c r="C187" s="1144" t="s">
        <v>336</v>
      </c>
      <c r="D187" s="918"/>
      <c r="E187" s="1326"/>
      <c r="F187" s="1326"/>
      <c r="G187" s="1326"/>
      <c r="H187" s="1326">
        <v>398</v>
      </c>
      <c r="I187" s="1364">
        <v>363</v>
      </c>
    </row>
    <row r="188" spans="1:9" s="266" customFormat="1" ht="12.75" customHeight="1">
      <c r="A188" s="1363" t="s">
        <v>526</v>
      </c>
      <c r="B188" s="959" t="s">
        <v>40</v>
      </c>
      <c r="C188" s="1147" t="s">
        <v>496</v>
      </c>
      <c r="D188" s="953">
        <v>0.5</v>
      </c>
      <c r="E188" s="1325">
        <f>SUM(E189:E191)</f>
        <v>2001</v>
      </c>
      <c r="F188" s="1325">
        <f>SUM(F189:F191)</f>
        <v>2001</v>
      </c>
      <c r="G188" s="1325">
        <f>SUM(G189:G191)</f>
        <v>2001</v>
      </c>
      <c r="H188" s="1325">
        <f>SUM(H189:H191)</f>
        <v>2001</v>
      </c>
      <c r="I188" s="1366">
        <f>SUM(I189:I191)</f>
        <v>1379</v>
      </c>
    </row>
    <row r="189" spans="1:9" s="266" customFormat="1" ht="12.75" customHeight="1">
      <c r="A189" s="1363" t="s">
        <v>527</v>
      </c>
      <c r="B189" s="963"/>
      <c r="C189" s="964" t="s">
        <v>203</v>
      </c>
      <c r="D189" s="918"/>
      <c r="E189" s="1326">
        <v>786</v>
      </c>
      <c r="F189" s="1326">
        <v>786</v>
      </c>
      <c r="G189" s="1326">
        <v>786</v>
      </c>
      <c r="H189" s="1326">
        <v>786</v>
      </c>
      <c r="I189" s="1364">
        <v>362</v>
      </c>
    </row>
    <row r="190" spans="1:9" s="266" customFormat="1" ht="12.75" customHeight="1">
      <c r="A190" s="1363" t="s">
        <v>529</v>
      </c>
      <c r="B190" s="963"/>
      <c r="C190" s="964" t="s">
        <v>204</v>
      </c>
      <c r="D190" s="918"/>
      <c r="E190" s="1326">
        <v>215</v>
      </c>
      <c r="F190" s="1326">
        <v>215</v>
      </c>
      <c r="G190" s="1326">
        <v>215</v>
      </c>
      <c r="H190" s="1326">
        <v>215</v>
      </c>
      <c r="I190" s="1364">
        <v>98</v>
      </c>
    </row>
    <row r="191" spans="1:9" s="266" customFormat="1" ht="12.75" customHeight="1">
      <c r="A191" s="1363" t="s">
        <v>530</v>
      </c>
      <c r="B191" s="963"/>
      <c r="C191" s="964" t="s">
        <v>338</v>
      </c>
      <c r="D191" s="918"/>
      <c r="E191" s="1326">
        <v>1000</v>
      </c>
      <c r="F191" s="1326">
        <v>1000</v>
      </c>
      <c r="G191" s="1326">
        <v>1000</v>
      </c>
      <c r="H191" s="1326">
        <v>1000</v>
      </c>
      <c r="I191" s="1364">
        <v>919</v>
      </c>
    </row>
    <row r="192" spans="1:9" s="323" customFormat="1" ht="12.75" customHeight="1">
      <c r="A192" s="1365" t="s">
        <v>531</v>
      </c>
      <c r="B192" s="959" t="s">
        <v>47</v>
      </c>
      <c r="C192" s="1147" t="s">
        <v>913</v>
      </c>
      <c r="D192" s="953"/>
      <c r="E192" s="1325">
        <f>SUM(E193:E195)</f>
        <v>0</v>
      </c>
      <c r="F192" s="1325">
        <f>SUM(F193:F195)</f>
        <v>0</v>
      </c>
      <c r="G192" s="1325">
        <f>SUM(G193:G195)</f>
        <v>0</v>
      </c>
      <c r="H192" s="1325">
        <f>SUM(H193:H195)</f>
        <v>669</v>
      </c>
      <c r="I192" s="1366">
        <f>SUM(I193:I195)</f>
        <v>678</v>
      </c>
    </row>
    <row r="193" spans="1:9" s="266" customFormat="1" ht="12.75" customHeight="1">
      <c r="A193" s="1363" t="s">
        <v>532</v>
      </c>
      <c r="B193" s="963"/>
      <c r="C193" s="964" t="s">
        <v>203</v>
      </c>
      <c r="D193" s="918"/>
      <c r="E193" s="1326"/>
      <c r="F193" s="1326"/>
      <c r="G193" s="1326"/>
      <c r="H193" s="1326">
        <v>0</v>
      </c>
      <c r="I193" s="1364">
        <v>0</v>
      </c>
    </row>
    <row r="194" spans="1:9" s="266" customFormat="1" ht="12.75" customHeight="1">
      <c r="A194" s="1363" t="s">
        <v>533</v>
      </c>
      <c r="B194" s="963"/>
      <c r="C194" s="964" t="s">
        <v>204</v>
      </c>
      <c r="D194" s="918"/>
      <c r="E194" s="1326"/>
      <c r="F194" s="1326"/>
      <c r="G194" s="1326"/>
      <c r="H194" s="1326">
        <v>0</v>
      </c>
      <c r="I194" s="1364">
        <v>0</v>
      </c>
    </row>
    <row r="195" spans="1:9" s="266" customFormat="1" ht="12.75" customHeight="1">
      <c r="A195" s="1363" t="s">
        <v>534</v>
      </c>
      <c r="B195" s="963"/>
      <c r="C195" s="964" t="s">
        <v>338</v>
      </c>
      <c r="D195" s="918"/>
      <c r="E195" s="1326"/>
      <c r="F195" s="1326"/>
      <c r="G195" s="1326"/>
      <c r="H195" s="1326">
        <v>669</v>
      </c>
      <c r="I195" s="1364">
        <v>678</v>
      </c>
    </row>
    <row r="196" spans="1:9" s="323" customFormat="1" ht="12.75" customHeight="1">
      <c r="A196" s="1365" t="s">
        <v>535</v>
      </c>
      <c r="B196" s="959" t="s">
        <v>49</v>
      </c>
      <c r="C196" s="1147" t="s">
        <v>914</v>
      </c>
      <c r="D196" s="953"/>
      <c r="E196" s="1325"/>
      <c r="F196" s="1325"/>
      <c r="G196" s="1325"/>
      <c r="H196" s="1325">
        <f>SUM(H197:H199)</f>
        <v>693</v>
      </c>
      <c r="I196" s="1366">
        <f>SUM(I197:I199)</f>
        <v>501</v>
      </c>
    </row>
    <row r="197" spans="1:9" s="266" customFormat="1" ht="12.75" customHeight="1">
      <c r="A197" s="1363" t="s">
        <v>537</v>
      </c>
      <c r="B197" s="963"/>
      <c r="C197" s="964" t="s">
        <v>203</v>
      </c>
      <c r="D197" s="918"/>
      <c r="E197" s="1326"/>
      <c r="F197" s="1326"/>
      <c r="G197" s="1326"/>
      <c r="H197" s="1326">
        <v>0</v>
      </c>
      <c r="I197" s="1364">
        <v>0</v>
      </c>
    </row>
    <row r="198" spans="1:9" s="266" customFormat="1" ht="12.75" customHeight="1">
      <c r="A198" s="1363" t="s">
        <v>538</v>
      </c>
      <c r="B198" s="963"/>
      <c r="C198" s="964" t="s">
        <v>204</v>
      </c>
      <c r="D198" s="918"/>
      <c r="E198" s="1326"/>
      <c r="F198" s="1326"/>
      <c r="G198" s="1326"/>
      <c r="H198" s="1326">
        <v>0</v>
      </c>
      <c r="I198" s="1364">
        <v>0</v>
      </c>
    </row>
    <row r="199" spans="1:9" s="266" customFormat="1" ht="12.75" customHeight="1">
      <c r="A199" s="1363" t="s">
        <v>539</v>
      </c>
      <c r="B199" s="963"/>
      <c r="C199" s="964" t="s">
        <v>338</v>
      </c>
      <c r="D199" s="918"/>
      <c r="E199" s="1326"/>
      <c r="F199" s="1326"/>
      <c r="G199" s="1326"/>
      <c r="H199" s="1326">
        <v>693</v>
      </c>
      <c r="I199" s="1364">
        <v>501</v>
      </c>
    </row>
    <row r="200" spans="1:9" s="266" customFormat="1" ht="12.75" customHeight="1" thickBot="1">
      <c r="A200" s="1390" t="s">
        <v>540</v>
      </c>
      <c r="B200" s="1331"/>
      <c r="C200" s="1401"/>
      <c r="D200" s="1402"/>
      <c r="E200" s="1328"/>
      <c r="F200" s="1328"/>
      <c r="G200" s="1328"/>
      <c r="H200" s="1328"/>
      <c r="I200" s="1377"/>
    </row>
    <row r="201" spans="1:9" s="266" customFormat="1" ht="26.25" customHeight="1">
      <c r="A201" s="1408" t="s">
        <v>542</v>
      </c>
      <c r="B201" s="1334"/>
      <c r="C201" s="1409" t="s">
        <v>501</v>
      </c>
      <c r="D201" s="1405">
        <f>SUM(D182:D191)</f>
        <v>3</v>
      </c>
      <c r="E201" s="1337">
        <f>SUM(E202:E205)</f>
        <v>11554</v>
      </c>
      <c r="F201" s="1337">
        <f>SUM(F202:F205)</f>
        <v>12508</v>
      </c>
      <c r="G201" s="1337">
        <f>SUM(G202:G205)</f>
        <v>14658</v>
      </c>
      <c r="H201" s="1337">
        <f>SUM(H202:H205)</f>
        <v>15449</v>
      </c>
      <c r="I201" s="1338">
        <f>SUM(I202:I205)</f>
        <v>14862</v>
      </c>
    </row>
    <row r="202" spans="1:9" s="266" customFormat="1" ht="12.75" customHeight="1">
      <c r="A202" s="1339" t="s">
        <v>543</v>
      </c>
      <c r="B202" s="1109"/>
      <c r="C202" s="1110" t="s">
        <v>203</v>
      </c>
      <c r="D202" s="1110"/>
      <c r="E202" s="1111">
        <f aca="true" t="shared" si="1" ref="E202:G204">SUM(E184+E189)</f>
        <v>6552</v>
      </c>
      <c r="F202" s="1111">
        <f t="shared" si="1"/>
        <v>6589</v>
      </c>
      <c r="G202" s="1111">
        <f t="shared" si="1"/>
        <v>6589</v>
      </c>
      <c r="H202" s="1111">
        <f>SUM(H184+H189)</f>
        <v>6589</v>
      </c>
      <c r="I202" s="1340">
        <f>SUM(I184+I189)</f>
        <v>6754</v>
      </c>
    </row>
    <row r="203" spans="1:9" s="266" customFormat="1" ht="12.75" customHeight="1">
      <c r="A203" s="1339" t="s">
        <v>544</v>
      </c>
      <c r="B203" s="1109"/>
      <c r="C203" s="1110" t="s">
        <v>204</v>
      </c>
      <c r="D203" s="1110"/>
      <c r="E203" s="1111">
        <f t="shared" si="1"/>
        <v>1792</v>
      </c>
      <c r="F203" s="1111">
        <f t="shared" si="1"/>
        <v>1945</v>
      </c>
      <c r="G203" s="1111">
        <f t="shared" si="1"/>
        <v>1945</v>
      </c>
      <c r="H203" s="1111">
        <f>SUM(H185+H190)</f>
        <v>1945</v>
      </c>
      <c r="I203" s="1340">
        <f>SUM(I185+I190)</f>
        <v>1824</v>
      </c>
    </row>
    <row r="204" spans="1:9" s="266" customFormat="1" ht="12.75" customHeight="1">
      <c r="A204" s="1339" t="s">
        <v>545</v>
      </c>
      <c r="B204" s="1109"/>
      <c r="C204" s="1110" t="s">
        <v>338</v>
      </c>
      <c r="D204" s="1110"/>
      <c r="E204" s="1111">
        <f t="shared" si="1"/>
        <v>3210</v>
      </c>
      <c r="F204" s="1111">
        <f t="shared" si="1"/>
        <v>3974</v>
      </c>
      <c r="G204" s="1111">
        <f t="shared" si="1"/>
        <v>6124</v>
      </c>
      <c r="H204" s="1111">
        <v>6517</v>
      </c>
      <c r="I204" s="1340">
        <v>5921</v>
      </c>
    </row>
    <row r="205" spans="1:9" s="266" customFormat="1" ht="12.75" customHeight="1" thickBot="1">
      <c r="A205" s="1341" t="s">
        <v>546</v>
      </c>
      <c r="B205" s="1342"/>
      <c r="C205" s="1343" t="s">
        <v>374</v>
      </c>
      <c r="D205" s="1343"/>
      <c r="E205" s="1344"/>
      <c r="F205" s="1344"/>
      <c r="G205" s="1344"/>
      <c r="H205" s="1344">
        <v>398</v>
      </c>
      <c r="I205" s="1345">
        <v>363</v>
      </c>
    </row>
    <row r="206" spans="1:9" s="266" customFormat="1" ht="36.75" customHeight="1" thickBot="1">
      <c r="A206" s="1410" t="s">
        <v>547</v>
      </c>
      <c r="B206" s="1411" t="s">
        <v>180</v>
      </c>
      <c r="C206" s="1531" t="s">
        <v>323</v>
      </c>
      <c r="D206" s="1532"/>
      <c r="E206" s="1532"/>
      <c r="F206" s="1532"/>
      <c r="G206" s="1532"/>
      <c r="H206" s="1532"/>
      <c r="I206" s="1533"/>
    </row>
    <row r="207" spans="1:9" s="323" customFormat="1" ht="24" customHeight="1">
      <c r="A207" s="1407" t="s">
        <v>549</v>
      </c>
      <c r="B207" s="1358" t="s">
        <v>38</v>
      </c>
      <c r="C207" s="1426" t="s">
        <v>508</v>
      </c>
      <c r="D207" s="1360">
        <v>3</v>
      </c>
      <c r="E207" s="1361">
        <f>SUM(E208:E210)</f>
        <v>27847</v>
      </c>
      <c r="F207" s="1361">
        <f>SUM(F208:F210)</f>
        <v>27847</v>
      </c>
      <c r="G207" s="1361">
        <f>SUM(G208:G210)</f>
        <v>27847</v>
      </c>
      <c r="H207" s="1361">
        <f>SUM(H208:H210)</f>
        <v>27847</v>
      </c>
      <c r="I207" s="1362">
        <f>SUM(I208:I211)</f>
        <v>26281</v>
      </c>
    </row>
    <row r="208" spans="1:9" s="266" customFormat="1" ht="12.75" customHeight="1">
      <c r="A208" s="1363" t="s">
        <v>551</v>
      </c>
      <c r="B208" s="963"/>
      <c r="C208" s="964" t="s">
        <v>203</v>
      </c>
      <c r="D208" s="918"/>
      <c r="E208" s="1326">
        <v>6659</v>
      </c>
      <c r="F208" s="1326">
        <v>6659</v>
      </c>
      <c r="G208" s="1326">
        <v>6659</v>
      </c>
      <c r="H208" s="1326">
        <v>6659</v>
      </c>
      <c r="I208" s="1364">
        <v>5591</v>
      </c>
    </row>
    <row r="209" spans="1:9" s="266" customFormat="1" ht="12.75" customHeight="1">
      <c r="A209" s="1363" t="s">
        <v>552</v>
      </c>
      <c r="B209" s="963"/>
      <c r="C209" s="964" t="s">
        <v>476</v>
      </c>
      <c r="D209" s="918"/>
      <c r="E209" s="1326">
        <v>1841</v>
      </c>
      <c r="F209" s="1326">
        <v>1841</v>
      </c>
      <c r="G209" s="1326">
        <v>1841</v>
      </c>
      <c r="H209" s="1326">
        <v>1841</v>
      </c>
      <c r="I209" s="1364">
        <v>1559</v>
      </c>
    </row>
    <row r="210" spans="1:9" s="266" customFormat="1" ht="12.75" customHeight="1">
      <c r="A210" s="1363" t="s">
        <v>553</v>
      </c>
      <c r="B210" s="963"/>
      <c r="C210" s="964" t="s">
        <v>478</v>
      </c>
      <c r="D210" s="918"/>
      <c r="E210" s="1326">
        <v>19347</v>
      </c>
      <c r="F210" s="1326">
        <v>19347</v>
      </c>
      <c r="G210" s="1326">
        <v>19347</v>
      </c>
      <c r="H210" s="1326">
        <v>19347</v>
      </c>
      <c r="I210" s="1364">
        <v>19091</v>
      </c>
    </row>
    <row r="211" spans="1:9" s="266" customFormat="1" ht="12.75" customHeight="1">
      <c r="A211" s="1363" t="s">
        <v>554</v>
      </c>
      <c r="B211" s="963"/>
      <c r="C211" s="964" t="s">
        <v>557</v>
      </c>
      <c r="D211" s="918"/>
      <c r="E211" s="1326"/>
      <c r="F211" s="1326"/>
      <c r="G211" s="1326"/>
      <c r="H211" s="1326"/>
      <c r="I211" s="1364">
        <v>40</v>
      </c>
    </row>
    <row r="212" spans="1:9" s="266" customFormat="1" ht="30.75" customHeight="1">
      <c r="A212" s="1363" t="s">
        <v>555</v>
      </c>
      <c r="B212" s="959" t="s">
        <v>40</v>
      </c>
      <c r="C212" s="1417" t="s">
        <v>513</v>
      </c>
      <c r="D212" s="953">
        <v>1</v>
      </c>
      <c r="E212" s="1325">
        <f>SUM(E213:E215)</f>
        <v>4479</v>
      </c>
      <c r="F212" s="1325">
        <f>SUM(F213:F215)</f>
        <v>4479</v>
      </c>
      <c r="G212" s="1325">
        <f>SUM(G213:G215)</f>
        <v>4479</v>
      </c>
      <c r="H212" s="1325">
        <f>SUM(H213:H215)</f>
        <v>4479</v>
      </c>
      <c r="I212" s="1366">
        <f>SUM(I213:I216)</f>
        <v>8053</v>
      </c>
    </row>
    <row r="213" spans="1:9" s="266" customFormat="1" ht="12.75" customHeight="1">
      <c r="A213" s="1363" t="s">
        <v>556</v>
      </c>
      <c r="B213" s="963"/>
      <c r="C213" s="964" t="s">
        <v>203</v>
      </c>
      <c r="D213" s="918"/>
      <c r="E213" s="1326">
        <v>1942</v>
      </c>
      <c r="F213" s="1326">
        <v>1942</v>
      </c>
      <c r="G213" s="1326">
        <v>1942</v>
      </c>
      <c r="H213" s="1326">
        <v>1942</v>
      </c>
      <c r="I213" s="1364">
        <v>1738</v>
      </c>
    </row>
    <row r="214" spans="1:9" s="266" customFormat="1" ht="12.75" customHeight="1">
      <c r="A214" s="1363" t="s">
        <v>558</v>
      </c>
      <c r="B214" s="963"/>
      <c r="C214" s="964" t="s">
        <v>476</v>
      </c>
      <c r="D214" s="918"/>
      <c r="E214" s="1326">
        <v>537</v>
      </c>
      <c r="F214" s="1326">
        <v>537</v>
      </c>
      <c r="G214" s="1326">
        <v>537</v>
      </c>
      <c r="H214" s="1326">
        <v>537</v>
      </c>
      <c r="I214" s="1364">
        <v>505</v>
      </c>
    </row>
    <row r="215" spans="1:9" s="266" customFormat="1" ht="12.75" customHeight="1">
      <c r="A215" s="1363" t="s">
        <v>559</v>
      </c>
      <c r="B215" s="963"/>
      <c r="C215" s="964" t="s">
        <v>478</v>
      </c>
      <c r="D215" s="918"/>
      <c r="E215" s="1326">
        <v>2000</v>
      </c>
      <c r="F215" s="1326">
        <v>2000</v>
      </c>
      <c r="G215" s="1326">
        <v>2000</v>
      </c>
      <c r="H215" s="1326">
        <v>2000</v>
      </c>
      <c r="I215" s="1364">
        <v>5798</v>
      </c>
    </row>
    <row r="216" spans="1:9" s="266" customFormat="1" ht="12.75" customHeight="1">
      <c r="A216" s="1363" t="s">
        <v>560</v>
      </c>
      <c r="B216" s="963"/>
      <c r="C216" s="964" t="s">
        <v>557</v>
      </c>
      <c r="D216" s="918"/>
      <c r="E216" s="1326"/>
      <c r="F216" s="1326"/>
      <c r="G216" s="1326"/>
      <c r="H216" s="1326"/>
      <c r="I216" s="1364">
        <v>12</v>
      </c>
    </row>
    <row r="217" spans="1:9" s="266" customFormat="1" ht="29.25" customHeight="1">
      <c r="A217" s="1363" t="s">
        <v>561</v>
      </c>
      <c r="B217" s="1114" t="s">
        <v>47</v>
      </c>
      <c r="C217" s="1418" t="s">
        <v>518</v>
      </c>
      <c r="D217" s="1419">
        <v>1</v>
      </c>
      <c r="E217" s="1420">
        <f>SUM(E218:E221)</f>
        <v>191</v>
      </c>
      <c r="F217" s="1420">
        <f>SUM(F218:F221)</f>
        <v>191</v>
      </c>
      <c r="G217" s="1420">
        <f>SUM(G218:G221)</f>
        <v>191</v>
      </c>
      <c r="H217" s="1420">
        <f>SUM(H218:H221)</f>
        <v>191</v>
      </c>
      <c r="I217" s="1427">
        <f>SUM(I218:I221)</f>
        <v>4</v>
      </c>
    </row>
    <row r="218" spans="1:9" s="266" customFormat="1" ht="12.75" customHeight="1">
      <c r="A218" s="1363" t="s">
        <v>562</v>
      </c>
      <c r="B218" s="1112"/>
      <c r="C218" s="919" t="s">
        <v>203</v>
      </c>
      <c r="D218" s="1421"/>
      <c r="E218" s="1422">
        <v>30</v>
      </c>
      <c r="F218" s="1422">
        <v>30</v>
      </c>
      <c r="G218" s="1422">
        <v>30</v>
      </c>
      <c r="H218" s="1422">
        <v>30</v>
      </c>
      <c r="I218" s="1428">
        <v>0</v>
      </c>
    </row>
    <row r="219" spans="1:9" s="266" customFormat="1" ht="12.75" customHeight="1">
      <c r="A219" s="1363" t="s">
        <v>563</v>
      </c>
      <c r="B219" s="1112"/>
      <c r="C219" s="919" t="s">
        <v>204</v>
      </c>
      <c r="D219" s="1421"/>
      <c r="E219" s="1422">
        <v>8</v>
      </c>
      <c r="F219" s="1422">
        <v>8</v>
      </c>
      <c r="G219" s="1422">
        <v>8</v>
      </c>
      <c r="H219" s="1422">
        <v>8</v>
      </c>
      <c r="I219" s="1428">
        <v>0</v>
      </c>
    </row>
    <row r="220" spans="1:9" s="266" customFormat="1" ht="12.75" customHeight="1">
      <c r="A220" s="1363" t="s">
        <v>565</v>
      </c>
      <c r="B220" s="1112"/>
      <c r="C220" s="919" t="s">
        <v>338</v>
      </c>
      <c r="D220" s="1421"/>
      <c r="E220" s="1422">
        <v>153</v>
      </c>
      <c r="F220" s="1422">
        <v>153</v>
      </c>
      <c r="G220" s="1422">
        <v>153</v>
      </c>
      <c r="H220" s="1422">
        <v>153</v>
      </c>
      <c r="I220" s="1428">
        <v>4</v>
      </c>
    </row>
    <row r="221" spans="1:9" s="266" customFormat="1" ht="12.75" customHeight="1">
      <c r="A221" s="1363" t="s">
        <v>566</v>
      </c>
      <c r="B221" s="1112"/>
      <c r="C221" s="919" t="s">
        <v>374</v>
      </c>
      <c r="D221" s="1421"/>
      <c r="E221" s="1422">
        <v>0</v>
      </c>
      <c r="F221" s="1422">
        <v>0</v>
      </c>
      <c r="G221" s="1422">
        <v>0</v>
      </c>
      <c r="H221" s="1422">
        <v>0</v>
      </c>
      <c r="I221" s="1428">
        <v>0</v>
      </c>
    </row>
    <row r="222" spans="1:9" s="323" customFormat="1" ht="12.75" customHeight="1">
      <c r="A222" s="1363" t="s">
        <v>567</v>
      </c>
      <c r="B222" s="959" t="s">
        <v>49</v>
      </c>
      <c r="C222" s="1147" t="s">
        <v>524</v>
      </c>
      <c r="D222" s="953"/>
      <c r="E222" s="1325">
        <v>1500</v>
      </c>
      <c r="F222" s="1325">
        <v>1400</v>
      </c>
      <c r="G222" s="1325">
        <v>1400</v>
      </c>
      <c r="H222" s="1325">
        <v>1400</v>
      </c>
      <c r="I222" s="1366">
        <v>538</v>
      </c>
    </row>
    <row r="223" spans="1:9" s="266" customFormat="1" ht="12.75" customHeight="1">
      <c r="A223" s="1363" t="s">
        <v>568</v>
      </c>
      <c r="B223" s="963"/>
      <c r="C223" s="964" t="s">
        <v>334</v>
      </c>
      <c r="D223" s="918"/>
      <c r="E223" s="1326">
        <v>1500</v>
      </c>
      <c r="F223" s="1326">
        <v>1400</v>
      </c>
      <c r="G223" s="1326">
        <v>1400</v>
      </c>
      <c r="H223" s="1326">
        <v>1400</v>
      </c>
      <c r="I223" s="1364">
        <v>538</v>
      </c>
    </row>
    <row r="224" spans="1:9" s="266" customFormat="1" ht="12.75" customHeight="1">
      <c r="A224" s="1363" t="s">
        <v>570</v>
      </c>
      <c r="B224" s="963"/>
      <c r="C224" s="964" t="s">
        <v>374</v>
      </c>
      <c r="D224" s="918"/>
      <c r="E224" s="1326"/>
      <c r="F224" s="1326"/>
      <c r="G224" s="1326"/>
      <c r="H224" s="1326"/>
      <c r="I224" s="1364"/>
    </row>
    <row r="225" spans="1:9" s="323" customFormat="1" ht="12.75" customHeight="1">
      <c r="A225" s="1363" t="s">
        <v>572</v>
      </c>
      <c r="B225" s="959" t="s">
        <v>51</v>
      </c>
      <c r="C225" s="1147" t="s">
        <v>528</v>
      </c>
      <c r="D225" s="953"/>
      <c r="E225" s="1325">
        <v>430</v>
      </c>
      <c r="F225" s="1325">
        <v>430</v>
      </c>
      <c r="G225" s="1325">
        <v>430</v>
      </c>
      <c r="H225" s="1325">
        <v>430</v>
      </c>
      <c r="I225" s="1366">
        <v>264</v>
      </c>
    </row>
    <row r="226" spans="1:9" s="266" customFormat="1" ht="12.75" customHeight="1">
      <c r="A226" s="1363" t="s">
        <v>573</v>
      </c>
      <c r="B226" s="963"/>
      <c r="C226" s="964" t="s">
        <v>334</v>
      </c>
      <c r="D226" s="918"/>
      <c r="E226" s="1326">
        <v>430</v>
      </c>
      <c r="F226" s="1326">
        <v>430</v>
      </c>
      <c r="G226" s="1326">
        <v>430</v>
      </c>
      <c r="H226" s="1326">
        <v>430</v>
      </c>
      <c r="I226" s="1364">
        <v>264</v>
      </c>
    </row>
    <row r="227" spans="1:9" s="323" customFormat="1" ht="12.75" customHeight="1">
      <c r="A227" s="1363" t="s">
        <v>575</v>
      </c>
      <c r="B227" s="959" t="s">
        <v>53</v>
      </c>
      <c r="C227" s="1147" t="s">
        <v>391</v>
      </c>
      <c r="D227" s="953">
        <v>11</v>
      </c>
      <c r="E227" s="1325">
        <f>SUM(E228:E231)</f>
        <v>27780</v>
      </c>
      <c r="F227" s="1325">
        <f>SUM(F228:F231)</f>
        <v>34303</v>
      </c>
      <c r="G227" s="1325">
        <f>SUM(G228:G231)</f>
        <v>34303</v>
      </c>
      <c r="H227" s="1325">
        <f>SUM(H228:H231)</f>
        <v>34303</v>
      </c>
      <c r="I227" s="1366">
        <f>SUM(I228:I231)</f>
        <v>36156</v>
      </c>
    </row>
    <row r="228" spans="1:9" s="266" customFormat="1" ht="12.75" customHeight="1">
      <c r="A228" s="1363" t="s">
        <v>577</v>
      </c>
      <c r="B228" s="963"/>
      <c r="C228" s="964" t="s">
        <v>203</v>
      </c>
      <c r="D228" s="918"/>
      <c r="E228" s="1326">
        <v>21505</v>
      </c>
      <c r="F228" s="1326">
        <v>21573</v>
      </c>
      <c r="G228" s="1326">
        <v>21573</v>
      </c>
      <c r="H228" s="1326">
        <v>21573</v>
      </c>
      <c r="I228" s="1364">
        <v>21146</v>
      </c>
    </row>
    <row r="229" spans="1:9" s="266" customFormat="1" ht="12.75" customHeight="1">
      <c r="A229" s="1363" t="s">
        <v>578</v>
      </c>
      <c r="B229" s="963"/>
      <c r="C229" s="964" t="s">
        <v>476</v>
      </c>
      <c r="D229" s="918"/>
      <c r="E229" s="1326">
        <v>6025</v>
      </c>
      <c r="F229" s="1326">
        <v>6025</v>
      </c>
      <c r="G229" s="1326">
        <v>6025</v>
      </c>
      <c r="H229" s="1326">
        <v>6025</v>
      </c>
      <c r="I229" s="1364">
        <v>5632</v>
      </c>
    </row>
    <row r="230" spans="1:9" s="266" customFormat="1" ht="12.75" customHeight="1">
      <c r="A230" s="1363" t="s">
        <v>579</v>
      </c>
      <c r="B230" s="963"/>
      <c r="C230" s="964" t="s">
        <v>478</v>
      </c>
      <c r="D230" s="918"/>
      <c r="E230" s="1326"/>
      <c r="F230" s="1326">
        <v>6455</v>
      </c>
      <c r="G230" s="1326">
        <v>6455</v>
      </c>
      <c r="H230" s="1326">
        <v>6455</v>
      </c>
      <c r="I230" s="1364">
        <v>9343</v>
      </c>
    </row>
    <row r="231" spans="1:9" s="266" customFormat="1" ht="12.75" customHeight="1">
      <c r="A231" s="1363" t="s">
        <v>580</v>
      </c>
      <c r="B231" s="963"/>
      <c r="C231" s="964" t="s">
        <v>374</v>
      </c>
      <c r="D231" s="918"/>
      <c r="E231" s="1326">
        <v>250</v>
      </c>
      <c r="F231" s="1326">
        <v>250</v>
      </c>
      <c r="G231" s="1326">
        <v>250</v>
      </c>
      <c r="H231" s="1326">
        <v>250</v>
      </c>
      <c r="I231" s="1364">
        <v>35</v>
      </c>
    </row>
    <row r="232" spans="1:9" s="323" customFormat="1" ht="12.75" customHeight="1">
      <c r="A232" s="1363" t="s">
        <v>940</v>
      </c>
      <c r="B232" s="959" t="s">
        <v>55</v>
      </c>
      <c r="C232" s="1147" t="s">
        <v>536</v>
      </c>
      <c r="D232" s="953">
        <v>2</v>
      </c>
      <c r="E232" s="1325">
        <f>SUM(E233:E235)</f>
        <v>6349</v>
      </c>
      <c r="F232" s="1325">
        <f>SUM(F233:F235)</f>
        <v>6349</v>
      </c>
      <c r="G232" s="1325">
        <f>SUM(G233:G235)</f>
        <v>6349</v>
      </c>
      <c r="H232" s="1325">
        <f>SUM(H233:H235)</f>
        <v>6349</v>
      </c>
      <c r="I232" s="1366">
        <f>SUM(I233:I235)</f>
        <v>6094</v>
      </c>
    </row>
    <row r="233" spans="1:9" s="266" customFormat="1" ht="12.75" customHeight="1">
      <c r="A233" s="1363" t="s">
        <v>1265</v>
      </c>
      <c r="B233" s="963"/>
      <c r="C233" s="964" t="s">
        <v>203</v>
      </c>
      <c r="D233" s="918"/>
      <c r="E233" s="1326">
        <v>1841</v>
      </c>
      <c r="F233" s="1326">
        <v>1841</v>
      </c>
      <c r="G233" s="1326">
        <v>1841</v>
      </c>
      <c r="H233" s="1326">
        <v>1841</v>
      </c>
      <c r="I233" s="1364">
        <v>3336</v>
      </c>
    </row>
    <row r="234" spans="1:9" s="266" customFormat="1" ht="12.75" customHeight="1">
      <c r="A234" s="1363" t="s">
        <v>1266</v>
      </c>
      <c r="B234" s="963"/>
      <c r="C234" s="964" t="s">
        <v>476</v>
      </c>
      <c r="D234" s="918"/>
      <c r="E234" s="1326">
        <v>508</v>
      </c>
      <c r="F234" s="1326">
        <v>508</v>
      </c>
      <c r="G234" s="1326">
        <v>508</v>
      </c>
      <c r="H234" s="1326">
        <v>508</v>
      </c>
      <c r="I234" s="1364">
        <v>948</v>
      </c>
    </row>
    <row r="235" spans="1:9" s="266" customFormat="1" ht="12.75" customHeight="1">
      <c r="A235" s="1363" t="s">
        <v>1267</v>
      </c>
      <c r="B235" s="963"/>
      <c r="C235" s="964" t="s">
        <v>478</v>
      </c>
      <c r="D235" s="918"/>
      <c r="E235" s="1326">
        <v>4000</v>
      </c>
      <c r="F235" s="1326">
        <v>4000</v>
      </c>
      <c r="G235" s="1326">
        <v>4000</v>
      </c>
      <c r="H235" s="1326">
        <v>4000</v>
      </c>
      <c r="I235" s="1364">
        <v>1810</v>
      </c>
    </row>
    <row r="236" spans="1:9" s="323" customFormat="1" ht="12.75" customHeight="1">
      <c r="A236" s="1363" t="s">
        <v>1268</v>
      </c>
      <c r="B236" s="959" t="s">
        <v>57</v>
      </c>
      <c r="C236" s="1147" t="s">
        <v>541</v>
      </c>
      <c r="D236" s="953"/>
      <c r="E236" s="1325">
        <f>SUM(E237)</f>
        <v>800</v>
      </c>
      <c r="F236" s="1325">
        <f>SUM(F237)</f>
        <v>400</v>
      </c>
      <c r="G236" s="1325">
        <f>SUM(G237)</f>
        <v>400</v>
      </c>
      <c r="H236" s="1325">
        <f>SUM(H237)</f>
        <v>400</v>
      </c>
      <c r="I236" s="1366">
        <f>SUM(I237)</f>
        <v>638</v>
      </c>
    </row>
    <row r="237" spans="1:9" s="266" customFormat="1" ht="12.75" customHeight="1">
      <c r="A237" s="1363" t="s">
        <v>1269</v>
      </c>
      <c r="B237" s="963"/>
      <c r="C237" s="964" t="s">
        <v>334</v>
      </c>
      <c r="D237" s="918"/>
      <c r="E237" s="1326">
        <v>800</v>
      </c>
      <c r="F237" s="1326">
        <v>400</v>
      </c>
      <c r="G237" s="1326">
        <v>400</v>
      </c>
      <c r="H237" s="1326">
        <v>400</v>
      </c>
      <c r="I237" s="1364">
        <v>638</v>
      </c>
    </row>
    <row r="238" spans="1:9" s="323" customFormat="1" ht="12.75" customHeight="1">
      <c r="A238" s="1363" t="s">
        <v>1270</v>
      </c>
      <c r="B238" s="959" t="s">
        <v>86</v>
      </c>
      <c r="C238" s="1147" t="s">
        <v>1263</v>
      </c>
      <c r="D238" s="953">
        <v>4.5</v>
      </c>
      <c r="E238" s="1325">
        <f>SUM(E239:E242)</f>
        <v>18041</v>
      </c>
      <c r="F238" s="1325">
        <f>SUM(F239:F242)</f>
        <v>13986</v>
      </c>
      <c r="G238" s="1325">
        <f>SUM(G239:G242)</f>
        <v>15669</v>
      </c>
      <c r="H238" s="1325">
        <f>SUM(H239:H242)</f>
        <v>15669</v>
      </c>
      <c r="I238" s="1366">
        <f>SUM(I239:I242)</f>
        <v>7159</v>
      </c>
    </row>
    <row r="239" spans="1:9" s="266" customFormat="1" ht="12.75" customHeight="1">
      <c r="A239" s="1363" t="s">
        <v>1271</v>
      </c>
      <c r="B239" s="963"/>
      <c r="C239" s="964" t="s">
        <v>203</v>
      </c>
      <c r="D239" s="918"/>
      <c r="E239" s="1326">
        <v>6139</v>
      </c>
      <c r="F239" s="1326">
        <v>6139</v>
      </c>
      <c r="G239" s="1326">
        <v>6139</v>
      </c>
      <c r="H239" s="1326">
        <v>6139</v>
      </c>
      <c r="I239" s="1364">
        <v>2726</v>
      </c>
    </row>
    <row r="240" spans="1:9" s="266" customFormat="1" ht="12.75" customHeight="1">
      <c r="A240" s="1363" t="s">
        <v>1272</v>
      </c>
      <c r="B240" s="963"/>
      <c r="C240" s="964" t="s">
        <v>476</v>
      </c>
      <c r="D240" s="918"/>
      <c r="E240" s="1326">
        <v>1702</v>
      </c>
      <c r="F240" s="1326">
        <v>1702</v>
      </c>
      <c r="G240" s="1326">
        <v>1702</v>
      </c>
      <c r="H240" s="1326">
        <v>1702</v>
      </c>
      <c r="I240" s="1364">
        <v>754</v>
      </c>
    </row>
    <row r="241" spans="1:9" s="266" customFormat="1" ht="12.75" customHeight="1">
      <c r="A241" s="1363" t="s">
        <v>1273</v>
      </c>
      <c r="B241" s="963"/>
      <c r="C241" s="964" t="s">
        <v>478</v>
      </c>
      <c r="D241" s="918"/>
      <c r="E241" s="1326">
        <v>10000</v>
      </c>
      <c r="F241" s="1326">
        <v>5945</v>
      </c>
      <c r="G241" s="1326">
        <v>7628</v>
      </c>
      <c r="H241" s="1326">
        <v>7628</v>
      </c>
      <c r="I241" s="1364">
        <v>3679</v>
      </c>
    </row>
    <row r="242" spans="1:9" s="266" customFormat="1" ht="12.75" customHeight="1">
      <c r="A242" s="1363" t="s">
        <v>1274</v>
      </c>
      <c r="B242" s="963"/>
      <c r="C242" s="1423" t="s">
        <v>548</v>
      </c>
      <c r="D242" s="918"/>
      <c r="E242" s="1326">
        <v>200</v>
      </c>
      <c r="F242" s="1326">
        <v>200</v>
      </c>
      <c r="G242" s="1326">
        <v>200</v>
      </c>
      <c r="H242" s="1326">
        <v>200</v>
      </c>
      <c r="I242" s="1364">
        <v>0</v>
      </c>
    </row>
    <row r="243" spans="1:9" s="323" customFormat="1" ht="12.75" customHeight="1">
      <c r="A243" s="1365" t="s">
        <v>1275</v>
      </c>
      <c r="B243" s="959" t="s">
        <v>59</v>
      </c>
      <c r="C243" s="1147" t="s">
        <v>1264</v>
      </c>
      <c r="D243" s="953"/>
      <c r="E243" s="1325"/>
      <c r="F243" s="1325"/>
      <c r="G243" s="1325"/>
      <c r="H243" s="1325"/>
      <c r="I243" s="1366">
        <v>5981</v>
      </c>
    </row>
    <row r="244" spans="1:9" s="266" customFormat="1" ht="12.75" customHeight="1">
      <c r="A244" s="1363" t="s">
        <v>1276</v>
      </c>
      <c r="B244" s="963"/>
      <c r="C244" s="964" t="s">
        <v>203</v>
      </c>
      <c r="D244" s="918"/>
      <c r="E244" s="1326"/>
      <c r="F244" s="1326"/>
      <c r="G244" s="1326"/>
      <c r="H244" s="1326"/>
      <c r="I244" s="1364">
        <v>1609</v>
      </c>
    </row>
    <row r="245" spans="1:9" s="266" customFormat="1" ht="12.75" customHeight="1">
      <c r="A245" s="1363" t="s">
        <v>1277</v>
      </c>
      <c r="B245" s="963"/>
      <c r="C245" s="964" t="s">
        <v>476</v>
      </c>
      <c r="D245" s="918"/>
      <c r="E245" s="1326"/>
      <c r="F245" s="1326"/>
      <c r="G245" s="1326"/>
      <c r="H245" s="1326"/>
      <c r="I245" s="1364">
        <v>434</v>
      </c>
    </row>
    <row r="246" spans="1:9" s="266" customFormat="1" ht="12.75" customHeight="1">
      <c r="A246" s="1363" t="s">
        <v>1278</v>
      </c>
      <c r="B246" s="963"/>
      <c r="C246" s="964" t="s">
        <v>478</v>
      </c>
      <c r="D246" s="918"/>
      <c r="E246" s="1326"/>
      <c r="F246" s="1326"/>
      <c r="G246" s="1326"/>
      <c r="H246" s="1326"/>
      <c r="I246" s="1364">
        <v>3938</v>
      </c>
    </row>
    <row r="247" spans="1:9" s="266" customFormat="1" ht="12.75" customHeight="1">
      <c r="A247" s="1363" t="s">
        <v>1279</v>
      </c>
      <c r="B247" s="963"/>
      <c r="C247" s="1423" t="s">
        <v>548</v>
      </c>
      <c r="D247" s="918"/>
      <c r="E247" s="1326"/>
      <c r="F247" s="1326"/>
      <c r="G247" s="1326"/>
      <c r="H247" s="1326"/>
      <c r="I247" s="1364"/>
    </row>
    <row r="248" spans="1:9" s="12" customFormat="1" ht="14.25" customHeight="1">
      <c r="A248" s="1363" t="s">
        <v>1280</v>
      </c>
      <c r="B248" s="1146" t="s">
        <v>61</v>
      </c>
      <c r="C248" s="1146" t="s">
        <v>550</v>
      </c>
      <c r="D248" s="1146"/>
      <c r="E248" s="1325">
        <f>SUM(E249)</f>
        <v>720</v>
      </c>
      <c r="F248" s="1325">
        <f>SUM(F249)</f>
        <v>720</v>
      </c>
      <c r="G248" s="1325">
        <f>SUM(G249)</f>
        <v>720</v>
      </c>
      <c r="H248" s="1325">
        <f>SUM(H249)</f>
        <v>720</v>
      </c>
      <c r="I248" s="1366">
        <f>SUM(I249)</f>
        <v>0</v>
      </c>
    </row>
    <row r="249" spans="1:250" ht="12.75" customHeight="1">
      <c r="A249" s="1363" t="s">
        <v>1281</v>
      </c>
      <c r="B249" s="1142"/>
      <c r="C249" s="1142" t="s">
        <v>334</v>
      </c>
      <c r="D249" s="1142"/>
      <c r="E249" s="1326">
        <v>720</v>
      </c>
      <c r="F249" s="1326">
        <v>720</v>
      </c>
      <c r="G249" s="1326">
        <v>720</v>
      </c>
      <c r="H249" s="1326">
        <v>720</v>
      </c>
      <c r="I249" s="1364">
        <v>0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1:250" ht="12.75" customHeight="1">
      <c r="A250" s="1363" t="s">
        <v>1282</v>
      </c>
      <c r="B250" s="1146" t="s">
        <v>63</v>
      </c>
      <c r="C250" s="1146" t="s">
        <v>386</v>
      </c>
      <c r="D250" s="1146">
        <v>12</v>
      </c>
      <c r="E250" s="1424">
        <f>SUM(E251:E253)</f>
        <v>14288</v>
      </c>
      <c r="F250" s="1424">
        <f>SUM(F251:F253)</f>
        <v>14288</v>
      </c>
      <c r="G250" s="1424">
        <f>SUM(G251:G254)</f>
        <v>16288</v>
      </c>
      <c r="H250" s="1424">
        <f>SUM(H251:H254)</f>
        <v>16288</v>
      </c>
      <c r="I250" s="954">
        <f>SUM(I251:I254)</f>
        <v>16664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</row>
    <row r="251" spans="1:250" ht="12.75" customHeight="1">
      <c r="A251" s="1363" t="s">
        <v>1283</v>
      </c>
      <c r="B251" s="1142"/>
      <c r="C251" s="964" t="s">
        <v>203</v>
      </c>
      <c r="D251" s="1142"/>
      <c r="E251" s="1425">
        <v>12324</v>
      </c>
      <c r="F251" s="1425">
        <v>12324</v>
      </c>
      <c r="G251" s="1425">
        <v>12324</v>
      </c>
      <c r="H251" s="1425">
        <v>12324</v>
      </c>
      <c r="I251" s="942">
        <v>12673</v>
      </c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</row>
    <row r="252" spans="1:250" ht="12.75" customHeight="1">
      <c r="A252" s="1363" t="s">
        <v>1284</v>
      </c>
      <c r="B252" s="1142"/>
      <c r="C252" s="964" t="s">
        <v>476</v>
      </c>
      <c r="D252" s="1142"/>
      <c r="E252" s="1425">
        <v>1664</v>
      </c>
      <c r="F252" s="1425">
        <v>1664</v>
      </c>
      <c r="G252" s="1425">
        <v>1664</v>
      </c>
      <c r="H252" s="1425">
        <v>1664</v>
      </c>
      <c r="I252" s="942">
        <v>1727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</row>
    <row r="253" spans="1:250" ht="12.75" customHeight="1">
      <c r="A253" s="1363" t="s">
        <v>1285</v>
      </c>
      <c r="B253" s="1142"/>
      <c r="C253" s="964" t="s">
        <v>478</v>
      </c>
      <c r="D253" s="1142"/>
      <c r="E253" s="1425">
        <v>300</v>
      </c>
      <c r="F253" s="1425">
        <v>300</v>
      </c>
      <c r="G253" s="1425">
        <v>300</v>
      </c>
      <c r="H253" s="1425">
        <v>300</v>
      </c>
      <c r="I253" s="942">
        <v>584</v>
      </c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</row>
    <row r="254" spans="1:250" ht="12.75" customHeight="1" thickBot="1">
      <c r="A254" s="1390" t="s">
        <v>1286</v>
      </c>
      <c r="B254" s="1429"/>
      <c r="C254" s="1401" t="s">
        <v>557</v>
      </c>
      <c r="D254" s="1429"/>
      <c r="E254" s="1430">
        <v>0</v>
      </c>
      <c r="F254" s="1430">
        <v>0</v>
      </c>
      <c r="G254" s="1430">
        <v>2000</v>
      </c>
      <c r="H254" s="1430">
        <v>2000</v>
      </c>
      <c r="I254" s="1431">
        <v>1680</v>
      </c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</row>
    <row r="255" spans="1:9" s="266" customFormat="1" ht="12.75" customHeight="1">
      <c r="A255" s="1407" t="s">
        <v>1287</v>
      </c>
      <c r="B255" s="1392"/>
      <c r="C255" s="1335" t="s">
        <v>323</v>
      </c>
      <c r="D255" s="1432">
        <v>34.5</v>
      </c>
      <c r="E255" s="1337">
        <f>SUM(E256:E259)</f>
        <v>102425</v>
      </c>
      <c r="F255" s="1337">
        <f>SUM(F256:F259)</f>
        <v>104393</v>
      </c>
      <c r="G255" s="1337">
        <f>SUM(G256:G259)</f>
        <v>108076</v>
      </c>
      <c r="H255" s="1337">
        <f>SUM(H256:H259)</f>
        <v>108076</v>
      </c>
      <c r="I255" s="1338">
        <f>SUM(I256:I259)</f>
        <v>107831</v>
      </c>
    </row>
    <row r="256" spans="1:9" s="266" customFormat="1" ht="12.75" customHeight="1">
      <c r="A256" s="1363" t="s">
        <v>1288</v>
      </c>
      <c r="B256" s="1109"/>
      <c r="C256" s="1110" t="s">
        <v>203</v>
      </c>
      <c r="D256" s="1110"/>
      <c r="E256" s="1111">
        <v>50440</v>
      </c>
      <c r="F256" s="1111">
        <v>50508</v>
      </c>
      <c r="G256" s="1111">
        <v>50508</v>
      </c>
      <c r="H256" s="1111">
        <v>50508</v>
      </c>
      <c r="I256" s="1340">
        <v>48819</v>
      </c>
    </row>
    <row r="257" spans="1:9" s="266" customFormat="1" ht="12.75" customHeight="1">
      <c r="A257" s="1363" t="s">
        <v>1289</v>
      </c>
      <c r="B257" s="1109"/>
      <c r="C257" s="1110" t="s">
        <v>204</v>
      </c>
      <c r="D257" s="1110"/>
      <c r="E257" s="1111">
        <v>12285</v>
      </c>
      <c r="F257" s="1111">
        <v>12285</v>
      </c>
      <c r="G257" s="1111">
        <v>12285</v>
      </c>
      <c r="H257" s="1111">
        <v>12285</v>
      </c>
      <c r="I257" s="1340">
        <v>11558</v>
      </c>
    </row>
    <row r="258" spans="1:9" s="266" customFormat="1" ht="12.75" customHeight="1">
      <c r="A258" s="1363" t="s">
        <v>1290</v>
      </c>
      <c r="B258" s="1109"/>
      <c r="C258" s="1110" t="s">
        <v>338</v>
      </c>
      <c r="D258" s="1110"/>
      <c r="E258" s="1111">
        <v>39250</v>
      </c>
      <c r="F258" s="1111">
        <v>41150</v>
      </c>
      <c r="G258" s="1111">
        <v>42833</v>
      </c>
      <c r="H258" s="1111">
        <v>42833</v>
      </c>
      <c r="I258" s="1340">
        <v>45687</v>
      </c>
    </row>
    <row r="259" spans="1:9" s="266" customFormat="1" ht="12.75" customHeight="1" thickBot="1">
      <c r="A259" s="1378" t="s">
        <v>1291</v>
      </c>
      <c r="B259" s="1342"/>
      <c r="C259" s="1343" t="s">
        <v>374</v>
      </c>
      <c r="D259" s="1343"/>
      <c r="E259" s="1344">
        <v>450</v>
      </c>
      <c r="F259" s="1344">
        <v>450</v>
      </c>
      <c r="G259" s="1344">
        <v>2450</v>
      </c>
      <c r="H259" s="1344">
        <v>2450</v>
      </c>
      <c r="I259" s="1345">
        <v>1767</v>
      </c>
    </row>
    <row r="260" spans="1:9" s="266" customFormat="1" ht="37.5" customHeight="1" thickBot="1">
      <c r="A260" s="455" t="s">
        <v>1292</v>
      </c>
      <c r="B260" s="1412" t="s">
        <v>182</v>
      </c>
      <c r="C260" s="1413" t="s">
        <v>564</v>
      </c>
      <c r="D260" s="1414">
        <f>SUM(D261:D269)-D268</f>
        <v>0</v>
      </c>
      <c r="E260" s="1415">
        <f>SUM(E261:E273)</f>
        <v>853590</v>
      </c>
      <c r="F260" s="1416">
        <f>SUM(F261:F273)</f>
        <v>963654</v>
      </c>
      <c r="G260" s="1416">
        <f>SUM(G261:G273)</f>
        <v>977000</v>
      </c>
      <c r="H260" s="1416">
        <f>SUM(H261:H273)</f>
        <v>966955</v>
      </c>
      <c r="I260" s="1416">
        <f>SUM(I261:I273)</f>
        <v>961725</v>
      </c>
    </row>
    <row r="261" spans="1:9" s="266" customFormat="1" ht="12.75" customHeight="1">
      <c r="A261" s="411" t="s">
        <v>1293</v>
      </c>
      <c r="B261" s="445"/>
      <c r="C261" s="446" t="s">
        <v>203</v>
      </c>
      <c r="D261" s="446">
        <f>D256+D202+D177+D137+D107</f>
        <v>0</v>
      </c>
      <c r="E261" s="447">
        <v>212878</v>
      </c>
      <c r="F261" s="448">
        <v>213699</v>
      </c>
      <c r="G261" s="448">
        <v>215164</v>
      </c>
      <c r="H261" s="448">
        <v>215804</v>
      </c>
      <c r="I261" s="448">
        <v>208760</v>
      </c>
    </row>
    <row r="262" spans="1:9" s="266" customFormat="1" ht="12.75" customHeight="1">
      <c r="A262" s="411" t="s">
        <v>1294</v>
      </c>
      <c r="B262" s="449"/>
      <c r="C262" s="424" t="s">
        <v>204</v>
      </c>
      <c r="D262" s="424">
        <f>D108+D138+D178+D203+D257</f>
        <v>0</v>
      </c>
      <c r="E262" s="425">
        <v>54992</v>
      </c>
      <c r="F262" s="426">
        <v>55258</v>
      </c>
      <c r="G262" s="426">
        <v>55669</v>
      </c>
      <c r="H262" s="426">
        <v>55844</v>
      </c>
      <c r="I262" s="426">
        <v>54406</v>
      </c>
    </row>
    <row r="263" spans="1:9" s="266" customFormat="1" ht="12.75" customHeight="1">
      <c r="A263" s="411" t="s">
        <v>1295</v>
      </c>
      <c r="B263" s="449"/>
      <c r="C263" s="424" t="s">
        <v>338</v>
      </c>
      <c r="D263" s="424">
        <f>D109+D139+D179+D204+D258</f>
        <v>0</v>
      </c>
      <c r="E263" s="425">
        <v>119228</v>
      </c>
      <c r="F263" s="426">
        <v>120994</v>
      </c>
      <c r="G263" s="426">
        <v>147606</v>
      </c>
      <c r="H263" s="426">
        <v>155798</v>
      </c>
      <c r="I263" s="426">
        <v>166395</v>
      </c>
    </row>
    <row r="264" spans="1:9" s="266" customFormat="1" ht="24.75" customHeight="1">
      <c r="A264" s="411" t="s">
        <v>1296</v>
      </c>
      <c r="B264" s="449"/>
      <c r="C264" s="450" t="s">
        <v>569</v>
      </c>
      <c r="D264" s="424">
        <f>D110</f>
        <v>0</v>
      </c>
      <c r="E264" s="425">
        <v>32764</v>
      </c>
      <c r="F264" s="426">
        <v>33612</v>
      </c>
      <c r="G264" s="426">
        <v>35977</v>
      </c>
      <c r="H264" s="426">
        <v>36072</v>
      </c>
      <c r="I264" s="426">
        <v>34574</v>
      </c>
    </row>
    <row r="265" spans="1:9" s="266" customFormat="1" ht="12.75" customHeight="1">
      <c r="A265" s="411" t="s">
        <v>1297</v>
      </c>
      <c r="B265" s="423"/>
      <c r="C265" s="424" t="s">
        <v>571</v>
      </c>
      <c r="D265" s="424">
        <f>D111</f>
        <v>0</v>
      </c>
      <c r="E265" s="425">
        <f>E111</f>
        <v>3210</v>
      </c>
      <c r="F265" s="426">
        <f>F111</f>
        <v>3210</v>
      </c>
      <c r="G265" s="426">
        <f>G111</f>
        <v>3210</v>
      </c>
      <c r="H265" s="426">
        <f>H111</f>
        <v>3274</v>
      </c>
      <c r="I265" s="426">
        <f>I111</f>
        <v>3228</v>
      </c>
    </row>
    <row r="266" spans="1:9" s="266" customFormat="1" ht="12.75" customHeight="1">
      <c r="A266" s="411" t="s">
        <v>1298</v>
      </c>
      <c r="B266" s="423"/>
      <c r="C266" s="424" t="s">
        <v>336</v>
      </c>
      <c r="D266" s="424">
        <f>D113+D259+D180+D140</f>
        <v>0</v>
      </c>
      <c r="E266" s="425">
        <f>E113+E259+E180+E140</f>
        <v>127072</v>
      </c>
      <c r="F266" s="426">
        <f>F113+F259+F180+F140</f>
        <v>145331</v>
      </c>
      <c r="G266" s="426">
        <f>G113+G259+G180+G140</f>
        <v>121325</v>
      </c>
      <c r="H266" s="426">
        <v>98715</v>
      </c>
      <c r="I266" s="426">
        <v>101209</v>
      </c>
    </row>
    <row r="267" spans="1:9" s="266" customFormat="1" ht="12.75" customHeight="1">
      <c r="A267" s="411" t="s">
        <v>1299</v>
      </c>
      <c r="B267" s="423"/>
      <c r="C267" s="424" t="s">
        <v>939</v>
      </c>
      <c r="D267" s="424"/>
      <c r="E267" s="425"/>
      <c r="F267" s="426"/>
      <c r="G267" s="426"/>
      <c r="H267" s="426">
        <v>805</v>
      </c>
      <c r="I267" s="426">
        <v>1577</v>
      </c>
    </row>
    <row r="268" spans="1:9" s="266" customFormat="1" ht="12.75" customHeight="1">
      <c r="A268" s="411" t="s">
        <v>1300</v>
      </c>
      <c r="B268" s="423"/>
      <c r="C268" s="424" t="s">
        <v>574</v>
      </c>
      <c r="D268" s="424"/>
      <c r="E268" s="425">
        <v>248771</v>
      </c>
      <c r="F268" s="426">
        <v>252365</v>
      </c>
      <c r="G268" s="426">
        <v>274349</v>
      </c>
      <c r="H268" s="426">
        <v>276745</v>
      </c>
      <c r="I268" s="426">
        <v>262445</v>
      </c>
    </row>
    <row r="269" spans="1:9" s="266" customFormat="1" ht="12.75" customHeight="1">
      <c r="A269" s="411" t="s">
        <v>1301</v>
      </c>
      <c r="B269" s="423"/>
      <c r="C269" s="424" t="s">
        <v>576</v>
      </c>
      <c r="D269" s="424"/>
      <c r="E269" s="425">
        <v>36582</v>
      </c>
      <c r="F269" s="426">
        <v>51720</v>
      </c>
      <c r="G269" s="426">
        <v>33726</v>
      </c>
      <c r="H269" s="426">
        <v>33438</v>
      </c>
      <c r="I269" s="426">
        <v>37290</v>
      </c>
    </row>
    <row r="270" spans="1:9" s="266" customFormat="1" ht="25.5" customHeight="1">
      <c r="A270" s="411" t="s">
        <v>1302</v>
      </c>
      <c r="B270" s="423"/>
      <c r="C270" s="450" t="s">
        <v>213</v>
      </c>
      <c r="D270" s="424"/>
      <c r="E270" s="425">
        <v>6052</v>
      </c>
      <c r="F270" s="426">
        <v>7406</v>
      </c>
      <c r="G270" s="426">
        <v>9718</v>
      </c>
      <c r="H270" s="426">
        <v>10204</v>
      </c>
      <c r="I270" s="426">
        <v>11585</v>
      </c>
    </row>
    <row r="271" spans="1:9" s="266" customFormat="1" ht="12.75" customHeight="1">
      <c r="A271" s="411" t="s">
        <v>1303</v>
      </c>
      <c r="B271" s="423"/>
      <c r="C271" s="450" t="s">
        <v>195</v>
      </c>
      <c r="D271" s="424"/>
      <c r="E271" s="425">
        <v>0</v>
      </c>
      <c r="F271" s="426">
        <v>0</v>
      </c>
      <c r="G271" s="426">
        <v>0</v>
      </c>
      <c r="H271" s="426">
        <v>0</v>
      </c>
      <c r="I271" s="426">
        <v>0</v>
      </c>
    </row>
    <row r="272" spans="1:9" s="266" customFormat="1" ht="12.75" customHeight="1">
      <c r="A272" s="411" t="s">
        <v>1304</v>
      </c>
      <c r="B272" s="429"/>
      <c r="C272" s="451" t="s">
        <v>381</v>
      </c>
      <c r="D272" s="452"/>
      <c r="E272" s="453">
        <v>0</v>
      </c>
      <c r="F272" s="454">
        <v>59</v>
      </c>
      <c r="G272" s="454">
        <v>256</v>
      </c>
      <c r="H272" s="454">
        <v>256</v>
      </c>
      <c r="I272" s="454">
        <v>256</v>
      </c>
    </row>
    <row r="273" spans="1:9" s="266" customFormat="1" ht="12.75" customHeight="1" thickBot="1">
      <c r="A273" s="455" t="s">
        <v>1305</v>
      </c>
      <c r="B273" s="456"/>
      <c r="C273" s="328" t="s">
        <v>243</v>
      </c>
      <c r="D273" s="328"/>
      <c r="E273" s="457">
        <v>12041</v>
      </c>
      <c r="F273" s="361">
        <v>80000</v>
      </c>
      <c r="G273" s="361">
        <v>80000</v>
      </c>
      <c r="H273" s="361">
        <v>80000</v>
      </c>
      <c r="I273" s="361">
        <v>80000</v>
      </c>
    </row>
    <row r="274" spans="1:9" s="266" customFormat="1" ht="12.75" customHeight="1">
      <c r="A274" s="458"/>
      <c r="B274" s="267"/>
      <c r="E274" s="57"/>
      <c r="F274" s="57"/>
      <c r="G274" s="57"/>
      <c r="H274" s="57"/>
      <c r="I274" s="57"/>
    </row>
    <row r="275" spans="1:9" s="266" customFormat="1" ht="12.75" customHeight="1">
      <c r="A275" s="458"/>
      <c r="B275" s="267"/>
      <c r="E275" s="57"/>
      <c r="F275" s="57"/>
      <c r="G275" s="57"/>
      <c r="H275" s="57"/>
      <c r="I275" s="57"/>
    </row>
    <row r="276" spans="1:9" s="266" customFormat="1" ht="12.75" customHeight="1">
      <c r="A276" s="458"/>
      <c r="B276" s="267"/>
      <c r="E276" s="57"/>
      <c r="F276" s="57"/>
      <c r="G276" s="57"/>
      <c r="H276" s="57"/>
      <c r="I276" s="57"/>
    </row>
    <row r="277" spans="1:9" s="266" customFormat="1" ht="12.75" customHeight="1">
      <c r="A277" s="458"/>
      <c r="B277" s="267"/>
      <c r="E277" s="57"/>
      <c r="F277" s="57"/>
      <c r="G277" s="57"/>
      <c r="H277" s="57"/>
      <c r="I277" s="57"/>
    </row>
    <row r="278" spans="1:9" s="266" customFormat="1" ht="12.75" customHeight="1">
      <c r="A278" s="458"/>
      <c r="B278" s="267"/>
      <c r="E278" s="57"/>
      <c r="F278" s="57"/>
      <c r="G278" s="57"/>
      <c r="H278" s="57"/>
      <c r="I278" s="57"/>
    </row>
    <row r="279" spans="1:9" s="266" customFormat="1" ht="12.75" customHeight="1">
      <c r="A279" s="458"/>
      <c r="B279" s="267"/>
      <c r="E279" s="57"/>
      <c r="F279" s="57"/>
      <c r="G279" s="57"/>
      <c r="H279" s="57"/>
      <c r="I279" s="57"/>
    </row>
    <row r="280" spans="1:9" s="266" customFormat="1" ht="12.75" customHeight="1">
      <c r="A280" s="458"/>
      <c r="B280" s="267"/>
      <c r="E280" s="57"/>
      <c r="F280" s="57"/>
      <c r="G280" s="57"/>
      <c r="H280" s="57"/>
      <c r="I280" s="57"/>
    </row>
    <row r="281" spans="1:9" s="266" customFormat="1" ht="12.75" customHeight="1">
      <c r="A281" s="458"/>
      <c r="B281" s="267"/>
      <c r="E281" s="57"/>
      <c r="F281" s="57"/>
      <c r="G281" s="57"/>
      <c r="H281" s="57"/>
      <c r="I281" s="57"/>
    </row>
    <row r="282" spans="1:9" s="266" customFormat="1" ht="12.75" customHeight="1">
      <c r="A282" s="458"/>
      <c r="B282" s="267"/>
      <c r="E282" s="57"/>
      <c r="F282" s="57"/>
      <c r="G282" s="57"/>
      <c r="H282" s="57"/>
      <c r="I282" s="57"/>
    </row>
    <row r="283" spans="1:9" s="266" customFormat="1" ht="12.75" customHeight="1">
      <c r="A283" s="458"/>
      <c r="B283" s="267"/>
      <c r="E283" s="57"/>
      <c r="F283" s="57"/>
      <c r="G283" s="57"/>
      <c r="H283" s="57"/>
      <c r="I283" s="57"/>
    </row>
    <row r="284" spans="1:9" s="266" customFormat="1" ht="12.75" customHeight="1">
      <c r="A284" s="458"/>
      <c r="B284" s="267"/>
      <c r="E284" s="57"/>
      <c r="F284" s="57"/>
      <c r="G284" s="57"/>
      <c r="H284" s="57"/>
      <c r="I284" s="57"/>
    </row>
    <row r="285" spans="1:9" s="266" customFormat="1" ht="12.75" customHeight="1">
      <c r="A285" s="458"/>
      <c r="B285" s="267"/>
      <c r="E285" s="57"/>
      <c r="F285" s="57"/>
      <c r="G285" s="57"/>
      <c r="H285" s="57"/>
      <c r="I285" s="57"/>
    </row>
    <row r="286" spans="1:9" s="266" customFormat="1" ht="12.75" customHeight="1">
      <c r="A286" s="458"/>
      <c r="B286" s="267"/>
      <c r="E286" s="57"/>
      <c r="F286" s="57"/>
      <c r="G286" s="57"/>
      <c r="H286" s="57"/>
      <c r="I286" s="57"/>
    </row>
    <row r="287" spans="1:9" s="266" customFormat="1" ht="12.75" customHeight="1">
      <c r="A287" s="458"/>
      <c r="B287" s="267"/>
      <c r="E287" s="57"/>
      <c r="F287" s="57"/>
      <c r="G287" s="57"/>
      <c r="H287" s="57"/>
      <c r="I287" s="57"/>
    </row>
    <row r="288" spans="1:9" s="266" customFormat="1" ht="12.75" customHeight="1">
      <c r="A288" s="458"/>
      <c r="B288" s="267"/>
      <c r="E288" s="57"/>
      <c r="F288" s="57"/>
      <c r="G288" s="57"/>
      <c r="H288" s="57"/>
      <c r="I288" s="57"/>
    </row>
    <row r="289" spans="1:9" s="266" customFormat="1" ht="12.75" customHeight="1">
      <c r="A289" s="458"/>
      <c r="B289" s="267"/>
      <c r="E289" s="57"/>
      <c r="F289" s="57"/>
      <c r="G289" s="57"/>
      <c r="H289" s="57"/>
      <c r="I289" s="57"/>
    </row>
    <row r="290" spans="1:9" s="266" customFormat="1" ht="12.75" customHeight="1">
      <c r="A290" s="458"/>
      <c r="B290" s="267"/>
      <c r="E290" s="57"/>
      <c r="F290" s="57"/>
      <c r="G290" s="57"/>
      <c r="H290" s="57"/>
      <c r="I290" s="57"/>
    </row>
    <row r="291" spans="1:9" s="266" customFormat="1" ht="12.75" customHeight="1">
      <c r="A291" s="458"/>
      <c r="B291" s="267"/>
      <c r="E291" s="57"/>
      <c r="F291" s="57"/>
      <c r="G291" s="57"/>
      <c r="H291" s="57"/>
      <c r="I291" s="57"/>
    </row>
    <row r="292" spans="1:9" s="266" customFormat="1" ht="12.75" customHeight="1">
      <c r="A292" s="458"/>
      <c r="B292" s="267"/>
      <c r="E292" s="57"/>
      <c r="F292" s="57"/>
      <c r="G292" s="57"/>
      <c r="H292" s="57"/>
      <c r="I292" s="57"/>
    </row>
    <row r="293" spans="1:9" s="266" customFormat="1" ht="12.75" customHeight="1">
      <c r="A293" s="458"/>
      <c r="B293" s="267"/>
      <c r="E293" s="57"/>
      <c r="F293" s="57"/>
      <c r="G293" s="57"/>
      <c r="H293" s="57"/>
      <c r="I293" s="57"/>
    </row>
    <row r="294" spans="1:9" s="266" customFormat="1" ht="12.75" customHeight="1">
      <c r="A294" s="458"/>
      <c r="B294" s="267"/>
      <c r="E294" s="57"/>
      <c r="F294" s="57"/>
      <c r="G294" s="57"/>
      <c r="H294" s="57"/>
      <c r="I294" s="57"/>
    </row>
    <row r="295" spans="1:9" s="266" customFormat="1" ht="12.75" customHeight="1">
      <c r="A295" s="458"/>
      <c r="B295" s="267"/>
      <c r="E295" s="57"/>
      <c r="F295" s="57"/>
      <c r="G295" s="57"/>
      <c r="H295" s="57"/>
      <c r="I295" s="57"/>
    </row>
    <row r="296" spans="1:9" s="266" customFormat="1" ht="12.75" customHeight="1">
      <c r="A296" s="458"/>
      <c r="B296" s="267"/>
      <c r="E296" s="57"/>
      <c r="F296" s="57"/>
      <c r="G296" s="57"/>
      <c r="H296" s="57"/>
      <c r="I296" s="57"/>
    </row>
    <row r="297" spans="1:9" s="266" customFormat="1" ht="12.75" customHeight="1">
      <c r="A297" s="458"/>
      <c r="B297" s="267"/>
      <c r="E297" s="57"/>
      <c r="F297" s="57"/>
      <c r="G297" s="57"/>
      <c r="H297" s="57"/>
      <c r="I297" s="57"/>
    </row>
    <row r="298" spans="1:9" s="266" customFormat="1" ht="12.75" customHeight="1">
      <c r="A298" s="458"/>
      <c r="B298" s="267"/>
      <c r="E298" s="57"/>
      <c r="F298" s="57"/>
      <c r="G298" s="57"/>
      <c r="H298" s="57"/>
      <c r="I298" s="57"/>
    </row>
    <row r="299" spans="1:9" s="266" customFormat="1" ht="12.75" customHeight="1">
      <c r="A299" s="458"/>
      <c r="B299" s="267"/>
      <c r="E299" s="57"/>
      <c r="F299" s="57"/>
      <c r="G299" s="57"/>
      <c r="H299" s="57"/>
      <c r="I299" s="57"/>
    </row>
    <row r="300" spans="1:9" s="266" customFormat="1" ht="12.75" customHeight="1">
      <c r="A300" s="458"/>
      <c r="B300" s="267"/>
      <c r="E300" s="57"/>
      <c r="F300" s="57"/>
      <c r="G300" s="57"/>
      <c r="H300" s="57"/>
      <c r="I300" s="57"/>
    </row>
  </sheetData>
  <sheetProtection selectLockedCells="1" selectUnlockedCells="1"/>
  <mergeCells count="12">
    <mergeCell ref="A5:I7"/>
    <mergeCell ref="C4:G4"/>
    <mergeCell ref="A2:I3"/>
    <mergeCell ref="C182:I182"/>
    <mergeCell ref="C206:I206"/>
    <mergeCell ref="A1:I1"/>
    <mergeCell ref="A10:I10"/>
    <mergeCell ref="C104:D104"/>
    <mergeCell ref="C121:I121"/>
    <mergeCell ref="C13:I13"/>
    <mergeCell ref="C142:I142"/>
    <mergeCell ref="A11:B12"/>
  </mergeCells>
  <printOptions horizontalCentered="1"/>
  <pageMargins left="0.9055555555555556" right="0.2361111111111111" top="0.4722222222222222" bottom="0.6298611111111111" header="0.5118055555555555" footer="0.2361111111111111"/>
  <pageSetup firstPageNumber="1" useFirstPageNumber="1" horizontalDpi="600" verticalDpi="600" orientation="portrait" paperSize="9" scale="62" r:id="rId1"/>
  <headerFooter alignWithMargins="0">
    <oddFooter>&amp;C&amp;P. oldal</oddFooter>
  </headerFooter>
  <rowBreaks count="3" manualBreakCount="3">
    <brk id="89" max="8" man="1"/>
    <brk id="170" max="8" man="1"/>
    <brk id="2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kolonics.krisztina</cp:lastModifiedBy>
  <cp:lastPrinted>2017-04-12T06:00:32Z</cp:lastPrinted>
  <dcterms:modified xsi:type="dcterms:W3CDTF">2017-05-05T11:03:15Z</dcterms:modified>
  <cp:category/>
  <cp:version/>
  <cp:contentType/>
  <cp:contentStatus/>
</cp:coreProperties>
</file>