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650" tabRatio="967" activeTab="5"/>
  </bookViews>
  <sheets>
    <sheet name="bev-int" sheetId="1" r:id="rId1"/>
    <sheet name="kiad-int" sheetId="26" r:id="rId2"/>
    <sheet name="szoc_k_" sheetId="2" r:id="rId3"/>
    <sheet name="beruh" sheetId="3" r:id="rId4"/>
    <sheet name="felúj" sheetId="28" r:id="rId5"/>
    <sheet name="eu_s pr_" sheetId="4" r:id="rId6"/>
    <sheet name="belső fin_ " sheetId="5" r:id="rId7"/>
    <sheet name="külső fin_" sheetId="6" r:id="rId8"/>
    <sheet name="tart_" sheetId="7" r:id="rId9"/>
    <sheet name="önk.bev.cofog" sheetId="32" r:id="rId10"/>
    <sheet name="önk.kiad.cofog" sheetId="9" r:id="rId11"/>
    <sheet name="i-bev" sheetId="34" r:id="rId12"/>
    <sheet name="i-kiad" sheetId="29" r:id="rId13"/>
    <sheet name="létsz" sheetId="10" r:id="rId14"/>
    <sheet name="Stab_tv_" sheetId="11" r:id="rId15"/>
    <sheet name="egyenleg" sheetId="12" r:id="rId16"/>
    <sheet name="b_k_ré" sheetId="13" r:id="rId17"/>
    <sheet name="hköt" sheetId="15" r:id="rId18"/>
    <sheet name="mérl_" sheetId="18" r:id="rId19"/>
    <sheet name="m_mérl_" sheetId="19" r:id="rId20"/>
    <sheet name="f_mérl_" sheetId="20" r:id="rId21"/>
    <sheet name="kedv_" sheetId="22" r:id="rId22"/>
    <sheet name="3émérl" sheetId="21" r:id="rId23"/>
    <sheet name="eifelh" sheetId="23" r:id="rId24"/>
    <sheet name="Áll.hj." sheetId="25" r:id="rId25"/>
    <sheet name="maradv.cél szerinti tag" sheetId="35" r:id="rId26"/>
    <sheet name="Munka2" sheetId="31" r:id="rId27"/>
  </sheets>
  <definedNames>
    <definedName name="_xlnm.Print_Titles" localSheetId="16">'b_k_ré'!$1:$5</definedName>
  </definedNames>
  <calcPr calcId="162913"/>
  <extLst/>
</workbook>
</file>

<file path=xl/sharedStrings.xml><?xml version="1.0" encoding="utf-8"?>
<sst xmlns="http://schemas.openxmlformats.org/spreadsheetml/2006/main" count="1653" uniqueCount="923">
  <si>
    <t>Közhatalmi bevételek</t>
  </si>
  <si>
    <t>Helyi adópótlék, adóbírság</t>
  </si>
  <si>
    <t>Igazgatási szolg.díj</t>
  </si>
  <si>
    <t>Bérleti és lízingdíjbevétel</t>
  </si>
  <si>
    <t>Egyéb szolgáltatások nyújtása</t>
  </si>
  <si>
    <t>Egyéb tárgyi eszköz értékesítés</t>
  </si>
  <si>
    <t>Közművelődési tevékenységek és támogatásuk</t>
  </si>
  <si>
    <t>Egyéb szociális pénzbeli és természetbeni ellátások, támogatások</t>
  </si>
  <si>
    <t>Kötelező összesen:</t>
  </si>
  <si>
    <t xml:space="preserve">Eredeti </t>
  </si>
  <si>
    <t>MŰKÖDÉSI TARTALÉK</t>
  </si>
  <si>
    <t>Általános tartalék</t>
  </si>
  <si>
    <t>Működési tartalék</t>
  </si>
  <si>
    <t>Működési céltartalék</t>
  </si>
  <si>
    <t>Zárolt tartalék</t>
  </si>
  <si>
    <t>FELHALMOZÁSI TARTALÉK</t>
  </si>
  <si>
    <t>Felhalmozási tartalék</t>
  </si>
  <si>
    <t>Felhalmozási céltartalék</t>
  </si>
  <si>
    <t>MINDÖSSZESEN:</t>
  </si>
  <si>
    <t>Műk.c.visszatér.tám. és kölcsönök ny. ÁH belül</t>
  </si>
  <si>
    <t>Egyéb működési célú támogatások ÁH kívülre</t>
  </si>
  <si>
    <t>Egyéb működési kiadások</t>
  </si>
  <si>
    <t>Felh..c.garancia és kezességváll.m.köt.ÁH belül</t>
  </si>
  <si>
    <t>Felh.c.visszatér.tám. és kölcsönök ny. ÁH belül</t>
  </si>
  <si>
    <t>Egyéb felhalmozási c.tám. ÁH belül</t>
  </si>
  <si>
    <t>Felh.c.visszatér.tám. és kölcsönök ny. ÁH kívülre</t>
  </si>
  <si>
    <t>Felh.c.peszk.átad. ÁH kívülre nonprofit szerv.</t>
  </si>
  <si>
    <t>Felh.c.peszk.átad. ÁH kívülre vállalkozások</t>
  </si>
  <si>
    <t>Egyéb felhalmozási kiadások</t>
  </si>
  <si>
    <t>ÁH belüli megelőlegezések</t>
  </si>
  <si>
    <t>Adóssághoz nem kapcs.származékos ügyl.bevét.</t>
  </si>
  <si>
    <t>Adóssághoz nem kapcs.származékos ügyl.kiad.</t>
  </si>
  <si>
    <t>Lakástámogatás</t>
  </si>
  <si>
    <t>Egyéb felhalmozási célú támogatások ÁH kívülre</t>
  </si>
  <si>
    <t>Költségvetési bevételek</t>
  </si>
  <si>
    <t>Költségvetési kiadások</t>
  </si>
  <si>
    <t>Külső forrásból finanszírozandó költségvetési hiány (hiány -, többlet +)</t>
  </si>
  <si>
    <t>Költségetési kiadások</t>
  </si>
  <si>
    <t>Költségvetési hiány (hiány -, többlet +)</t>
  </si>
  <si>
    <t>Belső finanszírozás</t>
  </si>
  <si>
    <t>Költségvetési hiány (-)/többlet (+)</t>
  </si>
  <si>
    <t>Előző évek maradványának igénybe vétele</t>
  </si>
  <si>
    <t>Irányítószervi támogatás bevétele</t>
  </si>
  <si>
    <t>Irányítószervi támogatás folyósítása</t>
  </si>
  <si>
    <t>Megnevezés</t>
  </si>
  <si>
    <t>Önkormányzat</t>
  </si>
  <si>
    <t>I. Bevételek</t>
  </si>
  <si>
    <t>Kamatbevételek</t>
  </si>
  <si>
    <t>Költségvetési bevételek:</t>
  </si>
  <si>
    <t>Bevételek összesen:</t>
  </si>
  <si>
    <t>Személyi juttatások</t>
  </si>
  <si>
    <t>Felújítások</t>
  </si>
  <si>
    <t>Beruházások</t>
  </si>
  <si>
    <t>Költségvetési kiadások:</t>
  </si>
  <si>
    <t>Kiadások összesen:</t>
  </si>
  <si>
    <t>lakosságnak juttatott támogatásai, pénzbeni és természetbeni szociális ellátásainak részletezése</t>
  </si>
  <si>
    <t xml:space="preserve">Megnevezés </t>
  </si>
  <si>
    <t>Ellátottak pénzbeni juttatása</t>
  </si>
  <si>
    <t>Összesen</t>
  </si>
  <si>
    <t>e Ft-ban</t>
  </si>
  <si>
    <t xml:space="preserve"> belső finanszírozásának bemutatása  </t>
  </si>
  <si>
    <t>Működés</t>
  </si>
  <si>
    <t xml:space="preserve">Felhalmozás </t>
  </si>
  <si>
    <t xml:space="preserve"> külső finanszírozásának bemutatása  </t>
  </si>
  <si>
    <t>Finanszírozási kiadások</t>
  </si>
  <si>
    <t>Külső forrásból finanszírozandó teljes hiány (hiány -, többlet +)</t>
  </si>
  <si>
    <t>Egyenleg</t>
  </si>
  <si>
    <t>Összeg</t>
  </si>
  <si>
    <t>Finanszírozási bevételek</t>
  </si>
  <si>
    <t>I.</t>
  </si>
  <si>
    <t>Kiadások összesen</t>
  </si>
  <si>
    <t>Intézmény megnevezése</t>
  </si>
  <si>
    <t>Főfogl. álláshely</t>
  </si>
  <si>
    <t>Részfogl. álláshely</t>
  </si>
  <si>
    <t>Összesen:</t>
  </si>
  <si>
    <t>Gépjárműadó</t>
  </si>
  <si>
    <t>Költségvetési  egyenleg (többlet +, hiány -)</t>
  </si>
  <si>
    <t>Egyenleg finanszírozási kiadásokkal  (többlet +, hiány -)</t>
  </si>
  <si>
    <t>Bevételek összesen</t>
  </si>
  <si>
    <t>Bevételek</t>
  </si>
  <si>
    <t>Magánszem. Kommunális adója</t>
  </si>
  <si>
    <t>Kiadások</t>
  </si>
  <si>
    <t>2.</t>
  </si>
  <si>
    <t>4.</t>
  </si>
  <si>
    <t>5.</t>
  </si>
  <si>
    <t>6.</t>
  </si>
  <si>
    <t>7.</t>
  </si>
  <si>
    <t>9.</t>
  </si>
  <si>
    <t>11.</t>
  </si>
  <si>
    <t>12.</t>
  </si>
  <si>
    <t>13.</t>
  </si>
  <si>
    <t>Működési bevételek</t>
  </si>
  <si>
    <t>Műk. bevét. össz.:</t>
  </si>
  <si>
    <t>Munkaadókat terhelő járulékok</t>
  </si>
  <si>
    <t>Tartalék</t>
  </si>
  <si>
    <t>Műk. kiad. össz.:</t>
  </si>
  <si>
    <t xml:space="preserve">Felh. bevét. össz.: </t>
  </si>
  <si>
    <t>Felh. kiad. össz.:</t>
  </si>
  <si>
    <t>Kedvezmény</t>
  </si>
  <si>
    <t>érintettek száma</t>
  </si>
  <si>
    <t>kedvezmény mértéke</t>
  </si>
  <si>
    <t>összege</t>
  </si>
  <si>
    <t>Magánszemélyek kommunális adója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</si>
  <si>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</si>
  <si>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</si>
  <si>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</si>
  <si>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</si>
  <si>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</si>
  <si>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</si>
  <si>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</si>
  <si>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</si>
  <si>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</si>
  <si>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</si>
  <si>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</si>
  <si>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Bevételek </t>
  </si>
  <si>
    <t>Szociális étkeztetés</t>
  </si>
  <si>
    <t>Felhalmozási kiadások</t>
  </si>
  <si>
    <t>17.</t>
  </si>
  <si>
    <t>18.</t>
  </si>
  <si>
    <t>19.</t>
  </si>
  <si>
    <t>Készletbeszerzés</t>
  </si>
  <si>
    <t>Szolgáltatási kiadások</t>
  </si>
  <si>
    <t>Kiküldetés, reklám- és propagamda kiadások</t>
  </si>
  <si>
    <t>Különféle befizetések és egyéb dologi kiadások</t>
  </si>
  <si>
    <t>Ellátottak pénzbeli juttatásai</t>
  </si>
  <si>
    <t>Egyéb működési célú kiadások</t>
  </si>
  <si>
    <t>Egyéb felhalmozási célú kiadások</t>
  </si>
  <si>
    <t>Önkormányzatok működési támogatása</t>
  </si>
  <si>
    <t>Működési célú támogatások ÁH belülről</t>
  </si>
  <si>
    <t>Felhalmozási célú támogatások ÁH belülről</t>
  </si>
  <si>
    <t>Jövedelemadók</t>
  </si>
  <si>
    <t>Termékek és szolgáltatások adói</t>
  </si>
  <si>
    <t>Egyéb közhatalmi bevételek</t>
  </si>
  <si>
    <t>Dologi kiadások</t>
  </si>
  <si>
    <t>Egyéb működési célú támogatások ÁH belülről</t>
  </si>
  <si>
    <t>Felhalmozási bevételek</t>
  </si>
  <si>
    <t>Működési célú átvett pénzeszközök</t>
  </si>
  <si>
    <t>Felhalmozási célú átvett pénzeszközök</t>
  </si>
  <si>
    <t>Hitel, kölcsöntörlesztés ÁH kívülre</t>
  </si>
  <si>
    <t>Belföldi értékpapírok kiadásai</t>
  </si>
  <si>
    <t>Központi, irányító szervi támogatás folyósítása</t>
  </si>
  <si>
    <t>Pénzeszközök betétként elhelyezése</t>
  </si>
  <si>
    <t>Belföldi finanszírozás kiadásai</t>
  </si>
  <si>
    <t>Külföldi finanszírozás kiadásai</t>
  </si>
  <si>
    <t>Hitel, kölcsönfelvétel ÁH kívülről</t>
  </si>
  <si>
    <t>Belföldi értékpapírok bevételei</t>
  </si>
  <si>
    <t>Maradvány igénybevétele</t>
  </si>
  <si>
    <t>Központi, irányító szervi támogatás</t>
  </si>
  <si>
    <t>Belföldi finanszírozás bevételei</t>
  </si>
  <si>
    <t>Külföldi finanszírozás bevételei</t>
  </si>
  <si>
    <t>Óvodáztatási támogatás</t>
  </si>
  <si>
    <t>Egyéb pénzbeli és természetbeni gyv támogatás</t>
  </si>
  <si>
    <t>Hozzájárulás lakossági energiaköltségekhez</t>
  </si>
  <si>
    <t xml:space="preserve">Lakásfenntartási támogatás </t>
  </si>
  <si>
    <t xml:space="preserve">Adósságcsökkentési támogatás </t>
  </si>
  <si>
    <t xml:space="preserve">Természetben nyújtott lakásfennt.támogatás </t>
  </si>
  <si>
    <t xml:space="preserve">Gáz és áram fogyasztásmérő támogatás </t>
  </si>
  <si>
    <t>Belső finanszírozási bevételek</t>
  </si>
  <si>
    <t>Belső finanszírozási kiadások</t>
  </si>
  <si>
    <t>Egyéb műk.célú támogatások bevételei ÁH belül</t>
  </si>
  <si>
    <t>OEP finanszírozás Védőnői szolgálat</t>
  </si>
  <si>
    <t>Egyéb felh.célú támogatások bevételei ÁH belül</t>
  </si>
  <si>
    <t>Vagyoni típusú adók</t>
  </si>
  <si>
    <t>Értékesítési és forg. tip. adók</t>
  </si>
  <si>
    <t>Állandó jell. Végz. Iparűzési adó</t>
  </si>
  <si>
    <t>Egyéb áruhasználati és szolgáltatási tip. adók</t>
  </si>
  <si>
    <t>Tartózkodás után fizetett idegenforgalmi adó</t>
  </si>
  <si>
    <t>Korábbi évek megszünt adónemeiből bef.adóbev.</t>
  </si>
  <si>
    <t>Önkormányzatok működési támogatásai</t>
  </si>
  <si>
    <t>Elvonások és befiz. Bevételei</t>
  </si>
  <si>
    <t>Műk. garancia és kezességváll.bevét.</t>
  </si>
  <si>
    <t>Műk.célú visszatér.támogatások és kölcsönök visszatér.</t>
  </si>
  <si>
    <t>Műk.célú visszatér.támogatások és kölcsönök ig.vét.</t>
  </si>
  <si>
    <t>Felh.célú önkormányzati támogatások</t>
  </si>
  <si>
    <t>Felhalmozási célú önkorm. támogatások</t>
  </si>
  <si>
    <t>Felh. garancia és kezességváll.szárm, megtér.</t>
  </si>
  <si>
    <t>Felh.célú visszatér.támogatások és kölcsönök visszatér.</t>
  </si>
  <si>
    <t>felh..célú visszatér.támogatások és kölcsönök ig.vét.</t>
  </si>
  <si>
    <t>Egyéb felhalm. célú támogatások ÁH belülről</t>
  </si>
  <si>
    <t xml:space="preserve">Szolgáltatások ellenértéke </t>
  </si>
  <si>
    <t>Közvetített szolg. bevétele ÁH belülről</t>
  </si>
  <si>
    <t>Közvetített szolg. bevétele ÁH kívülről</t>
  </si>
  <si>
    <t>Közvetített szolgáltatások ellenértéke</t>
  </si>
  <si>
    <t>Intézményi térítési díjak</t>
  </si>
  <si>
    <t>Ellátási díjak</t>
  </si>
  <si>
    <t>Készletértékesítés bevételei</t>
  </si>
  <si>
    <t>Tulajdonosi bevételek</t>
  </si>
  <si>
    <t>Kiszámlázott ÁFA</t>
  </si>
  <si>
    <t>ÁFA visszatérülés</t>
  </si>
  <si>
    <t>Egyéb pénzügyi műveletek bevét. (árf. Nyereség)</t>
  </si>
  <si>
    <t>Egyéb működési bevételek</t>
  </si>
  <si>
    <t>Immateriális javak értékesítése</t>
  </si>
  <si>
    <t>Ingatlanok és kapcs. vé.jogok értékesítése</t>
  </si>
  <si>
    <t>Ingatlanok értékesítése</t>
  </si>
  <si>
    <t>Egyéb eszközök értékesítése (gép…)</t>
  </si>
  <si>
    <t>Műk.c.visszat.tám.megt. ÁH belülről</t>
  </si>
  <si>
    <t>Egyéb működési célú peszk. átvétel</t>
  </si>
  <si>
    <t>Helyi önk. működésének ált. támogatása</t>
  </si>
  <si>
    <t>Helyi önk. köznevelési fea.támogatása</t>
  </si>
  <si>
    <t>Helyi önk. szociális és gyj.fea.támogatása</t>
  </si>
  <si>
    <t xml:space="preserve">Heyi önk. kulturális fea.tám. </t>
  </si>
  <si>
    <t>Működési célú központosított ei.</t>
  </si>
  <si>
    <t>Helyi önk. kiegészítő tám.</t>
  </si>
  <si>
    <t>Elvonások és befizetések</t>
  </si>
  <si>
    <t>Műk.c.garancia és kezességváll.m.köt.ÁH belül</t>
  </si>
  <si>
    <t>Műk.c.visszatér.tám. s kölcsönök törl.ÁH belül</t>
  </si>
  <si>
    <t>Egyéb működési c.tám. ÁH belül</t>
  </si>
  <si>
    <t>Műk.c.garancia és kezességváll.m.köt.ÁH kívülre</t>
  </si>
  <si>
    <t>Műk.c.visszatér.tám. és kölcsönök ny. ÁH kívülre</t>
  </si>
  <si>
    <t>Felh.c.visszat.tám.megt. ÁH kívülről</t>
  </si>
  <si>
    <t xml:space="preserve">Bevételek összesen </t>
  </si>
  <si>
    <t>Többlet (+), hiány (-)</t>
  </si>
  <si>
    <t>Külső finanszírozási kiadások</t>
  </si>
  <si>
    <t>Önkormányzati feladatok összesen:</t>
  </si>
  <si>
    <t>Kölcsöntörlesztés</t>
  </si>
  <si>
    <t>Megj.</t>
  </si>
  <si>
    <t xml:space="preserve">Különbözet </t>
  </si>
  <si>
    <t>Felhalmozási c.átvett pénzeszközök</t>
  </si>
  <si>
    <t>ÁH belüli megelőlegezések visszafizetése</t>
  </si>
  <si>
    <t>Fogászati ügyeleti hozzájárulás T.bánya</t>
  </si>
  <si>
    <r>
      <t xml:space="preserve">Jövedelemadók  Magánszemélyek jövedelemadói </t>
    </r>
    <r>
      <rPr>
        <sz val="9"/>
        <rFont val="Calibri"/>
        <family val="2"/>
      </rPr>
      <t>(termőföld. bérbead. SZJA)</t>
    </r>
  </si>
  <si>
    <t>Betétek megszűntetése</t>
  </si>
  <si>
    <t>AH belüli megelőlegezések visszafizetése</t>
  </si>
  <si>
    <t>Gyermekvédelmi Erzsébet-utalványok</t>
  </si>
  <si>
    <t>Egyéb önkormányzati feladatok támogatása</t>
  </si>
  <si>
    <t>Üdülőhelyi feladatok támogatása</t>
  </si>
  <si>
    <t>Beszámítás</t>
  </si>
  <si>
    <t>III.3.a</t>
  </si>
  <si>
    <t>Család- és gyermekjóléti szolgálat</t>
  </si>
  <si>
    <t>Gyermekétkeztetés üzemeltetési támogatása</t>
  </si>
  <si>
    <t>Családtámogatások (K42)</t>
  </si>
  <si>
    <t>Betegséggel kapcsolatos nem TB ellátások (K44)</t>
  </si>
  <si>
    <t>Foglalk. és munkanélk. kapcs, ellátások (K45)</t>
  </si>
  <si>
    <t>Lakással kapcsolatos ellátások (K46)</t>
  </si>
  <si>
    <t>Intézményi ellátottak pénzbeli juttatásai (K47)</t>
  </si>
  <si>
    <t>Egyéb nem intézményi ellátások (K48)</t>
  </si>
  <si>
    <t>( kiemelt előirányzatok szerinti részletezésben ) e Ft-ban</t>
  </si>
  <si>
    <t>1/b</t>
  </si>
  <si>
    <t>1/a</t>
  </si>
  <si>
    <t>Bevétel</t>
  </si>
  <si>
    <t>Kiadás</t>
  </si>
  <si>
    <t>Működési kiadások</t>
  </si>
  <si>
    <t>M.adókat terh. jár. és szochó</t>
  </si>
  <si>
    <t>Dologi</t>
  </si>
  <si>
    <t>Egyéb működési kiadás</t>
  </si>
  <si>
    <t>Ellátottak pénzbeli juttatása</t>
  </si>
  <si>
    <t>Működési tartalékok</t>
  </si>
  <si>
    <t>Felújítás</t>
  </si>
  <si>
    <t>Beruházás</t>
  </si>
  <si>
    <t>Felhalmozási tartalékok</t>
  </si>
  <si>
    <t>Költségvetési szerveknek folyósított támogatás</t>
  </si>
  <si>
    <t>Önkormányzatok és önkormányzati hivatalok jogalkotó és általános igazgatási tevékenysége</t>
  </si>
  <si>
    <t>Kötelező</t>
  </si>
  <si>
    <t>Köztemető fenntartás és működtetés</t>
  </si>
  <si>
    <t>Az önkormányzati vagyonnal való gazdálkodással kapcsolatos feladatok</t>
  </si>
  <si>
    <t>Kiemelt állami és önkormányzati rendezvények</t>
  </si>
  <si>
    <t>Támogatási célú finanszírozási műveletek</t>
  </si>
  <si>
    <t>Közterület rendjének fenntartása</t>
  </si>
  <si>
    <t>Közutak, hidak, alagutak üzemeltetése, fenntartása</t>
  </si>
  <si>
    <t>Szennyvíz gyűjtése, tisztítása, elhelyezése</t>
  </si>
  <si>
    <t>Közvilágítás</t>
  </si>
  <si>
    <t>Műk.c.visszat.tám.visszatérülése ÁH belülről</t>
  </si>
  <si>
    <t>Felh.c.visszatér.tám. s kölcsönök törl.ÁH belül - PHARE</t>
  </si>
  <si>
    <t>Gyógyszertámogatás</t>
  </si>
  <si>
    <t>Ápolási támogatás</t>
  </si>
  <si>
    <t>BURSA</t>
  </si>
  <si>
    <t>3/a</t>
  </si>
  <si>
    <t>3/b</t>
  </si>
  <si>
    <t>és kiadásainak alakulása működési és fejlesztési jelleg szerinti bontásban</t>
  </si>
  <si>
    <t>Előre nem tervezhető kiadások</t>
  </si>
  <si>
    <t>ÁH-on belüli megelől.visszafizetése</t>
  </si>
  <si>
    <t>Önkormányzati vagyonnal való gazdálkodás</t>
  </si>
  <si>
    <t xml:space="preserve">Város- községgazdálkodási egyéb szolgáltatások </t>
  </si>
  <si>
    <t>Háziorvosi alapellátás</t>
  </si>
  <si>
    <t>Orvosi ügyelet Batthyány K.Szakkórház</t>
  </si>
  <si>
    <t>Műk.c.peszk.átad. ÁH belül KTKT - működési kiadásokhoz</t>
  </si>
  <si>
    <t>Kommunikációs szolgáltatások</t>
  </si>
  <si>
    <t>Fogorvosi ügyeleti ellátás</t>
  </si>
  <si>
    <t>Család- és nővédelmi egészségügyi gondozás</t>
  </si>
  <si>
    <t>Ifjúság-egészségügyi gondozás</t>
  </si>
  <si>
    <t>Gyermekétkeztetés köznevelési intézményekben</t>
  </si>
  <si>
    <t>Munkahelyi étkeztetés köznevelési intézményekben</t>
  </si>
  <si>
    <t>Óvodai nevelés, elllátás szakmai feladatai</t>
  </si>
  <si>
    <t>SNI-s gyermekek óvodai nev.szakmai feladatai</t>
  </si>
  <si>
    <t>Óvodai nevelés, ellátás működtetési feldatai</t>
  </si>
  <si>
    <t>Helyi adók</t>
  </si>
  <si>
    <t>Osztalék, koncessziós díj, hozambevétel (kamatbevétel)</t>
  </si>
  <si>
    <t>Díjak, pótlékok, bírságok</t>
  </si>
  <si>
    <t>Talajterhelési díj</t>
  </si>
  <si>
    <t>Tulajdonosi bevétel (használatba adásból, üzemeltetésbe adásból származó bevétel)</t>
  </si>
  <si>
    <t>Pótlék, bírság</t>
  </si>
  <si>
    <t>Tárgyi eszközök, immateriális javak, és önkormányzati vagyonértékesítésből származó bevétel (ÁFA nélküli, csak önkormányzat)</t>
  </si>
  <si>
    <t>SAJÁT BEVÉTELEK</t>
  </si>
  <si>
    <t>Saját bevételek 50 %-a</t>
  </si>
  <si>
    <t>Előző év (ek) ben keletkezett tárgyévet terhelő fizetési kötelezettség</t>
  </si>
  <si>
    <t>Hosszú lejáratú hitel tőke és kamatfizetési kötelezettsége</t>
  </si>
  <si>
    <t>Tárgyévben keletkezett, illetve keletkező, tárgyévet terhelő fizetési kötelezettség</t>
  </si>
  <si>
    <t>FIZETÉSI KÖTELEZETTSÉG ÖSSZESEN</t>
  </si>
  <si>
    <t xml:space="preserve">Fizetési kötelezettséggel csökkentett saját bevétel 50 %-a </t>
  </si>
  <si>
    <t>Ft-ban</t>
  </si>
  <si>
    <t>Önkormányzatok igazg.tev.</t>
  </si>
  <si>
    <t>Város- és községgazdálkodás</t>
  </si>
  <si>
    <t>Védőnői szolgálat</t>
  </si>
  <si>
    <t>Részesedések értékesítése</t>
  </si>
  <si>
    <t>8.</t>
  </si>
  <si>
    <t>10.</t>
  </si>
  <si>
    <t>14.</t>
  </si>
  <si>
    <t>16.</t>
  </si>
  <si>
    <t>Intézményen kívüli gyermekétkeztetés</t>
  </si>
  <si>
    <t>MŰKÖDÉSI KIADÁSOK</t>
  </si>
  <si>
    <t xml:space="preserve">Temetési támogatás </t>
  </si>
  <si>
    <t xml:space="preserve">Köztemetés </t>
  </si>
  <si>
    <t>Pénzbeli kárpótlások, kártérítések (K43)</t>
  </si>
  <si>
    <t>2020. évi ei.</t>
  </si>
  <si>
    <t>összesen</t>
  </si>
  <si>
    <t>1.</t>
  </si>
  <si>
    <t>3.</t>
  </si>
  <si>
    <t>15.</t>
  </si>
  <si>
    <t>20.</t>
  </si>
  <si>
    <t>21.</t>
  </si>
  <si>
    <t>22.</t>
  </si>
  <si>
    <t>23.</t>
  </si>
  <si>
    <t>24.</t>
  </si>
  <si>
    <t>25.</t>
  </si>
  <si>
    <t>sorszám</t>
  </si>
  <si>
    <t>Megbízási díjas, tiszteletdíjas fő-ben</t>
  </si>
  <si>
    <t>Hosszabb idejű közfoglalkoztatás</t>
  </si>
  <si>
    <t>No.</t>
  </si>
  <si>
    <t>Jogcím száma</t>
  </si>
  <si>
    <t>Jogcím megnevezése</t>
  </si>
  <si>
    <t>Mennyiségi egység</t>
  </si>
  <si>
    <t>Fajlagos összeg</t>
  </si>
  <si>
    <t>Mutató</t>
  </si>
  <si>
    <t>Forint</t>
  </si>
  <si>
    <t>I.1.a</t>
  </si>
  <si>
    <t>Önkormányzati hivatal működésének támogatása - elismert hivatali létszám alapján</t>
  </si>
  <si>
    <t>forint</t>
  </si>
  <si>
    <t/>
  </si>
  <si>
    <t>I.1.ba</t>
  </si>
  <si>
    <t>A zöldterület-gazdálkodással kapcsolatos feladatok ellátásának támogatása</t>
  </si>
  <si>
    <t>hektár</t>
  </si>
  <si>
    <t>I.1.bb</t>
  </si>
  <si>
    <t>Közvilágítás fenntartásának támogatása</t>
  </si>
  <si>
    <t>km</t>
  </si>
  <si>
    <t>I.1.bc</t>
  </si>
  <si>
    <t>Köztemető fenntartással kapcsolatos feladatok támogatása</t>
  </si>
  <si>
    <t>m2</t>
  </si>
  <si>
    <t>I.1.bd</t>
  </si>
  <si>
    <t>Közutak fenntartásának támogatása</t>
  </si>
  <si>
    <t>I.1.c</t>
  </si>
  <si>
    <t>fő</t>
  </si>
  <si>
    <t>I.1.d</t>
  </si>
  <si>
    <t>Lakott külterülettel kapcsolatos feladatok támogatása</t>
  </si>
  <si>
    <t>külterületi lakos</t>
  </si>
  <si>
    <t>I.1.e</t>
  </si>
  <si>
    <t>V. Info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</si>
  <si>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</si>
  <si>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</si>
  <si>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</si>
  <si>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Óvodapedagógusok elismert létszáma</t>
  </si>
  <si>
    <t>pedagógus szakképzettséggel nem rendelkező, óvodapedagógusok nevelő munkáját közvetlenül segítők száma a Köznev. tv. 2. melléklete szerint</t>
  </si>
  <si>
    <t>II.1. (3) 1</t>
  </si>
  <si>
    <t>pedagógus szakképzettséggel rendelkező, óvodapedagógusok nevelő munkáját közvetlenül segítők száma a Köznev. tv. 2. melléklete szerint</t>
  </si>
  <si>
    <t>II.1. (11) 1</t>
  </si>
  <si>
    <t>II.1. (12) 1</t>
  </si>
  <si>
    <t>II.1. (13) 1</t>
  </si>
  <si>
    <t>II.1. (1) 2</t>
  </si>
  <si>
    <t>II.1. (2) 2</t>
  </si>
  <si>
    <t>II.1. (3) 2</t>
  </si>
  <si>
    <t xml:space="preserve">II.1. (11) 2 </t>
  </si>
  <si>
    <t xml:space="preserve">II.1. (12) 2 </t>
  </si>
  <si>
    <t xml:space="preserve">II.1. (13) 2 </t>
  </si>
  <si>
    <t>II.2. Óvodaműködtetési támogatás</t>
  </si>
  <si>
    <t>Óvoda napi nyitvatartási ideje eléri a nyolc órát</t>
  </si>
  <si>
    <t>II.2. (1) 2</t>
  </si>
  <si>
    <t>II.3. 1</t>
  </si>
  <si>
    <t xml:space="preserve">8 hónap </t>
  </si>
  <si>
    <t>II.3. 2</t>
  </si>
  <si>
    <t>4 hónap</t>
  </si>
  <si>
    <t>II.4. Kiegészítő támogatás az óvodapedagógusok minősítéséből adódó többletkiadásokhoz</t>
  </si>
  <si>
    <t>II.4.a (1)</t>
  </si>
  <si>
    <t>II.4.b (1)</t>
  </si>
  <si>
    <t>II.4.a (2)</t>
  </si>
  <si>
    <t>II.4.b (2)</t>
  </si>
  <si>
    <t>II.4.a (3)</t>
  </si>
  <si>
    <t>II.4.b (3)</t>
  </si>
  <si>
    <t>II.4.a (4)</t>
  </si>
  <si>
    <t>II.4.b (4)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</si>
  <si>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</si>
  <si>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</si>
  <si>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</si>
  <si>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</si>
  <si>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</si>
  <si>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</si>
  <si>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</si>
  <si>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</si>
  <si>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</si>
  <si>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</si>
  <si>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</si>
  <si>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</si>
  <si>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számított létszám</t>
  </si>
  <si>
    <t>III.3.b</t>
  </si>
  <si>
    <t>Család- és gyermekjóléti központ</t>
  </si>
  <si>
    <t>III.3.c (1)</t>
  </si>
  <si>
    <t>szociális étkeztetés</t>
  </si>
  <si>
    <t>III.3.c (2)</t>
  </si>
  <si>
    <t>szociális étkeztetés - társulás által történő feladatellátás</t>
  </si>
  <si>
    <t>III.3.da</t>
  </si>
  <si>
    <t>házi segítségnyújtás- szociális segítés</t>
  </si>
  <si>
    <t>III.3.db (1)</t>
  </si>
  <si>
    <t>házi segítségnyújtás- személyi gondozás</t>
  </si>
  <si>
    <t>III.3.db (2)</t>
  </si>
  <si>
    <t>házi segítségnyújtás- személyi gondozás -  társulás által történő feladatellátás</t>
  </si>
  <si>
    <t>III.3.e</t>
  </si>
  <si>
    <t>falugondnoki vagy tanyagondnoki szolgáltatás összesen</t>
  </si>
  <si>
    <t>működési hó</t>
  </si>
  <si>
    <t>III.3.f Időskorúak nappali intézményi ellátása</t>
  </si>
  <si>
    <t>III.3.f (1)</t>
  </si>
  <si>
    <t>időskorúak nappali intézményi ellátása</t>
  </si>
  <si>
    <t>III.3.f (3)</t>
  </si>
  <si>
    <t>foglalkoztatási támogatásban részesülő időskorúak nappali intézményben ellátottak száma</t>
  </si>
  <si>
    <t>III.3.f (4)</t>
  </si>
  <si>
    <t>foglalkoztatási támogatásban részesülő időskorúak nappali intézményben ellátottak száma - társulás által történő feladatellátás</t>
  </si>
  <si>
    <t>III.3.g Fogyatékos és demens személyek nappali intézményi ellátása</t>
  </si>
  <si>
    <t>III.3.g (1)</t>
  </si>
  <si>
    <t>fogyatékos személyek nappali intézményi ellátása</t>
  </si>
  <si>
    <t>III.3.g (2)</t>
  </si>
  <si>
    <t>fogyatékos személyek nappali intézményi ellátása - társulás által történő feladatellátás</t>
  </si>
  <si>
    <t>III.3.g (3)</t>
  </si>
  <si>
    <t>foglalkoztatási támogatásban részesülő fogyatékos nappali intézményben ellátottak száma</t>
  </si>
  <si>
    <t>III.3.g (4)</t>
  </si>
  <si>
    <t>foglalkoztatási támogatásban részesülő fogyatékos nappali intézményben ellátottak száma - társulás által történő feladatellátás</t>
  </si>
  <si>
    <t>III.3.g (5)</t>
  </si>
  <si>
    <t>demens személyek nappali intézményi ellátása</t>
  </si>
  <si>
    <t>III.3.g (6)</t>
  </si>
  <si>
    <t>demens személyek nappali intézményi ellátása - társulás által történő feladatellátás</t>
  </si>
  <si>
    <t>III.3.g (7)</t>
  </si>
  <si>
    <t>foglalkoztatási támogatásban részesülő, nappali intézményben ellátott demens személyek száma</t>
  </si>
  <si>
    <t>III.3.g (8)</t>
  </si>
  <si>
    <t>foglalkoztatási támogatásban részesülő, nappali intézményben ellátott demens személyek száma - társulás által történő feladatellátás</t>
  </si>
  <si>
    <t>III.3.h Pszichiátriai és szenvedélybetegek nappali intézményi ellátása</t>
  </si>
  <si>
    <t>III.3.h (1)</t>
  </si>
  <si>
    <t>pszichiátriai betegek nappali intézményi ellátása</t>
  </si>
  <si>
    <t>III.3.h (2)</t>
  </si>
  <si>
    <t>pszichiátriai betegek nappali intézményi ellátása - társulás által történő feladatellátás</t>
  </si>
  <si>
    <t>III.3.h (3)</t>
  </si>
  <si>
    <t>foglalkoztatási támogatásban részesülő, nappali intézményben ellátott pszichiátriai betegek száma</t>
  </si>
  <si>
    <t>III.3.h (4)</t>
  </si>
  <si>
    <t>foglalkoztatási támogatásban részesülő, nappali intézményben ellátott pszichiátriai betegek száma - társulás által történő feladatellátás</t>
  </si>
  <si>
    <t>III.3.h (5)</t>
  </si>
  <si>
    <t>szenvedélybetegek nappali intézményi ellátása</t>
  </si>
  <si>
    <t>III.3.h (6)</t>
  </si>
  <si>
    <t>szenvedélybetegek nappali intézményi ellátása - társulás által történő feladatellátás</t>
  </si>
  <si>
    <t>III.3.h (7)</t>
  </si>
  <si>
    <t>foglalkoztatási támogatásban részesülő, nappali intézményben ellátott szenvedélybetegek száma</t>
  </si>
  <si>
    <t>III.3.h (8)</t>
  </si>
  <si>
    <t>foglalkoztatási támogatásban részesülő, nappali intézményben ellátott szenvedélybetegek száma - társulás által történő feladatellátás</t>
  </si>
  <si>
    <t>III.3.i Hajléktalanok nappali intézményi ellátása</t>
  </si>
  <si>
    <t>III.3.i (1)</t>
  </si>
  <si>
    <t>hajléktalanok nappali intézményi ellátása</t>
  </si>
  <si>
    <t>III.3.i (2)</t>
  </si>
  <si>
    <t>hajléktalanok nappali intézményi ellátása - társulás által történő feladatellátás</t>
  </si>
  <si>
    <t>családi bölcsőde</t>
  </si>
  <si>
    <t>családi bölcsőde - társulás által történő feladatellátás</t>
  </si>
  <si>
    <t>III.3.k Hajléktalanok átmeneti intézményei</t>
  </si>
  <si>
    <t>III.3.k (1)</t>
  </si>
  <si>
    <t>hajléktalanok átmeneti szállása, éjjeli menedékhely összesen</t>
  </si>
  <si>
    <t>férőhely</t>
  </si>
  <si>
    <t>III.3.k (6)</t>
  </si>
  <si>
    <t>hajléktalanok átmeneti szállása, éjjeli menedékhely összesen - társulás által történő feladatellátás</t>
  </si>
  <si>
    <t>III.3.k (11)</t>
  </si>
  <si>
    <t xml:space="preserve">kizárólag lakhatási szolgáltatás </t>
  </si>
  <si>
    <t>támogató szolgáltatás - alaptámogatás</t>
  </si>
  <si>
    <t>támogató szolgáltatás - teljesítménytámogatás</t>
  </si>
  <si>
    <t>feladategység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</si>
  <si>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</si>
  <si>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</si>
  <si>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</si>
  <si>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</si>
  <si>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III.4.a</t>
  </si>
  <si>
    <t>A finanszírozás szempontjából elismert szakmai dolgozók bértámogatása</t>
  </si>
  <si>
    <t>III.4.b</t>
  </si>
  <si>
    <t>Intézmény-üzemeltetési támogatás</t>
  </si>
  <si>
    <t>III.5. Gyermekétkeztetés támogatása</t>
  </si>
  <si>
    <t>III.5.a</t>
  </si>
  <si>
    <t>A finanszírozás szempontjából elismert dolgozók bértámogatása</t>
  </si>
  <si>
    <t>III.5.b</t>
  </si>
  <si>
    <t>III.6.</t>
  </si>
  <si>
    <t>A rászoruló gyermekek szünidei étkeztetésének támogatása</t>
  </si>
  <si>
    <t>A települési önkormányzatok szociális, gyermekjóléti és gyermekétkeztetési feladatainak támogatása</t>
  </si>
  <si>
    <t>Könyvtári, közművelődési és múzeumi feladatok támogatása</t>
  </si>
  <si>
    <t>IV.1.a</t>
  </si>
  <si>
    <t xml:space="preserve">Megyei hatókörű városi múzeumok feladatainak támogatása </t>
  </si>
  <si>
    <t>IV.1.b</t>
  </si>
  <si>
    <t>IV.1.c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</si>
  <si>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</si>
  <si>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</si>
  <si>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>IV.1.e</t>
  </si>
  <si>
    <t>Települési önkormányzatok muzeális intézményi feladatainak támogatása</t>
  </si>
  <si>
    <t>IV.1.f</t>
  </si>
  <si>
    <t xml:space="preserve">Budapest Főváros Önkormányzata múzeumi, könyvtári és közművelődési feladatainak támogatása </t>
  </si>
  <si>
    <t>IV.1.g</t>
  </si>
  <si>
    <t>Fővárosi kerületi önkormányzatok közművelődési feladatainak támogatása</t>
  </si>
  <si>
    <t>IV.1.h</t>
  </si>
  <si>
    <t>IV.1.i</t>
  </si>
  <si>
    <t>A települési önkormányzatok könyvtári célú érdekeltségnövelő támogatása</t>
  </si>
  <si>
    <t>IV.1.</t>
  </si>
  <si>
    <t>Könyvtári, közművelődési és műzeumi feladatok támogatása összesen</t>
  </si>
  <si>
    <t>IV.2.a</t>
  </si>
  <si>
    <t>Színházművészeti szervezetek támogatása</t>
  </si>
  <si>
    <t>IV.2.aa</t>
  </si>
  <si>
    <t>támogatása összesen</t>
  </si>
  <si>
    <t>IV.2.aaa</t>
  </si>
  <si>
    <t xml:space="preserve">művészeti támogatása </t>
  </si>
  <si>
    <t>IV.2.aab</t>
  </si>
  <si>
    <t xml:space="preserve">létesítmény-gazdálkodási célú működési támogatása </t>
  </si>
  <si>
    <t>IV.2.ab</t>
  </si>
  <si>
    <t>IV.2.aba</t>
  </si>
  <si>
    <t>művészeti támogatása</t>
  </si>
  <si>
    <t>IV.2.abb</t>
  </si>
  <si>
    <t>IV.2.b</t>
  </si>
  <si>
    <t>Táncművészeti szervezetek támogatása</t>
  </si>
  <si>
    <t>IV.2.ba</t>
  </si>
  <si>
    <t>IV.2.baa</t>
  </si>
  <si>
    <t>IV.2.bab</t>
  </si>
  <si>
    <t>létesítmény-gazdálkodási célú működési támogatása</t>
  </si>
  <si>
    <t>IV.2.bb</t>
  </si>
  <si>
    <t>IV.2.bba</t>
  </si>
  <si>
    <t>IV.2.bbb</t>
  </si>
  <si>
    <t>IV.2.c</t>
  </si>
  <si>
    <t>Zeneművészeti szervezetek támogatása</t>
  </si>
  <si>
    <t>IV.2.ca</t>
  </si>
  <si>
    <t>Nemzeti és kiemelt minősítésű zenekarok támogatása</t>
  </si>
  <si>
    <t>IV.2.cb</t>
  </si>
  <si>
    <t>Nemzeti és kiemelt minősítésű énekkarok támogatása</t>
  </si>
  <si>
    <t>IV.2.</t>
  </si>
  <si>
    <t>A települési önkormányzatok által fenntartott, illetve támogatott előadó-művészeti szervezetek támogatása összesen</t>
  </si>
  <si>
    <t>A települési önkormányzatok kulturális feladatainak támogatása</t>
  </si>
  <si>
    <t>26.</t>
  </si>
  <si>
    <t>27.</t>
  </si>
  <si>
    <t>28.</t>
  </si>
  <si>
    <t>30.</t>
  </si>
  <si>
    <t>Egyéb különféle szolgáltatások nyújtása</t>
  </si>
  <si>
    <t>Szakmai szolgáltatás nyújtása</t>
  </si>
  <si>
    <t>Ideiglenes tev. Iparűzési adó</t>
  </si>
  <si>
    <t>Betétek megszüntetése, kincstárjegy vissszavásárlás</t>
  </si>
  <si>
    <t xml:space="preserve"> Középtávú tervezés az adósságot keletkeztető ügyletekből adódó kötelezettségekről az Áht. 29/A. §-a alapján</t>
  </si>
  <si>
    <t>2020.</t>
  </si>
  <si>
    <t>Kiadás összesen</t>
  </si>
  <si>
    <t>Bevétel összesen</t>
  </si>
  <si>
    <t>Nettó adósságállomány</t>
  </si>
  <si>
    <t>2.900.000 EUR
Ebből Kisbérre eső rész: 300.000 EUR (kb. 93.000.000 Ft)</t>
  </si>
  <si>
    <t>EU-s projekt neve</t>
  </si>
  <si>
    <t>Azonosítója</t>
  </si>
  <si>
    <t>Támogatás státusza</t>
  </si>
  <si>
    <t>Saját erő</t>
  </si>
  <si>
    <t>Projekt összköltsége</t>
  </si>
  <si>
    <t>Önként Vállalt</t>
  </si>
  <si>
    <t>Támogatás összesen</t>
  </si>
  <si>
    <t>Önként vállalt összesen:</t>
  </si>
  <si>
    <t>Önként vállalt</t>
  </si>
  <si>
    <t>további évek</t>
  </si>
  <si>
    <t>a)</t>
  </si>
  <si>
    <t>bevételi főösszegét</t>
  </si>
  <si>
    <t>b)</t>
  </si>
  <si>
    <t>kiadási főösszegét</t>
  </si>
  <si>
    <t>Ft-ban állapítja meg.</t>
  </si>
  <si>
    <t>c)</t>
  </si>
  <si>
    <t>a költségvetés bevételi főösszegén belül a költségvetési bevételek főösszegét</t>
  </si>
  <si>
    <t>ezen belül:</t>
  </si>
  <si>
    <t>- a működési célú költségvetési bevételeket</t>
  </si>
  <si>
    <t>- a felhalmozási célú pénzforgalmi bevételeket</t>
  </si>
  <si>
    <t>a költségvetési bevételek főösszegén belül:</t>
  </si>
  <si>
    <t xml:space="preserve">az ÁH belülről származó működési célú támogatások összegét </t>
  </si>
  <si>
    <t>az ÁH belülről származó felhalmozási célú támogatások összegét</t>
  </si>
  <si>
    <t>közhatalmi bevételek összegét</t>
  </si>
  <si>
    <t>működési bevételek összegét</t>
  </si>
  <si>
    <t>felhalmozási bevételek összegét</t>
  </si>
  <si>
    <t>működési célra átvett pénzeszközök összegét</t>
  </si>
  <si>
    <t>felhalmozási célra átvett pénzeszközök összegét</t>
  </si>
  <si>
    <t>d)</t>
  </si>
  <si>
    <t>a költségvetés bevételi főösszegén belül a finanszírozási bevételek főösszegét</t>
  </si>
  <si>
    <t>a belföldi finanszírozás bevételeit</t>
  </si>
  <si>
    <t>a külföldi finanszírozás bevételeit</t>
  </si>
  <si>
    <t>adóssághoz nem kapcs. szárm. ügyletek bevételeit</t>
  </si>
  <si>
    <t>a finanszírozási bevételek főösszegén belül:</t>
  </si>
  <si>
    <t>betétlekötések megszűntetése</t>
  </si>
  <si>
    <t>forgatási célú értékpapírok beváltása</t>
  </si>
  <si>
    <t>maradvány igénybevétel</t>
  </si>
  <si>
    <t>irányítószervi támogatás</t>
  </si>
  <si>
    <t>e)</t>
  </si>
  <si>
    <t>a költségvetés kiadási főösszegén belül a költségvetési kiadások főösszegét</t>
  </si>
  <si>
    <t>- a működési jellegű költségvetési kiadások összegét</t>
  </si>
  <si>
    <t xml:space="preserve">        ebből:</t>
  </si>
  <si>
    <t xml:space="preserve">                személyi juttatás összegét</t>
  </si>
  <si>
    <t xml:space="preserve">               munkaadókat terhelő járulékok összegét</t>
  </si>
  <si>
    <t xml:space="preserve">               dologi kiadások összegét</t>
  </si>
  <si>
    <t xml:space="preserve">               ellátottak pénzbeli juttatásának összegét</t>
  </si>
  <si>
    <t xml:space="preserve">               egyéb működési célú kiadások összegét</t>
  </si>
  <si>
    <t>- a felhalmozási jellegű költségvetési kiadások összegét</t>
  </si>
  <si>
    <t xml:space="preserve">                beruházások összegét</t>
  </si>
  <si>
    <t xml:space="preserve">               felújítások összegét</t>
  </si>
  <si>
    <t xml:space="preserve">               egyéb felhalmozási célú kiadások összegét</t>
  </si>
  <si>
    <t>f)</t>
  </si>
  <si>
    <t>a költségvetés kiadás főösszegén belül a finanszírozási kiadások főösszegét</t>
  </si>
  <si>
    <t>a belföldi finanszírozás kiadásait</t>
  </si>
  <si>
    <t xml:space="preserve">   ebből: irányítószervi támogatást</t>
  </si>
  <si>
    <t xml:space="preserve"> ÁH belüli megelőlegezések     visszafizetése</t>
  </si>
  <si>
    <t>forgatási célú értékpapírok vásárlása</t>
  </si>
  <si>
    <t>a külföldi finanszírozás kiadásait</t>
  </si>
  <si>
    <t>adóssághoz nem kapcs. szárm. ügyletek kiadásait</t>
  </si>
  <si>
    <t>8/b.</t>
  </si>
  <si>
    <t>8/a.</t>
  </si>
  <si>
    <t>Államigazgatási feldatok összesen:</t>
  </si>
  <si>
    <t>Államigazgatási feladatok összesen:</t>
  </si>
  <si>
    <t>Önkormányzatok funkcióra nem sorolható bevételei államháztartáson kívülről</t>
  </si>
  <si>
    <t>eredeti</t>
  </si>
  <si>
    <t>módosított</t>
  </si>
  <si>
    <t>er.</t>
  </si>
  <si>
    <t>mód.</t>
  </si>
  <si>
    <t>Módosított</t>
  </si>
  <si>
    <t>Pe.betétként elhelyezése, kincstárjegy vás.</t>
  </si>
  <si>
    <t>29.</t>
  </si>
  <si>
    <t>Betétek megszüntetése, kincstárjegy visszavás.</t>
  </si>
  <si>
    <t>Pénzeszközök betétként elh.,kincstárjegy vás.</t>
  </si>
  <si>
    <t>Külső finanszírozási bevételek</t>
  </si>
  <si>
    <t>31.</t>
  </si>
  <si>
    <t>32.</t>
  </si>
  <si>
    <t>Óvodai nevelés, ellátás működtetési feladatai</t>
  </si>
  <si>
    <t>Elvonások és befizetések bevételei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</si>
  <si>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</si>
  <si>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</si>
  <si>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</si>
  <si>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</si>
  <si>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</si>
  <si>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</si>
  <si>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</si>
  <si>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</si>
  <si>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</si>
  <si>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Biztosítók által fizetett díjak</t>
  </si>
  <si>
    <t>Európai Uniós támogatással megvalósuló projektjei  a beadott kérelmek alapján</t>
  </si>
  <si>
    <t>Egyéb felh.célú támogatások bevételei ÁH kívülről</t>
  </si>
  <si>
    <t>Működési többlet (+), működési hiány (-)</t>
  </si>
  <si>
    <t>Felhalmozási többlet (+), felhalmozási hiány (-)</t>
  </si>
  <si>
    <t>2021.</t>
  </si>
  <si>
    <t>2021. évi ei.</t>
  </si>
  <si>
    <t>elismert hivatali létszám</t>
  </si>
  <si>
    <t>I.1.a - V.</t>
  </si>
  <si>
    <t>Önkormányzati hivatal működésének támogatása - beszámítás után</t>
  </si>
  <si>
    <t xml:space="preserve">I.1.b </t>
  </si>
  <si>
    <t>Település-üzemeltetéshez kapcsolódó feladatellátás támogatása</t>
  </si>
  <si>
    <t>I.1.b</t>
  </si>
  <si>
    <t>I.1.b - V.</t>
  </si>
  <si>
    <t>Támogatás összesen - beszámítás után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</si>
  <si>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</si>
  <si>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</si>
  <si>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</si>
  <si>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</si>
  <si>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</si>
  <si>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</si>
  <si>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</si>
  <si>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</si>
  <si>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 - V.</t>
  </si>
  <si>
    <t>Egyéb önkormányzati feladatok támogatása - beszámítás után</t>
  </si>
  <si>
    <t>I.1.d - V.</t>
  </si>
  <si>
    <t>Lakott külterülettel kapcsolatos feladatok támogatása - beszámítás után</t>
  </si>
  <si>
    <t xml:space="preserve">idegenfor- galmi adóforint </t>
  </si>
  <si>
    <t>I.1.e - V.</t>
  </si>
  <si>
    <t>Üdülőhelyi feladatok támogatása - beszámítás után</t>
  </si>
  <si>
    <t>Alapfokozatú végzettségű pedagógus II. kategóriába sorolt óvodapedagógusok kiegészítő támogatása, akik a minősítést 2016. december 31-éig szerezték meg</t>
  </si>
  <si>
    <t>Alapfokozatú végzettségű pedagógus II. kategóriába sorolt óvodapedagógusok kiegészítő támogatása, akik a minősítést 2018. január 1-jei átsorolássalszerezték meg</t>
  </si>
  <si>
    <t>Alapfokozatú végzettségű mesterpedagógus kategóriába sorolt óvodapedagógusok kiegészítő támogatása, akik a minősítést 2016. december 31-éig szerezték meg</t>
  </si>
  <si>
    <t>Alapfokozatú végzettségű mesterpedagógus kategóriába sorolt óvodapedagógusok kiegészítő támogatása, akik a minősítést 2018. január 1-jei átsorolássalszerezték meg</t>
  </si>
  <si>
    <t>Mesterfokozatú végzettségű pedagógus II. kategóriába sorolt óvodapedagógusok kiegészítő támogatása, akik a minősítést 2016. december 31-éig szerezték meg</t>
  </si>
  <si>
    <t>Mesterfokozatú végzettségű pedagógus II. kategóriába sorolt óvodapedagógusok kiegészítő támogatása, akik a minősítést 2018. január 1-jei átsorolássalszerezték meg</t>
  </si>
  <si>
    <t>Mesterfokozatú végzettségű mesterpedagógus kategóriába sorolt óvodapedagógusok kiegészítő támogatása, akik a minősítést 2016. december 31-éig szerezték meg</t>
  </si>
  <si>
    <t>Mesterfokozatú végzettségű mesterpedagógus kategóriába sorolt óvodapedagógusok kiegészítő támogatása, akik a minősítést 2018. január 1-jei átsorolássalszerezték meg</t>
  </si>
  <si>
    <t xml:space="preserve">III.3. </t>
  </si>
  <si>
    <t>Egyes szociális és gyermekjóléti feladatok támogatása</t>
  </si>
  <si>
    <t>III.3.j Családi bölcsőde</t>
  </si>
  <si>
    <t>III.3.j (1)</t>
  </si>
  <si>
    <t>III.3.j (2)</t>
  </si>
  <si>
    <t>III.3.j (3)</t>
  </si>
  <si>
    <t>Gyvt. 145. § (2c) bekezdés b) pontja alapján befogadást nyert napközbeni gyermekfelügyelet</t>
  </si>
  <si>
    <t>III.3.l Támogató szolgáltatás</t>
  </si>
  <si>
    <t>III.3.l (1)</t>
  </si>
  <si>
    <t>III.3.l (2)</t>
  </si>
  <si>
    <t>III.3.m Közösségi alapellátások</t>
  </si>
  <si>
    <t>III.3.ma (1)</t>
  </si>
  <si>
    <t>III.3.ma (2)</t>
  </si>
  <si>
    <t>III.3.mb (1)</t>
  </si>
  <si>
    <t>III.3.mb (2)</t>
  </si>
  <si>
    <t>III.3.n Óvodai és iskolai szociális segítő tevékenység támogatása</t>
  </si>
  <si>
    <t>III.3.n</t>
  </si>
  <si>
    <t>Óvodai és iskolai szociális segítő tevékenység támogatása</t>
  </si>
  <si>
    <t>III. 4. A települési önk.által biztosított egyes szociális szakosított ell., v.mint a gyermekek átmeneti gond.kapcs.feladatok tám.</t>
  </si>
  <si>
    <t>III.6. A rászoruló gyermekek szünidei étkeztetésének támogatása</t>
  </si>
  <si>
    <t>III.7. Bölcsőde, mini bölcsőde támogatása</t>
  </si>
  <si>
    <t>III.7.a (1)</t>
  </si>
  <si>
    <t>A finanszírozás szempontjából elismert szakmai dolgozók bértámogatása: felsőfokú végzettségű kisgyermeknevelők, szaktanácsadók</t>
  </si>
  <si>
    <t>III.7.a (2)</t>
  </si>
  <si>
    <t>A finanszírozás szempontjából elismert szakmai dolgozók bértámogatása: bölcsődei dajkák, középfokú végzettségű kisgyermeknevelők, szaktanácsadók</t>
  </si>
  <si>
    <t>III.7.b</t>
  </si>
  <si>
    <t>Bölcsődei üzemeltetési támogatás</t>
  </si>
  <si>
    <t>Megyei hatókörű városi könyvtárak feladatainak támogatása</t>
  </si>
  <si>
    <t>IV.1.d</t>
  </si>
  <si>
    <t xml:space="preserve">Megyei hatókörű városi könyvtár kistelepülési könyvtári célú kiegészítő támogatása 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</si>
  <si>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</si>
  <si>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</si>
  <si>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</si>
  <si>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</si>
  <si>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</si>
  <si>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</si>
  <si>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</si>
  <si>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</si>
  <si>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</si>
  <si>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</si>
  <si>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</si>
  <si>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</si>
  <si>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</si>
  <si>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</si>
  <si>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</si>
  <si>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</si>
  <si>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</si>
  <si>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</si>
  <si>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Étkeztetés térítési díj bevétele</t>
  </si>
  <si>
    <t>Alkalmazottak egyéb térítési díj bevétele</t>
  </si>
  <si>
    <t>Igényelt/elnyert támogatás</t>
  </si>
  <si>
    <t>ÁH-on belüli megelőleg.v.fiz.</t>
  </si>
  <si>
    <t>Kulturális illetménypótlék</t>
  </si>
  <si>
    <t>Egészségügyi kiegészítő illetménypótlék</t>
  </si>
  <si>
    <t>Szociális ágazati pótlék</t>
  </si>
  <si>
    <t>Más egyéb pénzügyi műveletek bevételei</t>
  </si>
  <si>
    <t>HPV védőoltás</t>
  </si>
  <si>
    <t>2022.</t>
  </si>
  <si>
    <t>2022. évi ei.</t>
  </si>
  <si>
    <t>Elszámolásból származó bevételek</t>
  </si>
  <si>
    <t xml:space="preserve">Működési célú költségvetési támogatások </t>
  </si>
  <si>
    <t>Eredeti</t>
  </si>
  <si>
    <t xml:space="preserve">Mód.     </t>
  </si>
  <si>
    <t xml:space="preserve">Dologi </t>
  </si>
  <si>
    <t>Személyi</t>
  </si>
  <si>
    <t>Járulék</t>
  </si>
  <si>
    <t>Egyéb műk.kiadás</t>
  </si>
  <si>
    <t>KTKT-nak átadás - falug.szolg. 2019.évi többlettámog.</t>
  </si>
  <si>
    <t xml:space="preserve">időskorúak nappali intézményi ellátása </t>
  </si>
  <si>
    <t>Dologi kiadások között</t>
  </si>
  <si>
    <t>Karácsonyi ajándékcsomag</t>
  </si>
  <si>
    <t>Tűzifa</t>
  </si>
  <si>
    <t>Fogászati alapellátás</t>
  </si>
  <si>
    <t>Közfoglalkoztatás támogatása</t>
  </si>
  <si>
    <t>ÁH-on belüle megelőlegezések</t>
  </si>
  <si>
    <t>ÁH-on belüle megelőlegezések visszafizetése</t>
  </si>
  <si>
    <t>Önkormányzatok funkcióra nem sorolható bevételei államháztartáson kívülről - külsős étkeztetés szabad kapacitás terhére</t>
  </si>
  <si>
    <t>Közmunkaprogram</t>
  </si>
  <si>
    <t>Rendezvények</t>
  </si>
  <si>
    <t>Sportcsarnok, sportpálya, sportöltöző működtetése és fejlesztése</t>
  </si>
  <si>
    <t>Helyi adó bevételek</t>
  </si>
  <si>
    <t>Közművelődési érd.növelő pályázat</t>
  </si>
  <si>
    <t>ÁH-on belüli megelőlegezések</t>
  </si>
  <si>
    <t>2020. évi eredeti terv</t>
  </si>
  <si>
    <t>Kisbéri Közös Önk-i Hivatal</t>
  </si>
  <si>
    <t>2023.</t>
  </si>
  <si>
    <t xml:space="preserve">2020. évi eredeti ei. </t>
  </si>
  <si>
    <t>2023. évi ei.</t>
  </si>
  <si>
    <t>Álláshelyek száma (2020. jan. 1.) Egész álláshelyben számítva</t>
  </si>
  <si>
    <t>Állami támogatás</t>
  </si>
  <si>
    <t>Bérkompenzáció</t>
  </si>
  <si>
    <t>Felh.c.garancia és kezességváll.m.köt.ÁH kívülre</t>
  </si>
  <si>
    <t>2020. évi megelőlegezés</t>
  </si>
  <si>
    <t>Előző évi  maradvány</t>
  </si>
  <si>
    <t>Kamatbevétel</t>
  </si>
  <si>
    <t>Közfoglalkoztatás</t>
  </si>
  <si>
    <t>Civil szervezetek  támogatása</t>
  </si>
  <si>
    <t>Kötelelező összesen</t>
  </si>
  <si>
    <t>Önként vállalt összesen</t>
  </si>
  <si>
    <t>Aállamigazgatási feladatok összesen</t>
  </si>
  <si>
    <t>Nyitnikék Óvoda</t>
  </si>
  <si>
    <t>Császár Község Önkormányzata és az általa irányított költségvetési szerv 2020. évi kiadásai</t>
  </si>
  <si>
    <t>Császár Község Önkormányzata és az általa irányított költségvetési szerv 2020. évi bevételei forrásonként (e Ft-ban)</t>
  </si>
  <si>
    <t xml:space="preserve">Császár Község Önkormányzata 2020. évi </t>
  </si>
  <si>
    <t>Császár Község Önkormányzata beruházási kiadásai feladatonként (ÁFA-val) 2020. évre e Ft-ban</t>
  </si>
  <si>
    <t>Császár Község Önkormányzata felújítási kiadásai célonként (ÁFA-val) 2020. évre e Ft-ban</t>
  </si>
  <si>
    <t xml:space="preserve">Császár Község Önkormányzata </t>
  </si>
  <si>
    <t>Császár Község Önkormányzata 2020. évi költségvetési hiánya</t>
  </si>
  <si>
    <t>Császár Község  Önkormányzata 2020. évi tartalékai e Ft-ban</t>
  </si>
  <si>
    <t>Császár Község  Önkormányzat 2020. évi bevételei feladatonkénti és bevételi forrásonkénti bontásban ( e Ft-ban )</t>
  </si>
  <si>
    <t>Császár Község  Önkormányzat 2020. évi kiadásai feladatok és kiemelt előirányzatok szerinti bontásban ( e Ft-ban)</t>
  </si>
  <si>
    <t>Nyitnikék Óvoda 2020. évi bevételei feladatonkénti és bevételi forrásonkénti bontásban ( e Ft-ban )</t>
  </si>
  <si>
    <t>Nyitnikék Óvoda 2020. évi kiadásai feladatok és kiemelt előirányzatok szerinti bontásban ( e Ft-ban )</t>
  </si>
  <si>
    <t>Császár Község Önkormányzata által foglalkoztatottak létszámának alakulása 2020. évben</t>
  </si>
  <si>
    <t>Nyinikék Óvoda</t>
  </si>
  <si>
    <t>Császár Község  Önkormányzata 2020. évi költségvetési egyenlegeinek bemutatása</t>
  </si>
  <si>
    <t>Császár Község Város Önkományzata egyes 2020. évi bevételeinek és kiadásainak részletezése</t>
  </si>
  <si>
    <t xml:space="preserve">Műk.c.visszat.tám.megt. ÁH kívülről </t>
  </si>
  <si>
    <t>Császár Község 2020. évi költségvetésében többéves kihatással járó feladatok</t>
  </si>
  <si>
    <t>Császár Község  Önkormányzata 2020. évi közgazdasági mérlege (e Ft-ban)</t>
  </si>
  <si>
    <t>Császár Község Önkormányzata 2020. évi működési célú bevételek és kiadások mérlege (e Ft-ban)</t>
  </si>
  <si>
    <t>Császár Község Önkormányzata 2020. évi felhalmozási célú bevételek és kiadások mérlege (e Ft-ban)</t>
  </si>
  <si>
    <t>Császár Község  Önkormányzata által 2020. évben biztosítandó kedvezmények</t>
  </si>
  <si>
    <t>Császár Község Önkormányzata 2020-2023. évi bevételeinek</t>
  </si>
  <si>
    <t xml:space="preserve">Császár Község Önkormányzata 2020. évi előirányzatfelhasználási és likviditási ütemterve </t>
  </si>
  <si>
    <t xml:space="preserve">Császár Község  Önkormányzata 2020. évi központi forrásból származó bevételeinek jogcímenkénti alakulása </t>
  </si>
  <si>
    <t>Császár Község Önkormányzatának 2019. évi maradvány igénybevétele cél szerinti tagolásban ( Ft-ban)</t>
  </si>
  <si>
    <t>I.5.</t>
  </si>
  <si>
    <t>Polgármesteri Illetmény támogatása</t>
  </si>
  <si>
    <t>III.1.</t>
  </si>
  <si>
    <t>Települési önkormányzatok szociális feladatainak egyéb támogatása</t>
  </si>
  <si>
    <t xml:space="preserve">BURSA Hungarica </t>
  </si>
  <si>
    <t>Hivatali feladatok támogatás visszavonása miatt</t>
  </si>
  <si>
    <t>Kisbéri KÖH átadás szabadság megváltás</t>
  </si>
  <si>
    <t>Sportegyesület 2020.évi része 32/2018 Kt.hat.alapján</t>
  </si>
  <si>
    <t>Beiskolázási segély</t>
  </si>
  <si>
    <t>Első lakáshoz jutás</t>
  </si>
  <si>
    <t>Gyermekszületés támogatása</t>
  </si>
  <si>
    <t>Decemberi egyszeri tám.</t>
  </si>
  <si>
    <t>Gyermekétk.tám</t>
  </si>
  <si>
    <t>Szoc.étk.tám</t>
  </si>
  <si>
    <t>Rendkívüli segélyek</t>
  </si>
  <si>
    <t>Számítástechnikai eszközök beszerzése önkormányzathoz</t>
  </si>
  <si>
    <t>közvilágítás lámpatestek pótlása</t>
  </si>
  <si>
    <t>Műv.Ház tárgyi eszközök beszerzése</t>
  </si>
  <si>
    <t>orvosi rendelő felújítása</t>
  </si>
  <si>
    <t>Császári Nyitnikék Óvoda támogatás</t>
  </si>
  <si>
    <t>Szolgáltatások ellenértéke (szoc.étk.)</t>
  </si>
  <si>
    <t>Egyéb ellátási díjak (gyerek)</t>
  </si>
  <si>
    <t>konyha nagyértékű eszközök</t>
  </si>
  <si>
    <t>kisértékű eszközök</t>
  </si>
  <si>
    <t>Művelődési ház</t>
  </si>
  <si>
    <t>Közvilágítás ellenőrzése</t>
  </si>
  <si>
    <t>Művelődési Ház</t>
  </si>
  <si>
    <t>Császári Nyitnikék Óvoda</t>
  </si>
  <si>
    <t>Orvosi Rendelő felújítása</t>
  </si>
  <si>
    <t>Konyha felújítása</t>
  </si>
  <si>
    <t>Belviz I. ütem visszafizetése</t>
  </si>
  <si>
    <t xml:space="preserve">SZSZK 2020. évi működési hozzájárulás (INE, HSZG, gyv…) </t>
  </si>
  <si>
    <t>Elszámolások a központi költségvetéssel megelőleg.+hivatali feladat tám .visszavonása</t>
  </si>
  <si>
    <t>Óvodai nevelés, ellátás feladatai</t>
  </si>
  <si>
    <t>óvodai feladat</t>
  </si>
  <si>
    <t>Konyha</t>
  </si>
  <si>
    <t>Önkéntes Tűzoltó Egyesület</t>
  </si>
  <si>
    <t xml:space="preserve">Sportegyesület </t>
  </si>
  <si>
    <t>Mentő Alapítvány kisbér</t>
  </si>
  <si>
    <t>Polgárőr Szervezet</t>
  </si>
  <si>
    <t>Rákóczi Szövetség</t>
  </si>
  <si>
    <t>Református Egyház</t>
  </si>
  <si>
    <t>Katolikus Egyház</t>
  </si>
  <si>
    <t>9/a.</t>
  </si>
  <si>
    <t>9/b.</t>
  </si>
  <si>
    <t>15/a.</t>
  </si>
  <si>
    <t>15/b.</t>
  </si>
  <si>
    <t>15/c.</t>
  </si>
  <si>
    <t>MÁK terület alapú támogatás</t>
  </si>
  <si>
    <t>Batthyány körház orvosi ügyeleti hozzájárulás</t>
  </si>
  <si>
    <t>Szolgáltatások ellenértéke (ebéd száll.díja; bérleti díjak)</t>
  </si>
  <si>
    <t>2020. évi módosított terv</t>
  </si>
  <si>
    <t xml:space="preserve">2020. évi módosított ei. </t>
  </si>
  <si>
    <t>*</t>
  </si>
  <si>
    <t>Álláshelyek száma (2020. jún. 1.) Egész álláshelyben számítva</t>
  </si>
  <si>
    <t>* 2019-ről áthúzódő közfogl-i prg. 9 fő, 2020. 03.01-től 2021.02.28-ig 9 fő</t>
  </si>
  <si>
    <t xml:space="preserve"> </t>
  </si>
  <si>
    <t xml:space="preserve">II.1. (1) </t>
  </si>
  <si>
    <t xml:space="preserve">II.1. (2) </t>
  </si>
  <si>
    <t xml:space="preserve">II.2. (1) </t>
  </si>
  <si>
    <t>Hosszabb idejű közfoglalkoztatás 2019-ről áthúzódó</t>
  </si>
  <si>
    <t>Hosszabb idejű közfogl.21107/26/00654 tám.sz.</t>
  </si>
  <si>
    <t>Új bölcsőde építés TOP-1.4.1-19-KO1-2019-00007</t>
  </si>
  <si>
    <t>Ponyvasátor beszerzés VP6-19.2.1-8-4-17</t>
  </si>
  <si>
    <t>kulturális illetménypótlék várható támog.</t>
  </si>
  <si>
    <t>Covid-tesztek megvás.-hoz hozzáj.-25/2020.(IV.22)hat.</t>
  </si>
  <si>
    <t>Vívásoktatás ált.isk.-ban támogatása - 27/2020.(IV.30.)hat.</t>
  </si>
  <si>
    <t>konyha felújítása (eredeti kv. +35/2020. (VI.15.) hat.)</t>
  </si>
  <si>
    <t>ÉDV Zrt csatorna felújítás ( fel nem használt maradványok is)</t>
  </si>
  <si>
    <t>Belterületi út felújítása - pályázati önerő - 31/2020. (VI.10.) hat.</t>
  </si>
  <si>
    <t>Corona-vírus elleni védekezés - permetezőgép vásárlás ÁFA-val</t>
  </si>
  <si>
    <t>Ponyvasátor 3 db - VP6-19.2.1-8-4-17 pályázatból (önerő 178.118,- Ft)</t>
  </si>
  <si>
    <t>Bölcsőde építés</t>
  </si>
  <si>
    <t>Bölcsődébe eszközök, berendezés</t>
  </si>
  <si>
    <t xml:space="preserve">folyamatban lévő beruházások és felújítások során felmerülő többletkiadások, pályázatban nem tervezett költségek, új pályázatok </t>
  </si>
  <si>
    <t>Tartalék - felhalmozási</t>
  </si>
  <si>
    <t>Tartalék - működési</t>
  </si>
  <si>
    <t>Maradvány elvonás intézmény</t>
  </si>
  <si>
    <t>Bölcsőde pályázat - TOP-1.4.1-1--KO1-2019-00007</t>
  </si>
  <si>
    <t>VP6-19.2.1-8-4-17 pályázati támogatás / ponyvasátras</t>
  </si>
  <si>
    <t>Gyermekétkeztetés</t>
  </si>
  <si>
    <t>Korona-vírus elleni védekezés</t>
  </si>
  <si>
    <t>Vívásoktatás támogatása</t>
  </si>
  <si>
    <t>Bölcsődei férőhelyek kialakítása, bővítése</t>
  </si>
  <si>
    <t>TOP-1.4.1-19-KO1-2019-00007</t>
  </si>
  <si>
    <t>Települési környezetvédelmi infrastruktúrális-feljesztések</t>
  </si>
  <si>
    <t>TOP-2.1.3-16-KO1-2019-00015</t>
  </si>
  <si>
    <t>megvalósítás folyamatban</t>
  </si>
  <si>
    <t>Megjegyzés</t>
  </si>
  <si>
    <t>A támogatási összegből 9.227.245,- Ft a KEM-i területfejl-i Kft.-é</t>
  </si>
  <si>
    <t>Csapadékvíz elvezetés - TOP-2.1.3-16-KO1-2019-00015</t>
  </si>
  <si>
    <t>VP6-19.2.1-8-4-17 pályázati támogatás / ponyvasátrak</t>
  </si>
  <si>
    <t xml:space="preserve">Belterületi út felújítása </t>
  </si>
  <si>
    <t>Nyitnikék Óvoda - maradvány elvonás</t>
  </si>
  <si>
    <t>Egyéb felh.kiadás</t>
  </si>
  <si>
    <t>Régi belvízpályázat visszafizetése</t>
  </si>
  <si>
    <t>Covid védekezés</t>
  </si>
  <si>
    <t>2019. évi támogatás elszámolás visszafiz.köt.</t>
  </si>
  <si>
    <t xml:space="preserve">Ponyvasátor 3 db - VP6-19.2.1-8-4-17 pályázat önerő </t>
  </si>
  <si>
    <t>Bankköltségre</t>
  </si>
  <si>
    <t>2020. évi kiadások fedezete</t>
  </si>
  <si>
    <t>ÉDV Zrt csatorna felújítás</t>
  </si>
  <si>
    <t>Közfoglalkoztatás 10 % önerő, szabi megváltás</t>
  </si>
  <si>
    <t>Iskola-eü szolgáltatás 2019. és 2020. évi</t>
  </si>
  <si>
    <t>Erdei iskola támog. - 33/2020.(VI.15.)hat.</t>
  </si>
  <si>
    <t>Vívásoktatás, erdei tábor támogatása</t>
  </si>
  <si>
    <t>Betétek megszüntetése</t>
  </si>
  <si>
    <t>Pénzeszköz betétként történő elhelyezése</t>
  </si>
  <si>
    <t>Betét lekötés</t>
  </si>
  <si>
    <t>Betét megszüntetés</t>
  </si>
  <si>
    <t>orvosi rendelő belső felújítása</t>
  </si>
  <si>
    <t>Orvosi rendelő külső felújítása</t>
  </si>
  <si>
    <t>Sportegyesület - gyepszőnyeg felújítására</t>
  </si>
  <si>
    <t>Kiegészítő támogatás</t>
  </si>
  <si>
    <t>Kiegésíztő támogatás</t>
  </si>
  <si>
    <t>OEP egyszeri bértámogatás fedezete</t>
  </si>
  <si>
    <t>Orvosi rendelő külső felújítása- Magyar Falu Program</t>
  </si>
  <si>
    <t>Orvosi rendelő felújítás</t>
  </si>
  <si>
    <t>melléklet a 12/2020.(IX.17.)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</si>
</sst>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_ ;[Red]\-#,##0\ "/>
    <numFmt numFmtId="166" formatCode="#,##0.0"/>
    <numFmt numFmtId="167" formatCode="0.000"/>
  </numFmts>
  <fonts count="57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10"/>
      <color indexed="55"/>
      <name val="Calibri"/>
      <family val="2"/>
    </font>
    <font>
      <sz val="9"/>
      <color indexed="55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ntique Olive"/>
      <family val="2"/>
    </font>
    <font>
      <sz val="10"/>
      <name val="Times New Roman"/>
      <family val="1"/>
    </font>
    <font>
      <sz val="10"/>
      <color indexed="23"/>
      <name val="Calibri"/>
      <family val="2"/>
    </font>
    <font>
      <sz val="9"/>
      <color indexed="23"/>
      <name val="Calibri"/>
      <family val="2"/>
    </font>
    <font>
      <b/>
      <sz val="8"/>
      <color indexed="8"/>
      <name val="Antique Olive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9"/>
      <name val="Calibri"/>
      <family val="2"/>
    </font>
    <font>
      <b/>
      <sz val="9"/>
      <color indexed="22"/>
      <name val="Calibri"/>
      <family val="2"/>
    </font>
    <font>
      <sz val="12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color indexed="55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</font>
    <font>
      <sz val="8"/>
      <color indexed="8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39998000860214233"/>
        <bgColor indexed="64"/>
      </patternFill>
    </fill>
  </fills>
  <borders count="2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thin"/>
      <top style="thin"/>
      <bottom style="medium"/>
    </border>
    <border>
      <left/>
      <right style="thin">
        <color indexed="8"/>
      </right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>
        <color indexed="8"/>
      </bottom>
    </border>
    <border>
      <left style="medium">
        <color indexed="8"/>
      </left>
      <right style="medium"/>
      <top/>
      <bottom style="thin">
        <color indexed="8"/>
      </bottom>
    </border>
    <border>
      <left style="medium"/>
      <right style="thin"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>
        <color indexed="8"/>
      </left>
      <right style="medium"/>
      <top/>
      <bottom/>
    </border>
    <border>
      <left style="medium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/>
      <top style="medium"/>
      <bottom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 style="medium">
        <color indexed="8"/>
      </left>
      <right/>
      <top style="thin"/>
      <bottom style="thin"/>
    </border>
    <border>
      <left style="medium">
        <color indexed="8"/>
      </left>
      <right/>
      <top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/>
      <bottom style="thin"/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/>
      <bottom style="medium">
        <color indexed="8"/>
      </bottom>
    </border>
    <border>
      <left/>
      <right style="medium"/>
      <top style="medium">
        <color indexed="8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/>
    </border>
    <border>
      <left style="medium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/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</cellStyleXfs>
  <cellXfs count="1165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left" vertical="center"/>
    </xf>
    <xf numFmtId="3" fontId="3" fillId="0" borderId="7" xfId="0" applyNumberFormat="1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/>
    </xf>
    <xf numFmtId="3" fontId="12" fillId="0" borderId="8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8" fillId="0" borderId="4" xfId="0" applyNumberFormat="1" applyFont="1" applyFill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  <xf numFmtId="0" fontId="11" fillId="0" borderId="19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/>
    </xf>
    <xf numFmtId="0" fontId="11" fillId="0" borderId="20" xfId="0" applyNumberFormat="1" applyFont="1" applyFill="1" applyBorder="1" applyAlignment="1">
      <alignment horizontal="left" vertical="center"/>
    </xf>
    <xf numFmtId="0" fontId="11" fillId="0" borderId="18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left" vertical="center"/>
    </xf>
    <xf numFmtId="0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left" vertical="center"/>
    </xf>
    <xf numFmtId="3" fontId="15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 vertical="center" wrapText="1"/>
    </xf>
    <xf numFmtId="0" fontId="4" fillId="0" borderId="0" xfId="0" applyFont="1"/>
    <xf numFmtId="0" fontId="9" fillId="0" borderId="0" xfId="0" applyFont="1"/>
    <xf numFmtId="3" fontId="4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26" xfId="0" applyFont="1" applyBorder="1"/>
    <xf numFmtId="0" fontId="6" fillId="0" borderId="0" xfId="20" applyFont="1" applyBorder="1" applyAlignment="1">
      <alignment/>
      <protection/>
    </xf>
    <xf numFmtId="0" fontId="4" fillId="0" borderId="0" xfId="21" applyFont="1">
      <alignment/>
      <protection/>
    </xf>
    <xf numFmtId="0" fontId="19" fillId="0" borderId="0" xfId="21" applyFont="1">
      <alignment/>
      <protection/>
    </xf>
    <xf numFmtId="0" fontId="6" fillId="0" borderId="0" xfId="21" applyFont="1">
      <alignment/>
      <protection/>
    </xf>
    <xf numFmtId="0" fontId="21" fillId="0" borderId="27" xfId="22" applyFont="1" applyBorder="1" applyAlignment="1">
      <alignment/>
      <protection/>
    </xf>
    <xf numFmtId="0" fontId="20" fillId="0" borderId="27" xfId="22" applyFont="1" applyBorder="1" applyAlignment="1">
      <alignment horizontal="left"/>
      <protection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3" fillId="0" borderId="0" xfId="0" applyFont="1" applyFill="1"/>
    <xf numFmtId="0" fontId="3" fillId="0" borderId="0" xfId="0" applyNumberFormat="1" applyFont="1" applyAlignment="1">
      <alignment horizontal="center"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 vertical="center" wrapText="1"/>
    </xf>
    <xf numFmtId="0" fontId="21" fillId="0" borderId="20" xfId="22" applyFont="1" applyBorder="1">
      <alignment/>
      <protection/>
    </xf>
    <xf numFmtId="0" fontId="8" fillId="0" borderId="0" xfId="0" applyFont="1" applyBorder="1" applyAlignment="1">
      <alignment horizontal="center"/>
    </xf>
    <xf numFmtId="0" fontId="20" fillId="0" borderId="27" xfId="22" applyFont="1" applyBorder="1" applyAlignment="1">
      <alignment/>
      <protection/>
    </xf>
    <xf numFmtId="0" fontId="8" fillId="0" borderId="28" xfId="0" applyFont="1" applyBorder="1" applyAlignment="1">
      <alignment horizontal="center"/>
    </xf>
    <xf numFmtId="3" fontId="8" fillId="0" borderId="28" xfId="0" applyNumberFormat="1" applyFont="1" applyBorder="1"/>
    <xf numFmtId="3" fontId="8" fillId="0" borderId="29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28" xfId="0" applyFont="1" applyFill="1" applyBorder="1" applyAlignment="1">
      <alignment/>
    </xf>
    <xf numFmtId="0" fontId="9" fillId="0" borderId="26" xfId="0" applyFont="1" applyFill="1" applyBorder="1"/>
    <xf numFmtId="3" fontId="3" fillId="0" borderId="0" xfId="0" applyNumberFormat="1" applyFont="1" applyAlignment="1">
      <alignment horizontal="center" vertical="center"/>
    </xf>
    <xf numFmtId="3" fontId="3" fillId="0" borderId="31" xfId="0" applyNumberFormat="1" applyFont="1" applyFill="1" applyBorder="1" applyAlignment="1">
      <alignment horizontal="left" vertical="center"/>
    </xf>
    <xf numFmtId="0" fontId="17" fillId="0" borderId="0" xfId="0" applyFont="1"/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0" xfId="0" applyFont="1"/>
    <xf numFmtId="3" fontId="3" fillId="0" borderId="40" xfId="0" applyNumberFormat="1" applyFont="1" applyFill="1" applyBorder="1" applyAlignment="1">
      <alignment horizontal="left" vertical="center"/>
    </xf>
    <xf numFmtId="3" fontId="14" fillId="0" borderId="41" xfId="0" applyNumberFormat="1" applyFont="1" applyFill="1" applyBorder="1" applyAlignment="1">
      <alignment horizontal="left" vertical="center"/>
    </xf>
    <xf numFmtId="3" fontId="3" fillId="0" borderId="42" xfId="0" applyNumberFormat="1" applyFont="1" applyFill="1" applyBorder="1" applyAlignment="1">
      <alignment horizontal="left" vertical="center"/>
    </xf>
    <xf numFmtId="3" fontId="3" fillId="0" borderId="43" xfId="0" applyNumberFormat="1" applyFont="1" applyFill="1" applyBorder="1" applyAlignment="1">
      <alignment horizontal="left" vertical="center"/>
    </xf>
    <xf numFmtId="3" fontId="3" fillId="0" borderId="44" xfId="0" applyNumberFormat="1" applyFont="1" applyFill="1" applyBorder="1" applyAlignment="1">
      <alignment horizontal="left" vertical="center"/>
    </xf>
    <xf numFmtId="3" fontId="8" fillId="0" borderId="45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49" xfId="0" applyFont="1" applyFill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28" xfId="0" applyFont="1" applyBorder="1"/>
    <xf numFmtId="0" fontId="30" fillId="0" borderId="28" xfId="0" applyFont="1" applyBorder="1" applyAlignment="1">
      <alignment horizontal="center" vertical="center" wrapText="1"/>
    </xf>
    <xf numFmtId="0" fontId="30" fillId="0" borderId="0" xfId="0" applyFont="1"/>
    <xf numFmtId="0" fontId="30" fillId="0" borderId="28" xfId="0" applyFont="1" applyBorder="1" applyAlignment="1">
      <alignment horizontal="left" vertical="center" wrapText="1"/>
    </xf>
    <xf numFmtId="3" fontId="30" fillId="0" borderId="28" xfId="0" applyNumberFormat="1" applyFont="1" applyBorder="1"/>
    <xf numFmtId="3" fontId="31" fillId="2" borderId="28" xfId="0" applyNumberFormat="1" applyFont="1" applyFill="1" applyBorder="1"/>
    <xf numFmtId="0" fontId="31" fillId="3" borderId="28" xfId="0" applyFont="1" applyFill="1" applyBorder="1"/>
    <xf numFmtId="3" fontId="31" fillId="3" borderId="28" xfId="0" applyNumberFormat="1" applyFont="1" applyFill="1" applyBorder="1"/>
    <xf numFmtId="0" fontId="31" fillId="0" borderId="28" xfId="0" applyFont="1" applyBorder="1"/>
    <xf numFmtId="164" fontId="20" fillId="0" borderId="50" xfId="22" applyNumberFormat="1" applyFont="1" applyBorder="1">
      <alignment/>
      <protection/>
    </xf>
    <xf numFmtId="164" fontId="21" fillId="0" borderId="50" xfId="22" applyNumberFormat="1" applyFont="1" applyBorder="1">
      <alignment/>
      <protection/>
    </xf>
    <xf numFmtId="164" fontId="9" fillId="0" borderId="0" xfId="0" applyNumberFormat="1" applyFont="1"/>
    <xf numFmtId="164" fontId="20" fillId="0" borderId="27" xfId="22" applyNumberFormat="1" applyFont="1" applyBorder="1">
      <alignment/>
      <protection/>
    </xf>
    <xf numFmtId="164" fontId="21" fillId="0" borderId="27" xfId="22" applyNumberFormat="1" applyFont="1" applyBorder="1" applyAlignment="1">
      <alignment horizontal="right"/>
      <protection/>
    </xf>
    <xf numFmtId="164" fontId="20" fillId="0" borderId="27" xfId="22" applyNumberFormat="1" applyFont="1" applyBorder="1" applyAlignment="1">
      <alignment/>
      <protection/>
    </xf>
    <xf numFmtId="164" fontId="23" fillId="0" borderId="0" xfId="0" applyNumberFormat="1" applyFont="1" applyFill="1"/>
    <xf numFmtId="164" fontId="0" fillId="0" borderId="0" xfId="0" applyNumberFormat="1"/>
    <xf numFmtId="164" fontId="4" fillId="0" borderId="51" xfId="0" applyNumberFormat="1" applyFont="1" applyBorder="1" applyAlignment="1">
      <alignment vertical="center"/>
    </xf>
    <xf numFmtId="164" fontId="4" fillId="0" borderId="52" xfId="0" applyNumberFormat="1" applyFont="1" applyBorder="1" applyAlignment="1">
      <alignment vertical="center"/>
    </xf>
    <xf numFmtId="164" fontId="4" fillId="0" borderId="53" xfId="0" applyNumberFormat="1" applyFont="1" applyFill="1" applyBorder="1" applyAlignment="1">
      <alignment vertical="center"/>
    </xf>
    <xf numFmtId="164" fontId="4" fillId="0" borderId="54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164" fontId="4" fillId="0" borderId="55" xfId="0" applyNumberFormat="1" applyFont="1" applyFill="1" applyBorder="1" applyAlignment="1">
      <alignment vertical="center"/>
    </xf>
    <xf numFmtId="164" fontId="4" fillId="0" borderId="56" xfId="0" applyNumberFormat="1" applyFont="1" applyBorder="1" applyAlignment="1">
      <alignment vertical="center"/>
    </xf>
    <xf numFmtId="164" fontId="4" fillId="0" borderId="57" xfId="0" applyNumberFormat="1" applyFont="1" applyBorder="1" applyAlignment="1">
      <alignment vertical="center"/>
    </xf>
    <xf numFmtId="164" fontId="4" fillId="0" borderId="58" xfId="0" applyNumberFormat="1" applyFont="1" applyFill="1" applyBorder="1" applyAlignment="1">
      <alignment vertical="center"/>
    </xf>
    <xf numFmtId="164" fontId="4" fillId="0" borderId="39" xfId="0" applyNumberFormat="1" applyFont="1" applyBorder="1" applyAlignment="1">
      <alignment vertical="center"/>
    </xf>
    <xf numFmtId="164" fontId="7" fillId="0" borderId="38" xfId="0" applyNumberFormat="1" applyFont="1" applyBorder="1" applyAlignment="1">
      <alignment vertical="center"/>
    </xf>
    <xf numFmtId="164" fontId="7" fillId="0" borderId="37" xfId="0" applyNumberFormat="1" applyFont="1" applyBorder="1" applyAlignment="1">
      <alignment vertical="center"/>
    </xf>
    <xf numFmtId="164" fontId="4" fillId="0" borderId="59" xfId="0" applyNumberFormat="1" applyFont="1" applyBorder="1" applyAlignment="1">
      <alignment vertical="center"/>
    </xf>
    <xf numFmtId="164" fontId="4" fillId="0" borderId="60" xfId="0" applyNumberFormat="1" applyFont="1" applyBorder="1" applyAlignment="1">
      <alignment vertical="center"/>
    </xf>
    <xf numFmtId="164" fontId="4" fillId="0" borderId="61" xfId="0" applyNumberFormat="1" applyFont="1" applyBorder="1" applyAlignment="1">
      <alignment vertical="center"/>
    </xf>
    <xf numFmtId="164" fontId="4" fillId="0" borderId="55" xfId="0" applyNumberFormat="1" applyFont="1" applyBorder="1" applyAlignment="1">
      <alignment vertical="center"/>
    </xf>
    <xf numFmtId="164" fontId="4" fillId="0" borderId="30" xfId="0" applyNumberFormat="1" applyFont="1" applyBorder="1"/>
    <xf numFmtId="164" fontId="4" fillId="0" borderId="55" xfId="0" applyNumberFormat="1" applyFont="1" applyBorder="1"/>
    <xf numFmtId="164" fontId="4" fillId="0" borderId="58" xfId="0" applyNumberFormat="1" applyFont="1" applyBorder="1" applyAlignment="1">
      <alignment vertical="center"/>
    </xf>
    <xf numFmtId="164" fontId="6" fillId="0" borderId="38" xfId="0" applyNumberFormat="1" applyFont="1" applyBorder="1" applyAlignment="1">
      <alignment vertical="center"/>
    </xf>
    <xf numFmtId="164" fontId="6" fillId="0" borderId="37" xfId="0" applyNumberFormat="1" applyFont="1" applyBorder="1" applyAlignment="1">
      <alignment vertical="center"/>
    </xf>
    <xf numFmtId="164" fontId="4" fillId="0" borderId="62" xfId="0" applyNumberFormat="1" applyFont="1" applyBorder="1" applyAlignment="1">
      <alignment vertical="center"/>
    </xf>
    <xf numFmtId="164" fontId="6" fillId="0" borderId="63" xfId="0" applyNumberFormat="1" applyFont="1" applyBorder="1" applyAlignment="1">
      <alignment vertical="center"/>
    </xf>
    <xf numFmtId="164" fontId="6" fillId="0" borderId="64" xfId="0" applyNumberFormat="1" applyFont="1" applyBorder="1" applyAlignment="1">
      <alignment vertical="center"/>
    </xf>
    <xf numFmtId="164" fontId="12" fillId="0" borderId="39" xfId="0" applyNumberFormat="1" applyFont="1" applyBorder="1" applyAlignment="1">
      <alignment vertical="center"/>
    </xf>
    <xf numFmtId="164" fontId="12" fillId="0" borderId="38" xfId="0" applyNumberFormat="1" applyFont="1" applyBorder="1" applyAlignment="1">
      <alignment vertical="center"/>
    </xf>
    <xf numFmtId="164" fontId="12" fillId="0" borderId="37" xfId="0" applyNumberFormat="1" applyFont="1" applyBorder="1" applyAlignment="1">
      <alignment vertical="center"/>
    </xf>
    <xf numFmtId="164" fontId="7" fillId="0" borderId="59" xfId="0" applyNumberFormat="1" applyFont="1" applyBorder="1" applyAlignment="1">
      <alignment vertical="center"/>
    </xf>
    <xf numFmtId="164" fontId="7" fillId="0" borderId="60" xfId="0" applyNumberFormat="1" applyFont="1" applyBorder="1" applyAlignment="1">
      <alignment vertical="center"/>
    </xf>
    <xf numFmtId="164" fontId="7" fillId="0" borderId="65" xfId="0" applyNumberFormat="1" applyFont="1" applyBorder="1" applyAlignment="1">
      <alignment vertical="center"/>
    </xf>
    <xf numFmtId="164" fontId="7" fillId="0" borderId="56" xfId="0" applyNumberFormat="1" applyFont="1" applyBorder="1" applyAlignment="1">
      <alignment vertical="center"/>
    </xf>
    <xf numFmtId="164" fontId="7" fillId="0" borderId="57" xfId="0" applyNumberFormat="1" applyFont="1" applyBorder="1" applyAlignment="1">
      <alignment vertical="center"/>
    </xf>
    <xf numFmtId="164" fontId="7" fillId="0" borderId="66" xfId="0" applyNumberFormat="1" applyFont="1" applyBorder="1" applyAlignment="1">
      <alignment vertical="center"/>
    </xf>
    <xf numFmtId="164" fontId="6" fillId="0" borderId="39" xfId="0" applyNumberFormat="1" applyFont="1" applyBorder="1" applyAlignment="1">
      <alignment vertical="center"/>
    </xf>
    <xf numFmtId="164" fontId="6" fillId="0" borderId="62" xfId="0" applyNumberFormat="1" applyFont="1" applyBorder="1" applyAlignment="1">
      <alignment vertical="center"/>
    </xf>
    <xf numFmtId="164" fontId="6" fillId="0" borderId="59" xfId="0" applyNumberFormat="1" applyFont="1" applyBorder="1" applyAlignment="1">
      <alignment vertical="center"/>
    </xf>
    <xf numFmtId="164" fontId="6" fillId="0" borderId="54" xfId="0" applyNumberFormat="1" applyFont="1" applyBorder="1" applyAlignment="1">
      <alignment vertical="center"/>
    </xf>
    <xf numFmtId="164" fontId="6" fillId="0" borderId="56" xfId="0" applyNumberFormat="1" applyFont="1" applyBorder="1" applyAlignment="1">
      <alignment vertical="center"/>
    </xf>
    <xf numFmtId="164" fontId="6" fillId="0" borderId="67" xfId="0" applyNumberFormat="1" applyFont="1" applyBorder="1" applyAlignment="1">
      <alignment vertical="center"/>
    </xf>
    <xf numFmtId="164" fontId="4" fillId="0" borderId="68" xfId="0" applyNumberFormat="1" applyFont="1" applyBorder="1" applyAlignment="1">
      <alignment vertical="center"/>
    </xf>
    <xf numFmtId="164" fontId="4" fillId="0" borderId="69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27" fillId="0" borderId="28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70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71" xfId="0" applyNumberFormat="1" applyFont="1" applyFill="1" applyBorder="1" applyAlignment="1">
      <alignment vertical="center"/>
    </xf>
    <xf numFmtId="164" fontId="3" fillId="0" borderId="72" xfId="0" applyNumberFormat="1" applyFont="1" applyFill="1" applyBorder="1" applyAlignment="1">
      <alignment vertical="center"/>
    </xf>
    <xf numFmtId="164" fontId="3" fillId="0" borderId="73" xfId="0" applyNumberFormat="1" applyFont="1" applyFill="1" applyBorder="1" applyAlignment="1">
      <alignment vertical="center"/>
    </xf>
    <xf numFmtId="164" fontId="3" fillId="0" borderId="74" xfId="0" applyNumberFormat="1" applyFont="1" applyFill="1" applyBorder="1" applyAlignment="1">
      <alignment vertical="center"/>
    </xf>
    <xf numFmtId="164" fontId="12" fillId="0" borderId="75" xfId="0" applyNumberFormat="1" applyFont="1" applyFill="1" applyBorder="1" applyAlignment="1">
      <alignment vertical="center"/>
    </xf>
    <xf numFmtId="164" fontId="8" fillId="0" borderId="76" xfId="0" applyNumberFormat="1" applyFont="1" applyFill="1" applyBorder="1" applyAlignment="1">
      <alignment vertical="center"/>
    </xf>
    <xf numFmtId="164" fontId="11" fillId="0" borderId="77" xfId="0" applyNumberFormat="1" applyFont="1" applyFill="1" applyBorder="1" applyAlignment="1">
      <alignment vertical="center"/>
    </xf>
    <xf numFmtId="164" fontId="3" fillId="0" borderId="78" xfId="0" applyNumberFormat="1" applyFont="1" applyFill="1" applyBorder="1" applyAlignment="1">
      <alignment vertical="center"/>
    </xf>
    <xf numFmtId="164" fontId="3" fillId="0" borderId="79" xfId="0" applyNumberFormat="1" applyFont="1" applyFill="1" applyBorder="1" applyAlignment="1">
      <alignment vertical="center"/>
    </xf>
    <xf numFmtId="164" fontId="3" fillId="0" borderId="80" xfId="0" applyNumberFormat="1" applyFont="1" applyFill="1" applyBorder="1" applyAlignment="1">
      <alignment vertical="center"/>
    </xf>
    <xf numFmtId="164" fontId="3" fillId="0" borderId="81" xfId="0" applyNumberFormat="1" applyFont="1" applyBorder="1" applyAlignment="1">
      <alignment vertical="center"/>
    </xf>
    <xf numFmtId="164" fontId="3" fillId="0" borderId="82" xfId="0" applyNumberFormat="1" applyFont="1" applyFill="1" applyBorder="1" applyAlignment="1">
      <alignment vertical="center"/>
    </xf>
    <xf numFmtId="164" fontId="11" fillId="0" borderId="75" xfId="0" applyNumberFormat="1" applyFont="1" applyFill="1" applyBorder="1" applyAlignment="1">
      <alignment vertical="center"/>
    </xf>
    <xf numFmtId="164" fontId="11" fillId="0" borderId="76" xfId="0" applyNumberFormat="1" applyFont="1" applyFill="1" applyBorder="1" applyAlignment="1">
      <alignment vertical="center"/>
    </xf>
    <xf numFmtId="164" fontId="11" fillId="0" borderId="50" xfId="0" applyNumberFormat="1" applyFont="1" applyFill="1" applyBorder="1" applyAlignment="1">
      <alignment vertical="center"/>
    </xf>
    <xf numFmtId="164" fontId="3" fillId="0" borderId="83" xfId="0" applyNumberFormat="1" applyFont="1" applyFill="1" applyBorder="1" applyAlignment="1">
      <alignment vertical="center"/>
    </xf>
    <xf numFmtId="164" fontId="8" fillId="0" borderId="75" xfId="0" applyNumberFormat="1" applyFont="1" applyFill="1" applyBorder="1" applyAlignment="1">
      <alignment vertical="center"/>
    </xf>
    <xf numFmtId="164" fontId="8" fillId="0" borderId="81" xfId="0" applyNumberFormat="1" applyFont="1" applyBorder="1" applyAlignment="1">
      <alignment vertical="center"/>
    </xf>
    <xf numFmtId="164" fontId="8" fillId="0" borderId="84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18" fillId="0" borderId="50" xfId="0" applyNumberFormat="1" applyFont="1" applyBorder="1" applyAlignment="1">
      <alignment horizontal="right" vertical="center" wrapText="1"/>
    </xf>
    <xf numFmtId="164" fontId="18" fillId="0" borderId="73" xfId="0" applyNumberFormat="1" applyFont="1" applyBorder="1" applyAlignment="1">
      <alignment horizontal="right" vertical="center" wrapText="1"/>
    </xf>
    <xf numFmtId="164" fontId="18" fillId="0" borderId="27" xfId="0" applyNumberFormat="1" applyFont="1" applyBorder="1" applyAlignment="1">
      <alignment horizontal="right" vertical="center" wrapText="1"/>
    </xf>
    <xf numFmtId="164" fontId="18" fillId="0" borderId="79" xfId="0" applyNumberFormat="1" applyFont="1" applyBorder="1" applyAlignment="1">
      <alignment horizontal="right" vertical="center" wrapText="1"/>
    </xf>
    <xf numFmtId="164" fontId="17" fillId="0" borderId="27" xfId="0" applyNumberFormat="1" applyFont="1" applyBorder="1" applyAlignment="1">
      <alignment horizontal="right" vertical="center" wrapText="1"/>
    </xf>
    <xf numFmtId="164" fontId="17" fillId="0" borderId="79" xfId="0" applyNumberFormat="1" applyFont="1" applyBorder="1" applyAlignment="1">
      <alignment horizontal="right" vertical="center" wrapText="1"/>
    </xf>
    <xf numFmtId="164" fontId="18" fillId="0" borderId="71" xfId="0" applyNumberFormat="1" applyFont="1" applyBorder="1" applyAlignment="1">
      <alignment horizontal="right" vertical="center" wrapText="1"/>
    </xf>
    <xf numFmtId="164" fontId="18" fillId="0" borderId="83" xfId="0" applyNumberFormat="1" applyFont="1" applyBorder="1" applyAlignment="1">
      <alignment horizontal="right" vertical="center" wrapText="1"/>
    </xf>
    <xf numFmtId="164" fontId="18" fillId="0" borderId="85" xfId="0" applyNumberFormat="1" applyFont="1" applyBorder="1" applyAlignment="1">
      <alignment horizontal="right" vertical="center" wrapText="1"/>
    </xf>
    <xf numFmtId="164" fontId="18" fillId="0" borderId="48" xfId="0" applyNumberFormat="1" applyFont="1" applyBorder="1" applyAlignment="1">
      <alignment horizontal="right" vertical="center" wrapText="1"/>
    </xf>
    <xf numFmtId="164" fontId="18" fillId="0" borderId="86" xfId="0" applyNumberFormat="1" applyFont="1" applyBorder="1"/>
    <xf numFmtId="164" fontId="18" fillId="0" borderId="87" xfId="0" applyNumberFormat="1" applyFont="1" applyBorder="1"/>
    <xf numFmtId="164" fontId="8" fillId="0" borderId="28" xfId="0" applyNumberFormat="1" applyFont="1" applyBorder="1"/>
    <xf numFmtId="164" fontId="3" fillId="0" borderId="35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3" fillId="0" borderId="33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12" fillId="0" borderId="88" xfId="0" applyNumberFormat="1" applyFont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89" xfId="0" applyNumberFormat="1" applyFont="1" applyFill="1" applyBorder="1" applyAlignment="1">
      <alignment vertical="center"/>
    </xf>
    <xf numFmtId="164" fontId="3" fillId="0" borderId="73" xfId="0" applyNumberFormat="1" applyFont="1" applyBorder="1" applyAlignment="1">
      <alignment vertical="center"/>
    </xf>
    <xf numFmtId="164" fontId="3" fillId="0" borderId="90" xfId="0" applyNumberFormat="1" applyFont="1" applyFill="1" applyBorder="1" applyAlignment="1">
      <alignment vertical="center"/>
    </xf>
    <xf numFmtId="164" fontId="3" fillId="0" borderId="79" xfId="0" applyNumberFormat="1" applyFont="1" applyBorder="1" applyAlignment="1">
      <alignment vertical="center"/>
    </xf>
    <xf numFmtId="164" fontId="3" fillId="0" borderId="91" xfId="0" applyNumberFormat="1" applyFont="1" applyFill="1" applyBorder="1" applyAlignment="1">
      <alignment vertical="center"/>
    </xf>
    <xf numFmtId="164" fontId="3" fillId="0" borderId="80" xfId="0" applyNumberFormat="1" applyFont="1" applyBorder="1" applyAlignment="1">
      <alignment vertical="center"/>
    </xf>
    <xf numFmtId="164" fontId="8" fillId="0" borderId="39" xfId="0" applyNumberFormat="1" applyFont="1" applyFill="1" applyBorder="1" applyAlignment="1">
      <alignment vertical="center"/>
    </xf>
    <xf numFmtId="164" fontId="8" fillId="0" borderId="92" xfId="0" applyNumberFormat="1" applyFont="1" applyFill="1" applyBorder="1" applyAlignment="1">
      <alignment vertical="center"/>
    </xf>
    <xf numFmtId="164" fontId="8" fillId="0" borderId="93" xfId="0" applyNumberFormat="1" applyFont="1" applyFill="1" applyBorder="1" applyAlignment="1">
      <alignment vertical="center"/>
    </xf>
    <xf numFmtId="164" fontId="3" fillId="0" borderId="65" xfId="0" applyNumberFormat="1" applyFont="1" applyFill="1" applyBorder="1" applyAlignment="1">
      <alignment vertical="center"/>
    </xf>
    <xf numFmtId="164" fontId="3" fillId="0" borderId="78" xfId="0" applyNumberFormat="1" applyFont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94" xfId="0" applyNumberFormat="1" applyFont="1" applyBorder="1" applyAlignment="1">
      <alignment vertical="center"/>
    </xf>
    <xf numFmtId="164" fontId="3" fillId="0" borderId="69" xfId="0" applyNumberFormat="1" applyFont="1" applyBorder="1" applyAlignment="1">
      <alignment vertical="center"/>
    </xf>
    <xf numFmtId="164" fontId="8" fillId="0" borderId="95" xfId="0" applyNumberFormat="1" applyFont="1" applyFill="1" applyBorder="1" applyAlignment="1">
      <alignment vertical="center"/>
    </xf>
    <xf numFmtId="164" fontId="3" fillId="0" borderId="77" xfId="0" applyNumberFormat="1" applyFont="1" applyFill="1" applyBorder="1" applyAlignment="1">
      <alignment vertical="center"/>
    </xf>
    <xf numFmtId="164" fontId="3" fillId="0" borderId="53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64" fontId="8" fillId="0" borderId="96" xfId="0" applyNumberFormat="1" applyFont="1" applyFill="1" applyBorder="1" applyAlignment="1">
      <alignment vertical="center"/>
    </xf>
    <xf numFmtId="164" fontId="3" fillId="0" borderId="97" xfId="0" applyNumberFormat="1" applyFont="1" applyFill="1" applyBorder="1" applyAlignment="1">
      <alignment vertical="center"/>
    </xf>
    <xf numFmtId="164" fontId="3" fillId="0" borderId="98" xfId="0" applyNumberFormat="1" applyFont="1" applyFill="1" applyBorder="1" applyAlignment="1">
      <alignment vertical="center"/>
    </xf>
    <xf numFmtId="164" fontId="8" fillId="0" borderId="99" xfId="0" applyNumberFormat="1" applyFont="1" applyFill="1" applyBorder="1" applyAlignment="1">
      <alignment vertical="center"/>
    </xf>
    <xf numFmtId="164" fontId="12" fillId="0" borderId="95" xfId="0" applyNumberFormat="1" applyFont="1" applyFill="1" applyBorder="1" applyAlignment="1">
      <alignment vertical="center"/>
    </xf>
    <xf numFmtId="164" fontId="12" fillId="0" borderId="93" xfId="0" applyNumberFormat="1" applyFont="1" applyFill="1" applyBorder="1" applyAlignment="1">
      <alignment vertical="center"/>
    </xf>
    <xf numFmtId="164" fontId="7" fillId="0" borderId="39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3" fillId="0" borderId="0" xfId="0" applyFont="1"/>
    <xf numFmtId="3" fontId="0" fillId="0" borderId="0" xfId="0" applyNumberFormat="1"/>
    <xf numFmtId="0" fontId="34" fillId="0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28" xfId="0" applyFont="1" applyBorder="1" applyAlignment="1">
      <alignment vertical="center" wrapText="1"/>
    </xf>
    <xf numFmtId="164" fontId="6" fillId="0" borderId="37" xfId="0" applyNumberFormat="1" applyFont="1" applyFill="1" applyBorder="1" applyAlignment="1">
      <alignment vertical="center"/>
    </xf>
    <xf numFmtId="164" fontId="6" fillId="0" borderId="64" xfId="0" applyNumberFormat="1" applyFont="1" applyFill="1" applyBorder="1" applyAlignment="1">
      <alignment vertical="center"/>
    </xf>
    <xf numFmtId="164" fontId="4" fillId="0" borderId="54" xfId="0" applyNumberFormat="1" applyFont="1" applyBorder="1" applyAlignment="1">
      <alignment/>
    </xf>
    <xf numFmtId="164" fontId="4" fillId="0" borderId="67" xfId="0" applyNumberFormat="1" applyFont="1" applyBorder="1" applyAlignment="1">
      <alignment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7" fillId="0" borderId="100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6" fillId="0" borderId="100" xfId="0" applyFont="1" applyBorder="1" applyAlignment="1">
      <alignment vertical="center" wrapText="1"/>
    </xf>
    <xf numFmtId="0" fontId="4" fillId="0" borderId="102" xfId="0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0" fontId="4" fillId="0" borderId="103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02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12" fillId="0" borderId="100" xfId="0" applyFont="1" applyBorder="1" applyAlignment="1">
      <alignment vertical="center"/>
    </xf>
    <xf numFmtId="0" fontId="4" fillId="0" borderId="102" xfId="0" applyFont="1" applyFill="1" applyBorder="1" applyAlignment="1">
      <alignment vertical="center"/>
    </xf>
    <xf numFmtId="0" fontId="7" fillId="0" borderId="103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4" fillId="0" borderId="10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6" fillId="0" borderId="100" xfId="0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3" fontId="3" fillId="0" borderId="77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79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71" xfId="0" applyNumberFormat="1" applyFont="1" applyFill="1" applyBorder="1" applyAlignment="1">
      <alignment horizontal="right" vertical="center"/>
    </xf>
    <xf numFmtId="3" fontId="3" fillId="0" borderId="83" xfId="0" applyNumberFormat="1" applyFont="1" applyFill="1" applyBorder="1" applyAlignment="1">
      <alignment vertical="center"/>
    </xf>
    <xf numFmtId="3" fontId="8" fillId="0" borderId="85" xfId="0" applyNumberFormat="1" applyFont="1" applyFill="1" applyBorder="1" applyAlignment="1">
      <alignment horizontal="center" vertical="center"/>
    </xf>
    <xf numFmtId="3" fontId="8" fillId="0" borderId="85" xfId="0" applyNumberFormat="1" applyFont="1" applyFill="1" applyBorder="1" applyAlignment="1">
      <alignment horizontal="right" vertical="center"/>
    </xf>
    <xf numFmtId="3" fontId="8" fillId="0" borderId="48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73" xfId="0" applyNumberFormat="1" applyFont="1" applyFill="1" applyBorder="1" applyAlignment="1">
      <alignment vertical="center"/>
    </xf>
    <xf numFmtId="3" fontId="3" fillId="0" borderId="105" xfId="0" applyNumberFormat="1" applyFont="1" applyFill="1" applyBorder="1" applyAlignment="1">
      <alignment vertical="center"/>
    </xf>
    <xf numFmtId="3" fontId="30" fillId="0" borderId="28" xfId="0" applyNumberFormat="1" applyFont="1" applyBorder="1" applyAlignment="1">
      <alignment horizontal="right" vertical="center" wrapText="1"/>
    </xf>
    <xf numFmtId="3" fontId="30" fillId="0" borderId="28" xfId="0" applyNumberFormat="1" applyFont="1" applyBorder="1" applyAlignment="1">
      <alignment horizontal="right" vertical="center"/>
    </xf>
    <xf numFmtId="164" fontId="3" fillId="0" borderId="2" xfId="0" applyNumberFormat="1" applyFont="1" applyFill="1" applyBorder="1" applyAlignment="1">
      <alignment vertical="center"/>
    </xf>
    <xf numFmtId="0" fontId="35" fillId="4" borderId="0" xfId="0" applyFont="1" applyFill="1"/>
    <xf numFmtId="3" fontId="36" fillId="4" borderId="0" xfId="0" applyNumberFormat="1" applyFont="1" applyFill="1" applyAlignment="1">
      <alignment horizontal="right"/>
    </xf>
    <xf numFmtId="3" fontId="37" fillId="4" borderId="0" xfId="0" applyNumberFormat="1" applyFont="1" applyFill="1" applyAlignment="1">
      <alignment horizontal="right"/>
    </xf>
    <xf numFmtId="0" fontId="39" fillId="0" borderId="0" xfId="0" applyFont="1"/>
    <xf numFmtId="3" fontId="40" fillId="0" borderId="0" xfId="0" applyNumberFormat="1" applyFont="1" applyAlignment="1">
      <alignment horizontal="right"/>
    </xf>
    <xf numFmtId="0" fontId="41" fillId="0" borderId="0" xfId="0" applyFont="1"/>
    <xf numFmtId="0" fontId="36" fillId="0" borderId="0" xfId="0" applyFont="1"/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3" fontId="37" fillId="0" borderId="0" xfId="0" applyNumberFormat="1" applyFont="1" applyAlignment="1">
      <alignment horizontal="right"/>
    </xf>
    <xf numFmtId="0" fontId="40" fillId="0" borderId="0" xfId="0" applyFont="1" applyAlignment="1">
      <alignment horizontal="left" indent="2"/>
    </xf>
    <xf numFmtId="165" fontId="40" fillId="0" borderId="0" xfId="0" applyNumberFormat="1" applyFont="1" applyAlignment="1">
      <alignment horizontal="right"/>
    </xf>
    <xf numFmtId="0" fontId="35" fillId="0" borderId="0" xfId="0" applyFont="1"/>
    <xf numFmtId="0" fontId="35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30" fillId="0" borderId="26" xfId="0" applyFont="1" applyFill="1" applyBorder="1"/>
    <xf numFmtId="3" fontId="30" fillId="0" borderId="55" xfId="0" applyNumberFormat="1" applyFont="1" applyFill="1" applyBorder="1"/>
    <xf numFmtId="3" fontId="30" fillId="0" borderId="28" xfId="0" applyNumberFormat="1" applyFont="1" applyFill="1" applyBorder="1"/>
    <xf numFmtId="3" fontId="30" fillId="0" borderId="55" xfId="0" applyNumberFormat="1" applyFont="1" applyFill="1" applyBorder="1" applyAlignment="1">
      <alignment horizontal="right" vertical="center"/>
    </xf>
    <xf numFmtId="3" fontId="30" fillId="0" borderId="66" xfId="0" applyNumberFormat="1" applyFont="1" applyFill="1" applyBorder="1"/>
    <xf numFmtId="0" fontId="30" fillId="0" borderId="102" xfId="0" applyFont="1" applyFill="1" applyBorder="1" applyAlignment="1">
      <alignment horizontal="left" vertical="center" wrapText="1"/>
    </xf>
    <xf numFmtId="0" fontId="42" fillId="0" borderId="26" xfId="0" applyFont="1" applyFill="1" applyBorder="1"/>
    <xf numFmtId="0" fontId="43" fillId="0" borderId="26" xfId="0" applyFont="1" applyFill="1" applyBorder="1"/>
    <xf numFmtId="3" fontId="31" fillId="0" borderId="28" xfId="0" applyNumberFormat="1" applyFont="1" applyFill="1" applyBorder="1"/>
    <xf numFmtId="3" fontId="31" fillId="0" borderId="55" xfId="0" applyNumberFormat="1" applyFont="1" applyFill="1" applyBorder="1"/>
    <xf numFmtId="0" fontId="42" fillId="0" borderId="55" xfId="0" applyFont="1" applyFill="1" applyBorder="1"/>
    <xf numFmtId="0" fontId="43" fillId="0" borderId="0" xfId="0" applyFont="1" applyBorder="1" applyAlignment="1">
      <alignment vertical="center"/>
    </xf>
    <xf numFmtId="0" fontId="42" fillId="0" borderId="0" xfId="0" applyFont="1"/>
    <xf numFmtId="0" fontId="42" fillId="0" borderId="0" xfId="0" applyFont="1" applyBorder="1"/>
    <xf numFmtId="0" fontId="42" fillId="0" borderId="26" xfId="0" applyFont="1" applyBorder="1"/>
    <xf numFmtId="3" fontId="30" fillId="0" borderId="55" xfId="0" applyNumberFormat="1" applyFont="1" applyBorder="1"/>
    <xf numFmtId="0" fontId="30" fillId="0" borderId="106" xfId="0" applyFont="1" applyBorder="1" applyAlignment="1">
      <alignment vertical="center"/>
    </xf>
    <xf numFmtId="0" fontId="21" fillId="0" borderId="18" xfId="22" applyFont="1" applyBorder="1">
      <alignment/>
      <protection/>
    </xf>
    <xf numFmtId="0" fontId="21" fillId="0" borderId="71" xfId="22" applyFont="1" applyBorder="1" applyAlignment="1">
      <alignment/>
      <protection/>
    </xf>
    <xf numFmtId="164" fontId="20" fillId="0" borderId="71" xfId="22" applyNumberFormat="1" applyFont="1" applyBorder="1">
      <alignment/>
      <protection/>
    </xf>
    <xf numFmtId="164" fontId="21" fillId="0" borderId="71" xfId="22" applyNumberFormat="1" applyFont="1" applyBorder="1" applyAlignment="1">
      <alignment horizontal="right"/>
      <protection/>
    </xf>
    <xf numFmtId="164" fontId="20" fillId="0" borderId="85" xfId="22" applyNumberFormat="1" applyFont="1" applyBorder="1" applyAlignment="1">
      <alignment/>
      <protection/>
    </xf>
    <xf numFmtId="0" fontId="21" fillId="0" borderId="107" xfId="22" applyFont="1" applyBorder="1">
      <alignment/>
      <protection/>
    </xf>
    <xf numFmtId="0" fontId="21" fillId="0" borderId="82" xfId="22" applyFont="1" applyBorder="1" applyAlignment="1">
      <alignment/>
      <protection/>
    </xf>
    <xf numFmtId="164" fontId="20" fillId="0" borderId="82" xfId="22" applyNumberFormat="1" applyFont="1" applyBorder="1">
      <alignment/>
      <protection/>
    </xf>
    <xf numFmtId="164" fontId="20" fillId="0" borderId="85" xfId="22" applyNumberFormat="1" applyFont="1" applyBorder="1">
      <alignment/>
      <protection/>
    </xf>
    <xf numFmtId="164" fontId="20" fillId="0" borderId="48" xfId="22" applyNumberFormat="1" applyFont="1" applyBorder="1">
      <alignment/>
      <protection/>
    </xf>
    <xf numFmtId="0" fontId="20" fillId="0" borderId="82" xfId="22" applyFont="1" applyBorder="1" applyAlignment="1">
      <alignment horizontal="left"/>
      <protection/>
    </xf>
    <xf numFmtId="164" fontId="20" fillId="0" borderId="82" xfId="22" applyNumberFormat="1" applyFont="1" applyBorder="1" applyAlignment="1">
      <alignment/>
      <protection/>
    </xf>
    <xf numFmtId="164" fontId="44" fillId="0" borderId="0" xfId="0" applyNumberFormat="1" applyFont="1"/>
    <xf numFmtId="164" fontId="44" fillId="0" borderId="0" xfId="0" applyNumberFormat="1" applyFont="1" applyFill="1"/>
    <xf numFmtId="164" fontId="20" fillId="0" borderId="71" xfId="22" applyNumberFormat="1" applyFont="1" applyBorder="1" applyAlignment="1">
      <alignment/>
      <protection/>
    </xf>
    <xf numFmtId="164" fontId="20" fillId="0" borderId="108" xfId="22" applyNumberFormat="1" applyFont="1" applyBorder="1" applyAlignment="1">
      <alignment/>
      <protection/>
    </xf>
    <xf numFmtId="164" fontId="20" fillId="0" borderId="86" xfId="22" applyNumberFormat="1" applyFont="1" applyBorder="1" applyAlignment="1">
      <alignment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40" fillId="0" borderId="0" xfId="0" applyFont="1"/>
    <xf numFmtId="0" fontId="39" fillId="0" borderId="0" xfId="0" applyFont="1"/>
    <xf numFmtId="0" fontId="38" fillId="4" borderId="0" xfId="0" applyFont="1" applyFill="1"/>
    <xf numFmtId="0" fontId="8" fillId="0" borderId="62" xfId="0" applyFont="1" applyBorder="1" applyAlignment="1">
      <alignment horizontal="center" vertical="center" wrapText="1"/>
    </xf>
    <xf numFmtId="0" fontId="20" fillId="0" borderId="109" xfId="22" applyFont="1" applyFill="1" applyBorder="1" applyAlignment="1">
      <alignment horizontal="center" vertical="center"/>
      <protection/>
    </xf>
    <xf numFmtId="0" fontId="20" fillId="0" borderId="110" xfId="22" applyFont="1" applyFill="1" applyBorder="1" applyAlignment="1">
      <alignment horizontal="center" vertical="center"/>
      <protection/>
    </xf>
    <xf numFmtId="0" fontId="20" fillId="0" borderId="111" xfId="22" applyFont="1" applyFill="1" applyBorder="1" applyAlignment="1">
      <alignment horizontal="center" vertical="center"/>
      <protection/>
    </xf>
    <xf numFmtId="164" fontId="21" fillId="0" borderId="112" xfId="22" applyNumberFormat="1" applyFont="1" applyBorder="1">
      <alignment/>
      <protection/>
    </xf>
    <xf numFmtId="164" fontId="21" fillId="0" borderId="113" xfId="22" applyNumberFormat="1" applyFont="1" applyBorder="1">
      <alignment/>
      <protection/>
    </xf>
    <xf numFmtId="164" fontId="20" fillId="0" borderId="113" xfId="22" applyNumberFormat="1" applyFont="1" applyBorder="1">
      <alignment/>
      <protection/>
    </xf>
    <xf numFmtId="164" fontId="20" fillId="0" borderId="113" xfId="22" applyNumberFormat="1" applyFont="1" applyBorder="1" applyAlignment="1">
      <alignment/>
      <protection/>
    </xf>
    <xf numFmtId="164" fontId="20" fillId="0" borderId="110" xfId="22" applyNumberFormat="1" applyFont="1" applyBorder="1" applyAlignment="1">
      <alignment/>
      <protection/>
    </xf>
    <xf numFmtId="164" fontId="21" fillId="0" borderId="114" xfId="22" applyNumberFormat="1" applyFont="1" applyBorder="1">
      <alignment/>
      <protection/>
    </xf>
    <xf numFmtId="164" fontId="21" fillId="0" borderId="115" xfId="22" applyNumberFormat="1" applyFont="1" applyBorder="1">
      <alignment/>
      <protection/>
    </xf>
    <xf numFmtId="164" fontId="20" fillId="0" borderId="115" xfId="22" applyNumberFormat="1" applyFont="1" applyBorder="1">
      <alignment/>
      <protection/>
    </xf>
    <xf numFmtId="164" fontId="20" fillId="0" borderId="116" xfId="22" applyNumberFormat="1" applyFont="1" applyBorder="1" applyAlignment="1">
      <alignment/>
      <protection/>
    </xf>
    <xf numFmtId="0" fontId="20" fillId="0" borderId="117" xfId="22" applyFont="1" applyFill="1" applyBorder="1" applyAlignment="1">
      <alignment horizontal="center" vertical="center"/>
      <protection/>
    </xf>
    <xf numFmtId="0" fontId="20" fillId="0" borderId="118" xfId="22" applyFont="1" applyFill="1" applyBorder="1" applyAlignment="1">
      <alignment horizontal="center" vertical="center"/>
      <protection/>
    </xf>
    <xf numFmtId="0" fontId="20" fillId="0" borderId="67" xfId="22" applyFont="1" applyFill="1" applyBorder="1" applyAlignment="1">
      <alignment horizontal="center" vertical="center"/>
      <protection/>
    </xf>
    <xf numFmtId="0" fontId="20" fillId="0" borderId="116" xfId="22" applyFont="1" applyFill="1" applyBorder="1" applyAlignment="1">
      <alignment horizontal="center" vertical="center"/>
      <protection/>
    </xf>
    <xf numFmtId="0" fontId="20" fillId="0" borderId="119" xfId="22" applyFont="1" applyFill="1" applyBorder="1" applyAlignment="1">
      <alignment horizontal="center" vertical="center"/>
      <protection/>
    </xf>
    <xf numFmtId="0" fontId="20" fillId="0" borderId="120" xfId="22" applyFont="1" applyFill="1" applyBorder="1" applyAlignment="1">
      <alignment horizontal="center" vertical="center"/>
      <protection/>
    </xf>
    <xf numFmtId="0" fontId="20" fillId="0" borderId="121" xfId="22" applyFont="1" applyFill="1" applyBorder="1" applyAlignment="1">
      <alignment horizontal="center" vertical="center"/>
      <protection/>
    </xf>
    <xf numFmtId="164" fontId="21" fillId="0" borderId="122" xfId="22" applyNumberFormat="1" applyFont="1" applyBorder="1">
      <alignment/>
      <protection/>
    </xf>
    <xf numFmtId="164" fontId="21" fillId="0" borderId="123" xfId="22" applyNumberFormat="1" applyFont="1" applyBorder="1">
      <alignment/>
      <protection/>
    </xf>
    <xf numFmtId="0" fontId="20" fillId="0" borderId="68" xfId="22" applyFont="1" applyFill="1" applyBorder="1" applyAlignment="1">
      <alignment horizontal="center" vertical="center"/>
      <protection/>
    </xf>
    <xf numFmtId="164" fontId="21" fillId="0" borderId="124" xfId="22" applyNumberFormat="1" applyFont="1" applyBorder="1">
      <alignment/>
      <protection/>
    </xf>
    <xf numFmtId="3" fontId="3" fillId="0" borderId="0" xfId="0" applyNumberFormat="1" applyFont="1" applyAlignment="1">
      <alignment horizontal="right" vertical="center"/>
    </xf>
    <xf numFmtId="3" fontId="8" fillId="0" borderId="125" xfId="0" applyNumberFormat="1" applyFont="1" applyFill="1" applyBorder="1" applyAlignment="1">
      <alignment horizontal="left" vertical="center"/>
    </xf>
    <xf numFmtId="3" fontId="8" fillId="0" borderId="37" xfId="0" applyNumberFormat="1" applyFont="1" applyBorder="1" applyAlignment="1">
      <alignment horizontal="center" vertical="center"/>
    </xf>
    <xf numFmtId="0" fontId="4" fillId="0" borderId="102" xfId="0" applyFont="1" applyFill="1" applyBorder="1" applyAlignment="1">
      <alignment vertical="center"/>
    </xf>
    <xf numFmtId="0" fontId="4" fillId="0" borderId="120" xfId="0" applyFont="1" applyFill="1" applyBorder="1" applyAlignment="1">
      <alignment vertical="center"/>
    </xf>
    <xf numFmtId="3" fontId="38" fillId="0" borderId="0" xfId="0" applyNumberFormat="1" applyFont="1" applyAlignment="1">
      <alignment horizontal="right"/>
    </xf>
    <xf numFmtId="0" fontId="11" fillId="0" borderId="18" xfId="0" applyFont="1" applyFill="1" applyBorder="1" applyAlignment="1">
      <alignment horizontal="left" vertical="center" wrapText="1"/>
    </xf>
    <xf numFmtId="0" fontId="40" fillId="0" borderId="0" xfId="0" applyFont="1"/>
    <xf numFmtId="0" fontId="37" fillId="4" borderId="0" xfId="0" applyFont="1" applyFill="1" applyAlignment="1">
      <alignment wrapTex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/>
    </xf>
    <xf numFmtId="0" fontId="36" fillId="4" borderId="0" xfId="0" applyFont="1" applyFill="1"/>
    <xf numFmtId="0" fontId="21" fillId="0" borderId="17" xfId="22" applyFont="1" applyBorder="1">
      <alignment/>
      <protection/>
    </xf>
    <xf numFmtId="0" fontId="4" fillId="0" borderId="103" xfId="0" applyFont="1" applyBorder="1" applyAlignment="1">
      <alignment vertical="center"/>
    </xf>
    <xf numFmtId="164" fontId="4" fillId="0" borderId="65" xfId="0" applyNumberFormat="1" applyFont="1" applyBorder="1" applyAlignment="1">
      <alignment vertical="center"/>
    </xf>
    <xf numFmtId="164" fontId="4" fillId="0" borderId="61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64" fontId="4" fillId="0" borderId="55" xfId="0" applyNumberFormat="1" applyFont="1" applyBorder="1" applyAlignment="1">
      <alignment vertical="center"/>
    </xf>
    <xf numFmtId="164" fontId="4" fillId="0" borderId="66" xfId="0" applyNumberFormat="1" applyFont="1" applyBorder="1" applyAlignment="1">
      <alignment vertical="center"/>
    </xf>
    <xf numFmtId="164" fontId="4" fillId="0" borderId="58" xfId="0" applyNumberFormat="1" applyFont="1" applyBorder="1" applyAlignment="1">
      <alignment vertical="center"/>
    </xf>
    <xf numFmtId="0" fontId="11" fillId="0" borderId="30" xfId="0" applyFont="1" applyFill="1" applyBorder="1" applyAlignment="1">
      <alignment horizontal="left" inden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vertical="center" wrapText="1"/>
    </xf>
    <xf numFmtId="3" fontId="30" fillId="0" borderId="28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44" fillId="0" borderId="28" xfId="0" applyFont="1" applyFill="1" applyBorder="1" applyAlignment="1">
      <alignment horizontal="left" vertical="center" wrapText="1"/>
    </xf>
    <xf numFmtId="0" fontId="30" fillId="0" borderId="28" xfId="0" applyFont="1" applyBorder="1" applyAlignment="1">
      <alignment vertical="center"/>
    </xf>
    <xf numFmtId="164" fontId="4" fillId="0" borderId="126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164" fontId="4" fillId="0" borderId="127" xfId="0" applyNumberFormat="1" applyFont="1" applyBorder="1" applyAlignment="1">
      <alignment vertical="center"/>
    </xf>
    <xf numFmtId="164" fontId="4" fillId="0" borderId="128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164" fontId="4" fillId="0" borderId="57" xfId="0" applyNumberFormat="1" applyFont="1" applyBorder="1" applyAlignment="1">
      <alignment vertical="center"/>
    </xf>
    <xf numFmtId="164" fontId="4" fillId="0" borderId="129" xfId="0" applyNumberFormat="1" applyFont="1" applyBorder="1" applyAlignment="1">
      <alignment vertical="center"/>
    </xf>
    <xf numFmtId="164" fontId="4" fillId="0" borderId="130" xfId="0" applyNumberFormat="1" applyFont="1" applyBorder="1" applyAlignment="1">
      <alignment vertical="center"/>
    </xf>
    <xf numFmtId="164" fontId="4" fillId="0" borderId="131" xfId="0" applyNumberFormat="1" applyFont="1" applyBorder="1" applyAlignment="1">
      <alignment vertical="center"/>
    </xf>
    <xf numFmtId="164" fontId="4" fillId="0" borderId="132" xfId="0" applyNumberFormat="1" applyFont="1" applyBorder="1" applyAlignment="1">
      <alignment vertical="center"/>
    </xf>
    <xf numFmtId="164" fontId="4" fillId="0" borderId="63" xfId="0" applyNumberFormat="1" applyFont="1" applyBorder="1" applyAlignment="1">
      <alignment vertical="center"/>
    </xf>
    <xf numFmtId="164" fontId="4" fillId="0" borderId="64" xfId="0" applyNumberFormat="1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164" fontId="4" fillId="0" borderId="133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129" xfId="0" applyNumberFormat="1" applyFont="1" applyBorder="1" applyAlignment="1">
      <alignment vertical="center"/>
    </xf>
    <xf numFmtId="164" fontId="4" fillId="0" borderId="134" xfId="0" applyNumberFormat="1" applyFont="1" applyBorder="1" applyAlignment="1">
      <alignment vertical="center"/>
    </xf>
    <xf numFmtId="164" fontId="4" fillId="0" borderId="6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36" xfId="0" applyFont="1" applyBorder="1" applyAlignment="1">
      <alignment vertical="center"/>
    </xf>
    <xf numFmtId="164" fontId="3" fillId="0" borderId="137" xfId="0" applyNumberFormat="1" applyFont="1" applyBorder="1" applyAlignment="1">
      <alignment vertical="center"/>
    </xf>
    <xf numFmtId="164" fontId="3" fillId="0" borderId="138" xfId="0" applyNumberFormat="1" applyFont="1" applyBorder="1" applyAlignment="1">
      <alignment vertical="center"/>
    </xf>
    <xf numFmtId="164" fontId="3" fillId="0" borderId="139" xfId="0" applyNumberFormat="1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164" fontId="3" fillId="0" borderId="141" xfId="0" applyNumberFormat="1" applyFont="1" applyBorder="1" applyAlignment="1">
      <alignment vertical="center"/>
    </xf>
    <xf numFmtId="164" fontId="3" fillId="0" borderId="142" xfId="0" applyNumberFormat="1" applyFont="1" applyBorder="1" applyAlignment="1">
      <alignment vertical="center"/>
    </xf>
    <xf numFmtId="164" fontId="3" fillId="0" borderId="143" xfId="0" applyNumberFormat="1" applyFont="1" applyBorder="1" applyAlignment="1">
      <alignment vertical="center"/>
    </xf>
    <xf numFmtId="0" fontId="6" fillId="0" borderId="135" xfId="0" applyFont="1" applyBorder="1" applyAlignment="1">
      <alignment vertical="center"/>
    </xf>
    <xf numFmtId="164" fontId="8" fillId="0" borderId="144" xfId="0" applyNumberFormat="1" applyFont="1" applyBorder="1" applyAlignment="1">
      <alignment vertical="center"/>
    </xf>
    <xf numFmtId="164" fontId="8" fillId="0" borderId="145" xfId="0" applyNumberFormat="1" applyFont="1" applyBorder="1" applyAlignment="1">
      <alignment vertical="center"/>
    </xf>
    <xf numFmtId="164" fontId="8" fillId="0" borderId="3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8" fillId="0" borderId="100" xfId="0" applyNumberFormat="1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164" fontId="3" fillId="0" borderId="147" xfId="0" applyNumberFormat="1" applyFont="1" applyBorder="1" applyAlignment="1">
      <alignment vertical="center"/>
    </xf>
    <xf numFmtId="164" fontId="3" fillId="0" borderId="148" xfId="0" applyNumberFormat="1" applyFont="1" applyBorder="1" applyAlignment="1">
      <alignment vertical="center"/>
    </xf>
    <xf numFmtId="164" fontId="8" fillId="0" borderId="149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64" fontId="8" fillId="0" borderId="141" xfId="0" applyNumberFormat="1" applyFont="1" applyBorder="1" applyAlignment="1">
      <alignment vertical="center"/>
    </xf>
    <xf numFmtId="164" fontId="8" fillId="0" borderId="104" xfId="0" applyNumberFormat="1" applyFont="1" applyBorder="1" applyAlignment="1">
      <alignment vertical="center"/>
    </xf>
    <xf numFmtId="164" fontId="8" fillId="0" borderId="150" xfId="0" applyNumberFormat="1" applyFont="1" applyBorder="1" applyAlignment="1">
      <alignment vertical="center"/>
    </xf>
    <xf numFmtId="164" fontId="8" fillId="0" borderId="64" xfId="0" applyNumberFormat="1" applyFont="1" applyBorder="1" applyAlignment="1">
      <alignment vertical="center"/>
    </xf>
    <xf numFmtId="0" fontId="6" fillId="0" borderId="135" xfId="0" applyFont="1" applyFill="1" applyBorder="1" applyAlignment="1">
      <alignment horizontal="left" vertical="center"/>
    </xf>
    <xf numFmtId="164" fontId="8" fillId="0" borderId="39" xfId="0" applyNumberFormat="1" applyFont="1" applyBorder="1" applyAlignment="1">
      <alignment vertical="center"/>
    </xf>
    <xf numFmtId="0" fontId="6" fillId="5" borderId="151" xfId="0" applyFont="1" applyFill="1" applyBorder="1" applyAlignment="1">
      <alignment horizontal="left" vertical="center"/>
    </xf>
    <xf numFmtId="164" fontId="8" fillId="5" borderId="152" xfId="0" applyNumberFormat="1" applyFont="1" applyFill="1" applyBorder="1" applyAlignment="1">
      <alignment vertical="center"/>
    </xf>
    <xf numFmtId="164" fontId="8" fillId="0" borderId="137" xfId="0" applyNumberFormat="1" applyFont="1" applyBorder="1" applyAlignment="1">
      <alignment vertical="center"/>
    </xf>
    <xf numFmtId="164" fontId="3" fillId="0" borderId="144" xfId="0" applyNumberFormat="1" applyFont="1" applyBorder="1" applyAlignment="1">
      <alignment vertical="center"/>
    </xf>
    <xf numFmtId="0" fontId="6" fillId="3" borderId="135" xfId="0" applyFont="1" applyFill="1" applyBorder="1" applyAlignment="1">
      <alignment vertical="center"/>
    </xf>
    <xf numFmtId="164" fontId="3" fillId="3" borderId="41" xfId="0" applyNumberFormat="1" applyFont="1" applyFill="1" applyBorder="1" applyAlignment="1">
      <alignment vertical="center"/>
    </xf>
    <xf numFmtId="164" fontId="8" fillId="3" borderId="38" xfId="0" applyNumberFormat="1" applyFont="1" applyFill="1" applyBorder="1" applyAlignment="1">
      <alignment vertical="center"/>
    </xf>
    <xf numFmtId="164" fontId="8" fillId="3" borderId="37" xfId="0" applyNumberFormat="1" applyFont="1" applyFill="1" applyBorder="1" applyAlignment="1">
      <alignment vertical="center"/>
    </xf>
    <xf numFmtId="0" fontId="6" fillId="2" borderId="135" xfId="0" applyFont="1" applyFill="1" applyBorder="1" applyAlignment="1">
      <alignment vertical="center"/>
    </xf>
    <xf numFmtId="164" fontId="8" fillId="2" borderId="41" xfId="0" applyNumberFormat="1" applyFont="1" applyFill="1" applyBorder="1" applyAlignment="1">
      <alignment vertical="center"/>
    </xf>
    <xf numFmtId="164" fontId="8" fillId="2" borderId="38" xfId="0" applyNumberFormat="1" applyFont="1" applyFill="1" applyBorder="1" applyAlignment="1">
      <alignment vertical="center"/>
    </xf>
    <xf numFmtId="164" fontId="8" fillId="2" borderId="37" xfId="0" applyNumberFormat="1" applyFont="1" applyFill="1" applyBorder="1" applyAlignment="1">
      <alignment vertical="center"/>
    </xf>
    <xf numFmtId="164" fontId="3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164" fontId="9" fillId="0" borderId="0" xfId="0" applyNumberFormat="1" applyFont="1" applyBorder="1"/>
    <xf numFmtId="0" fontId="9" fillId="0" borderId="0" xfId="0" applyFont="1" applyBorder="1"/>
    <xf numFmtId="164" fontId="9" fillId="0" borderId="28" xfId="0" applyNumberFormat="1" applyFont="1" applyBorder="1"/>
    <xf numFmtId="164" fontId="9" fillId="0" borderId="28" xfId="0" applyNumberFormat="1" applyFont="1" applyBorder="1" applyAlignment="1">
      <alignment horizontal="right"/>
    </xf>
    <xf numFmtId="164" fontId="10" fillId="0" borderId="28" xfId="0" applyNumberFormat="1" applyFont="1" applyBorder="1"/>
    <xf numFmtId="164" fontId="9" fillId="0" borderId="0" xfId="0" applyNumberFormat="1" applyFont="1"/>
    <xf numFmtId="0" fontId="10" fillId="0" borderId="28" xfId="0" applyFont="1" applyBorder="1" applyAlignment="1">
      <alignment horizontal="left"/>
    </xf>
    <xf numFmtId="164" fontId="10" fillId="0" borderId="28" xfId="0" applyNumberFormat="1" applyFont="1" applyBorder="1" applyAlignment="1">
      <alignment/>
    </xf>
    <xf numFmtId="0" fontId="46" fillId="0" borderId="28" xfId="0" applyFont="1" applyBorder="1" applyAlignment="1">
      <alignment vertical="center"/>
    </xf>
    <xf numFmtId="164" fontId="46" fillId="0" borderId="28" xfId="0" applyNumberFormat="1" applyFont="1" applyBorder="1" applyAlignment="1">
      <alignment vertical="center"/>
    </xf>
    <xf numFmtId="164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4" fillId="0" borderId="4" xfId="0" applyNumberFormat="1" applyFont="1" applyFill="1" applyBorder="1" applyAlignment="1">
      <alignment horizontal="left" vertical="center"/>
    </xf>
    <xf numFmtId="3" fontId="8" fillId="0" borderId="153" xfId="0" applyNumberFormat="1" applyFont="1" applyFill="1" applyBorder="1" applyAlignment="1">
      <alignment horizontal="center" vertical="center"/>
    </xf>
    <xf numFmtId="3" fontId="8" fillId="0" borderId="75" xfId="0" applyNumberFormat="1" applyFont="1" applyFill="1" applyBorder="1" applyAlignment="1">
      <alignment horizontal="center" vertical="center"/>
    </xf>
    <xf numFmtId="3" fontId="8" fillId="0" borderId="95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left" vertical="center"/>
    </xf>
    <xf numFmtId="3" fontId="3" fillId="0" borderId="89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3" fontId="3" fillId="0" borderId="70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left" vertical="center"/>
    </xf>
    <xf numFmtId="3" fontId="3" fillId="0" borderId="90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154" xfId="0" applyNumberFormat="1" applyFont="1" applyFill="1" applyBorder="1" applyAlignment="1">
      <alignment vertical="center"/>
    </xf>
    <xf numFmtId="3" fontId="3" fillId="0" borderId="9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left" vertical="center"/>
    </xf>
    <xf numFmtId="3" fontId="3" fillId="0" borderId="71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left" vertical="center"/>
    </xf>
    <xf numFmtId="3" fontId="3" fillId="0" borderId="15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3" fillId="0" borderId="155" xfId="0" applyNumberFormat="1" applyFont="1" applyFill="1" applyBorder="1" applyAlignment="1">
      <alignment vertical="center"/>
    </xf>
    <xf numFmtId="3" fontId="8" fillId="0" borderId="156" xfId="0" applyNumberFormat="1" applyFont="1" applyFill="1" applyBorder="1" applyAlignment="1">
      <alignment horizontal="left" vertical="center"/>
    </xf>
    <xf numFmtId="3" fontId="3" fillId="0" borderId="157" xfId="0" applyNumberFormat="1" applyFont="1" applyFill="1" applyBorder="1" applyAlignment="1">
      <alignment vertical="center"/>
    </xf>
    <xf numFmtId="3" fontId="3" fillId="0" borderId="85" xfId="0" applyNumberFormat="1" applyFont="1" applyFill="1" applyBorder="1" applyAlignment="1">
      <alignment vertical="center"/>
    </xf>
    <xf numFmtId="3" fontId="3" fillId="0" borderId="158" xfId="0" applyNumberFormat="1" applyFont="1" applyFill="1" applyBorder="1" applyAlignment="1">
      <alignment vertical="center"/>
    </xf>
    <xf numFmtId="3" fontId="3" fillId="0" borderId="144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left" vertical="center"/>
    </xf>
    <xf numFmtId="3" fontId="3" fillId="0" borderId="15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 wrapText="1"/>
    </xf>
    <xf numFmtId="0" fontId="6" fillId="0" borderId="162" xfId="0" applyFont="1" applyBorder="1" applyAlignment="1">
      <alignment vertical="center"/>
    </xf>
    <xf numFmtId="164" fontId="4" fillId="0" borderId="78" xfId="0" applyNumberFormat="1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164" fontId="4" fillId="0" borderId="79" xfId="0" applyNumberFormat="1" applyFont="1" applyFill="1" applyBorder="1" applyAlignment="1">
      <alignment vertical="center"/>
    </xf>
    <xf numFmtId="164" fontId="4" fillId="0" borderId="79" xfId="0" applyNumberFormat="1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164" fontId="4" fillId="0" borderId="83" xfId="0" applyNumberFormat="1" applyFont="1" applyBorder="1" applyAlignment="1">
      <alignment vertical="center"/>
    </xf>
    <xf numFmtId="0" fontId="6" fillId="0" borderId="135" xfId="0" applyFont="1" applyBorder="1" applyAlignment="1">
      <alignment vertical="center"/>
    </xf>
    <xf numFmtId="164" fontId="6" fillId="0" borderId="163" xfId="0" applyNumberFormat="1" applyFont="1" applyBorder="1" applyAlignment="1">
      <alignment vertical="center"/>
    </xf>
    <xf numFmtId="164" fontId="6" fillId="0" borderId="4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36" xfId="0" applyFont="1" applyBorder="1" applyAlignment="1">
      <alignment vertical="center"/>
    </xf>
    <xf numFmtId="164" fontId="4" fillId="0" borderId="40" xfId="0" applyNumberFormat="1" applyFont="1" applyBorder="1" applyAlignment="1">
      <alignment vertical="center"/>
    </xf>
    <xf numFmtId="164" fontId="4" fillId="0" borderId="73" xfId="0" applyNumberFormat="1" applyFont="1" applyBorder="1" applyAlignment="1">
      <alignment vertical="center"/>
    </xf>
    <xf numFmtId="0" fontId="6" fillId="0" borderId="146" xfId="0" applyFont="1" applyBorder="1" applyAlignment="1">
      <alignment vertical="center"/>
    </xf>
    <xf numFmtId="164" fontId="6" fillId="0" borderId="79" xfId="0" applyNumberFormat="1" applyFont="1" applyBorder="1" applyAlignment="1">
      <alignment vertical="center"/>
    </xf>
    <xf numFmtId="164" fontId="6" fillId="0" borderId="80" xfId="0" applyNumberFormat="1" applyFont="1" applyBorder="1" applyAlignment="1">
      <alignment vertical="center"/>
    </xf>
    <xf numFmtId="0" fontId="8" fillId="3" borderId="164" xfId="0" applyFont="1" applyFill="1" applyBorder="1" applyAlignment="1">
      <alignment vertical="center"/>
    </xf>
    <xf numFmtId="164" fontId="8" fillId="3" borderId="16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36" xfId="0" applyFont="1" applyBorder="1" applyAlignment="1">
      <alignment vertical="center"/>
    </xf>
    <xf numFmtId="164" fontId="4" fillId="0" borderId="166" xfId="0" applyNumberFormat="1" applyFont="1" applyBorder="1" applyAlignment="1">
      <alignment vertical="center"/>
    </xf>
    <xf numFmtId="164" fontId="6" fillId="0" borderId="167" xfId="0" applyNumberFormat="1" applyFont="1" applyBorder="1" applyAlignment="1">
      <alignment vertical="center"/>
    </xf>
    <xf numFmtId="164" fontId="6" fillId="0" borderId="100" xfId="0" applyNumberFormat="1" applyFont="1" applyBorder="1" applyAlignment="1">
      <alignment vertical="center"/>
    </xf>
    <xf numFmtId="164" fontId="6" fillId="0" borderId="39" xfId="0" applyNumberFormat="1" applyFont="1" applyBorder="1" applyAlignment="1">
      <alignment vertical="center"/>
    </xf>
    <xf numFmtId="0" fontId="8" fillId="3" borderId="36" xfId="0" applyFont="1" applyFill="1" applyBorder="1" applyAlignment="1">
      <alignment vertical="center"/>
    </xf>
    <xf numFmtId="164" fontId="8" fillId="3" borderId="168" xfId="0" applyNumberFormat="1" applyFont="1" applyFill="1" applyBorder="1" applyAlignment="1">
      <alignment vertical="center"/>
    </xf>
    <xf numFmtId="164" fontId="8" fillId="3" borderId="169" xfId="0" applyNumberFormat="1" applyFont="1" applyFill="1" applyBorder="1" applyAlignment="1">
      <alignment vertical="center"/>
    </xf>
    <xf numFmtId="164" fontId="8" fillId="3" borderId="6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6" borderId="41" xfId="0" applyFont="1" applyFill="1" applyBorder="1" applyAlignment="1">
      <alignment vertical="center"/>
    </xf>
    <xf numFmtId="164" fontId="8" fillId="6" borderId="170" xfId="0" applyNumberFormat="1" applyFont="1" applyFill="1" applyBorder="1" applyAlignment="1">
      <alignment vertical="center"/>
    </xf>
    <xf numFmtId="164" fontId="8" fillId="6" borderId="167" xfId="0" applyNumberFormat="1" applyFont="1" applyFill="1" applyBorder="1" applyAlignment="1">
      <alignment vertical="center"/>
    </xf>
    <xf numFmtId="164" fontId="8" fillId="6" borderId="48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47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171" xfId="0" applyFont="1" applyBorder="1" applyAlignment="1">
      <alignment horizontal="center" vertical="center" wrapText="1"/>
    </xf>
    <xf numFmtId="3" fontId="49" fillId="0" borderId="0" xfId="0" applyNumberFormat="1" applyFont="1" applyAlignment="1">
      <alignment vertical="center"/>
    </xf>
    <xf numFmtId="3" fontId="50" fillId="0" borderId="0" xfId="0" applyNumberFormat="1" applyFont="1" applyAlignment="1">
      <alignment vertical="center"/>
    </xf>
    <xf numFmtId="0" fontId="31" fillId="0" borderId="28" xfId="0" applyFont="1" applyBorder="1" applyAlignment="1">
      <alignment horizontal="center" vertical="center" wrapText="1"/>
    </xf>
    <xf numFmtId="0" fontId="31" fillId="7" borderId="28" xfId="0" applyFont="1" applyFill="1" applyBorder="1" applyAlignment="1">
      <alignment vertical="center"/>
    </xf>
    <xf numFmtId="0" fontId="31" fillId="7" borderId="28" xfId="0" applyFont="1" applyFill="1" applyBorder="1" applyAlignment="1">
      <alignment horizontal="center" vertical="center" wrapText="1"/>
    </xf>
    <xf numFmtId="3" fontId="31" fillId="7" borderId="28" xfId="0" applyNumberFormat="1" applyFont="1" applyFill="1" applyBorder="1" applyAlignment="1">
      <alignment vertical="center"/>
    </xf>
    <xf numFmtId="0" fontId="30" fillId="0" borderId="28" xfId="0" applyFont="1" applyBorder="1" applyAlignment="1">
      <alignment horizontal="center" vertical="top" wrapText="1"/>
    </xf>
    <xf numFmtId="0" fontId="31" fillId="7" borderId="28" xfId="0" applyFont="1" applyFill="1" applyBorder="1"/>
    <xf numFmtId="0" fontId="31" fillId="7" borderId="28" xfId="0" applyFont="1" applyFill="1" applyBorder="1" applyAlignment="1">
      <alignment horizontal="center" vertical="top" wrapText="1"/>
    </xf>
    <xf numFmtId="3" fontId="31" fillId="7" borderId="28" xfId="0" applyNumberFormat="1" applyFont="1" applyFill="1" applyBorder="1"/>
    <xf numFmtId="0" fontId="51" fillId="8" borderId="28" xfId="0" applyFont="1" applyFill="1" applyBorder="1"/>
    <xf numFmtId="0" fontId="51" fillId="8" borderId="28" xfId="0" applyFont="1" applyFill="1" applyBorder="1" applyAlignment="1">
      <alignment horizontal="center" vertical="top" wrapText="1"/>
    </xf>
    <xf numFmtId="3" fontId="51" fillId="8" borderId="28" xfId="0" applyNumberFormat="1" applyFont="1" applyFill="1" applyBorder="1"/>
    <xf numFmtId="0" fontId="31" fillId="3" borderId="28" xfId="0" applyFont="1" applyFill="1" applyBorder="1" applyAlignment="1">
      <alignment horizontal="center" vertical="top" wrapText="1"/>
    </xf>
    <xf numFmtId="0" fontId="30" fillId="7" borderId="28" xfId="0" applyFont="1" applyFill="1" applyBorder="1" applyAlignment="1">
      <alignment horizontal="center" vertical="top" wrapText="1"/>
    </xf>
    <xf numFmtId="3" fontId="30" fillId="7" borderId="28" xfId="0" applyNumberFormat="1" applyFont="1" applyFill="1" applyBorder="1"/>
    <xf numFmtId="0" fontId="30" fillId="7" borderId="28" xfId="0" applyFont="1" applyFill="1" applyBorder="1"/>
    <xf numFmtId="3" fontId="30" fillId="0" borderId="28" xfId="0" applyNumberFormat="1" applyFont="1" applyBorder="1" applyAlignment="1">
      <alignment vertical="center"/>
    </xf>
    <xf numFmtId="0" fontId="30" fillId="9" borderId="0" xfId="0" applyFont="1" applyFill="1"/>
    <xf numFmtId="0" fontId="31" fillId="2" borderId="28" xfId="0" applyFont="1" applyFill="1" applyBorder="1"/>
    <xf numFmtId="164" fontId="2" fillId="0" borderId="0" xfId="0" applyNumberFormat="1" applyFont="1"/>
    <xf numFmtId="0" fontId="17" fillId="0" borderId="28" xfId="0" applyFont="1" applyBorder="1"/>
    <xf numFmtId="164" fontId="17" fillId="0" borderId="28" xfId="0" applyNumberFormat="1" applyFont="1" applyBorder="1"/>
    <xf numFmtId="164" fontId="6" fillId="0" borderId="61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28" xfId="0" applyFont="1" applyBorder="1" applyAlignment="1">
      <alignment/>
    </xf>
    <xf numFmtId="0" fontId="3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26" xfId="0" applyFont="1" applyBorder="1"/>
    <xf numFmtId="0" fontId="21" fillId="0" borderId="28" xfId="22" applyFont="1" applyBorder="1" applyAlignment="1">
      <alignment/>
      <protection/>
    </xf>
    <xf numFmtId="0" fontId="9" fillId="0" borderId="28" xfId="0" applyFont="1" applyBorder="1"/>
    <xf numFmtId="0" fontId="9" fillId="0" borderId="54" xfId="0" applyFont="1" applyBorder="1"/>
    <xf numFmtId="164" fontId="21" fillId="0" borderId="50" xfId="22" applyNumberFormat="1" applyFont="1" applyBorder="1" applyAlignment="1">
      <alignment horizontal="right"/>
      <protection/>
    </xf>
    <xf numFmtId="0" fontId="20" fillId="0" borderId="28" xfId="22" applyFont="1" applyFill="1" applyBorder="1" applyAlignment="1">
      <alignment horizontal="center" vertical="center"/>
      <protection/>
    </xf>
    <xf numFmtId="0" fontId="9" fillId="0" borderId="28" xfId="0" applyFont="1" applyFill="1" applyBorder="1"/>
    <xf numFmtId="0" fontId="9" fillId="0" borderId="28" xfId="0" applyFont="1" applyFill="1" applyBorder="1" applyAlignment="1">
      <alignment/>
    </xf>
    <xf numFmtId="164" fontId="9" fillId="0" borderId="28" xfId="0" applyNumberFormat="1" applyFont="1" applyFill="1" applyBorder="1"/>
    <xf numFmtId="0" fontId="9" fillId="0" borderId="28" xfId="0" applyFont="1" applyBorder="1"/>
    <xf numFmtId="0" fontId="9" fillId="0" borderId="28" xfId="0" applyFont="1" applyFill="1" applyBorder="1"/>
    <xf numFmtId="0" fontId="44" fillId="0" borderId="28" xfId="0" applyFont="1" applyBorder="1"/>
    <xf numFmtId="164" fontId="9" fillId="0" borderId="28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0" fillId="0" borderId="28" xfId="0" applyNumberFormat="1" applyFont="1" applyBorder="1"/>
    <xf numFmtId="164" fontId="4" fillId="0" borderId="64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horizontal="center" vertical="center"/>
    </xf>
    <xf numFmtId="0" fontId="30" fillId="0" borderId="28" xfId="0" applyFont="1" applyFill="1" applyBorder="1"/>
    <xf numFmtId="0" fontId="51" fillId="0" borderId="28" xfId="0" applyFont="1" applyFill="1" applyBorder="1"/>
    <xf numFmtId="0" fontId="51" fillId="0" borderId="28" xfId="0" applyFont="1" applyFill="1" applyBorder="1" applyAlignment="1">
      <alignment horizontal="center" vertical="top" wrapText="1"/>
    </xf>
    <xf numFmtId="3" fontId="51" fillId="0" borderId="28" xfId="0" applyNumberFormat="1" applyFont="1" applyFill="1" applyBorder="1"/>
    <xf numFmtId="0" fontId="30" fillId="0" borderId="0" xfId="0" applyFont="1" applyFill="1"/>
    <xf numFmtId="166" fontId="30" fillId="0" borderId="28" xfId="0" applyNumberFormat="1" applyFont="1" applyBorder="1"/>
    <xf numFmtId="0" fontId="4" fillId="0" borderId="28" xfId="0" applyFont="1" applyBorder="1" applyAlignment="1">
      <alignment horizontal="right" vertical="center"/>
    </xf>
    <xf numFmtId="164" fontId="17" fillId="0" borderId="28" xfId="0" applyNumberFormat="1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164" fontId="38" fillId="0" borderId="28" xfId="0" applyNumberFormat="1" applyFont="1" applyBorder="1" applyAlignment="1">
      <alignment vertical="center"/>
    </xf>
    <xf numFmtId="0" fontId="4" fillId="0" borderId="14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72" xfId="0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0" fontId="6" fillId="0" borderId="146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172" xfId="0" applyFont="1" applyBorder="1" applyAlignment="1">
      <alignment vertical="center"/>
    </xf>
    <xf numFmtId="0" fontId="6" fillId="0" borderId="113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73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4" fillId="0" borderId="174" xfId="0" applyFont="1" applyBorder="1" applyAlignment="1">
      <alignment vertical="center"/>
    </xf>
    <xf numFmtId="0" fontId="13" fillId="0" borderId="113" xfId="0" applyFont="1" applyBorder="1" applyAlignment="1">
      <alignment vertical="center"/>
    </xf>
    <xf numFmtId="0" fontId="6" fillId="0" borderId="140" xfId="0" applyFont="1" applyBorder="1" applyAlignment="1">
      <alignment horizontal="left" vertical="center"/>
    </xf>
    <xf numFmtId="0" fontId="6" fillId="0" borderId="175" xfId="0" applyFont="1" applyBorder="1" applyAlignment="1">
      <alignment horizontal="left" vertical="center"/>
    </xf>
    <xf numFmtId="0" fontId="6" fillId="0" borderId="147" xfId="0" applyFont="1" applyBorder="1" applyAlignment="1">
      <alignment vertical="center"/>
    </xf>
    <xf numFmtId="0" fontId="6" fillId="0" borderId="122" xfId="0" applyFont="1" applyBorder="1" applyAlignment="1">
      <alignment vertical="center"/>
    </xf>
    <xf numFmtId="0" fontId="4" fillId="0" borderId="140" xfId="0" applyFont="1" applyBorder="1" applyAlignment="1">
      <alignment horizontal="left" vertical="center"/>
    </xf>
    <xf numFmtId="0" fontId="4" fillId="0" borderId="175" xfId="0" applyFont="1" applyBorder="1" applyAlignment="1">
      <alignment horizontal="left" vertical="center"/>
    </xf>
    <xf numFmtId="0" fontId="7" fillId="0" borderId="122" xfId="0" applyFont="1" applyBorder="1" applyAlignment="1">
      <alignment vertical="center"/>
    </xf>
    <xf numFmtId="0" fontId="7" fillId="0" borderId="135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157" xfId="0" applyFont="1" applyBorder="1" applyAlignment="1">
      <alignment vertical="center"/>
    </xf>
    <xf numFmtId="0" fontId="7" fillId="0" borderId="167" xfId="0" applyFont="1" applyBorder="1" applyAlignment="1">
      <alignment vertical="center"/>
    </xf>
    <xf numFmtId="0" fontId="7" fillId="0" borderId="14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4" fontId="6" fillId="0" borderId="28" xfId="0" applyNumberFormat="1" applyFont="1" applyBorder="1" applyAlignment="1">
      <alignment vertical="center"/>
    </xf>
    <xf numFmtId="164" fontId="22" fillId="0" borderId="28" xfId="0" applyNumberFormat="1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164" fontId="26" fillId="0" borderId="28" xfId="0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164" fontId="28" fillId="0" borderId="28" xfId="0" applyNumberFormat="1" applyFont="1" applyFill="1" applyBorder="1" applyAlignment="1">
      <alignment vertical="center"/>
    </xf>
    <xf numFmtId="164" fontId="4" fillId="0" borderId="28" xfId="0" applyNumberFormat="1" applyFont="1" applyBorder="1" applyAlignment="1">
      <alignment horizontal="center" vertical="center"/>
    </xf>
    <xf numFmtId="0" fontId="27" fillId="0" borderId="28" xfId="0" applyFont="1" applyFill="1" applyBorder="1" applyAlignment="1">
      <alignment horizontal="left" vertical="center"/>
    </xf>
    <xf numFmtId="0" fontId="27" fillId="0" borderId="28" xfId="0" applyFont="1" applyBorder="1" applyAlignment="1">
      <alignment vertical="center"/>
    </xf>
    <xf numFmtId="0" fontId="29" fillId="0" borderId="28" xfId="0" applyFont="1" applyFill="1" applyBorder="1" applyAlignment="1">
      <alignment horizontal="left" vertical="center"/>
    </xf>
    <xf numFmtId="164" fontId="45" fillId="0" borderId="28" xfId="0" applyNumberFormat="1" applyFont="1" applyFill="1" applyBorder="1" applyAlignment="1">
      <alignment vertical="center"/>
    </xf>
    <xf numFmtId="164" fontId="32" fillId="0" borderId="28" xfId="0" applyNumberFormat="1" applyFont="1" applyFill="1" applyBorder="1" applyAlignment="1">
      <alignment vertical="center"/>
    </xf>
    <xf numFmtId="164" fontId="29" fillId="0" borderId="28" xfId="0" applyNumberFormat="1" applyFont="1" applyFill="1" applyBorder="1" applyAlignment="1">
      <alignment vertical="center"/>
    </xf>
    <xf numFmtId="4" fontId="31" fillId="7" borderId="28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horizontal="left" vertical="center"/>
    </xf>
    <xf numFmtId="164" fontId="21" fillId="0" borderId="27" xfId="22" applyNumberFormat="1" applyFont="1" applyFill="1" applyBorder="1" applyAlignment="1">
      <alignment horizontal="right"/>
      <protection/>
    </xf>
    <xf numFmtId="0" fontId="30" fillId="0" borderId="28" xfId="0" applyFont="1" applyBorder="1" applyAlignment="1">
      <alignment horizontal="left" vertical="center" wrapText="1"/>
    </xf>
    <xf numFmtId="0" fontId="30" fillId="0" borderId="28" xfId="0" applyFont="1" applyBorder="1" applyAlignment="1">
      <alignment vertical="center" wrapText="1"/>
    </xf>
    <xf numFmtId="3" fontId="3" fillId="0" borderId="28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3" fontId="30" fillId="0" borderId="28" xfId="0" applyNumberFormat="1" applyFont="1" applyBorder="1" applyAlignment="1">
      <alignment horizontal="right" vertical="center" wrapText="1"/>
    </xf>
    <xf numFmtId="0" fontId="30" fillId="0" borderId="26" xfId="0" applyFont="1" applyFill="1" applyBorder="1" applyAlignment="1">
      <alignment horizontal="left" vertical="center" wrapText="1"/>
    </xf>
    <xf numFmtId="3" fontId="30" fillId="0" borderId="28" xfId="0" applyNumberFormat="1" applyFont="1" applyFill="1" applyBorder="1" applyAlignment="1">
      <alignment horizontal="right" vertical="center"/>
    </xf>
    <xf numFmtId="0" fontId="30" fillId="0" borderId="102" xfId="0" applyFont="1" applyFill="1" applyBorder="1" applyAlignment="1">
      <alignment wrapText="1"/>
    </xf>
    <xf numFmtId="0" fontId="3" fillId="0" borderId="28" xfId="0" applyFont="1" applyFill="1" applyBorder="1" applyAlignment="1">
      <alignment horizontal="left"/>
    </xf>
    <xf numFmtId="0" fontId="31" fillId="0" borderId="28" xfId="0" applyFont="1" applyFill="1" applyBorder="1"/>
    <xf numFmtId="0" fontId="31" fillId="0" borderId="0" xfId="0" applyFont="1" applyFill="1"/>
    <xf numFmtId="3" fontId="3" fillId="0" borderId="0" xfId="0" applyNumberFormat="1" applyFont="1" applyFill="1" applyAlignment="1">
      <alignment horizontal="right" vertical="center"/>
    </xf>
    <xf numFmtId="3" fontId="30" fillId="0" borderId="0" xfId="0" applyNumberFormat="1" applyFont="1" applyFill="1" applyAlignment="1">
      <alignment vertical="center"/>
    </xf>
    <xf numFmtId="0" fontId="30" fillId="0" borderId="28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3" fontId="30" fillId="0" borderId="0" xfId="0" applyNumberFormat="1" applyFont="1"/>
    <xf numFmtId="0" fontId="30" fillId="0" borderId="0" xfId="23" applyFont="1">
      <alignment/>
      <protection/>
    </xf>
    <xf numFmtId="3" fontId="30" fillId="0" borderId="0" xfId="23" applyNumberFormat="1" applyFont="1">
      <alignment/>
      <protection/>
    </xf>
    <xf numFmtId="0" fontId="53" fillId="0" borderId="0" xfId="0" applyFont="1"/>
    <xf numFmtId="0" fontId="20" fillId="0" borderId="28" xfId="22" applyFont="1" applyFill="1" applyBorder="1" applyAlignment="1">
      <alignment horizontal="center" vertical="center"/>
      <protection/>
    </xf>
    <xf numFmtId="0" fontId="0" fillId="0" borderId="0" xfId="0" applyFont="1"/>
    <xf numFmtId="0" fontId="20" fillId="0" borderId="26" xfId="22" applyFont="1" applyFill="1" applyBorder="1" applyAlignment="1">
      <alignment horizontal="center" vertical="center"/>
      <protection/>
    </xf>
    <xf numFmtId="0" fontId="20" fillId="0" borderId="55" xfId="22" applyFont="1" applyFill="1" applyBorder="1" applyAlignment="1">
      <alignment horizontal="center" vertical="center"/>
      <protection/>
    </xf>
    <xf numFmtId="3" fontId="0" fillId="0" borderId="0" xfId="0" applyNumberFormat="1" applyFont="1"/>
    <xf numFmtId="0" fontId="27" fillId="0" borderId="0" xfId="0" applyFont="1"/>
    <xf numFmtId="0" fontId="4" fillId="0" borderId="26" xfId="0" applyFont="1" applyBorder="1" applyAlignment="1">
      <alignment wrapText="1"/>
    </xf>
    <xf numFmtId="0" fontId="32" fillId="0" borderId="100" xfId="23" applyFont="1" applyBorder="1" applyAlignment="1">
      <alignment horizontal="left" vertical="center"/>
      <protection/>
    </xf>
    <xf numFmtId="0" fontId="53" fillId="0" borderId="0" xfId="23" applyFont="1" applyAlignment="1">
      <alignment horizontal="center"/>
      <protection/>
    </xf>
    <xf numFmtId="3" fontId="27" fillId="0" borderId="0" xfId="0" applyNumberFormat="1" applyFont="1"/>
    <xf numFmtId="0" fontId="4" fillId="0" borderId="102" xfId="0" applyFont="1" applyBorder="1" applyAlignment="1">
      <alignment wrapText="1"/>
    </xf>
    <xf numFmtId="164" fontId="17" fillId="0" borderId="28" xfId="0" applyNumberFormat="1" applyFont="1" applyFill="1" applyBorder="1" applyAlignment="1">
      <alignment vertical="center" wrapText="1"/>
    </xf>
    <xf numFmtId="164" fontId="4" fillId="0" borderId="54" xfId="0" applyNumberFormat="1" applyFont="1" applyBorder="1" applyAlignment="1">
      <alignment vertical="center"/>
    </xf>
    <xf numFmtId="164" fontId="55" fillId="0" borderId="0" xfId="0" applyNumberFormat="1" applyFont="1" applyAlignment="1">
      <alignment vertical="center"/>
    </xf>
    <xf numFmtId="164" fontId="3" fillId="0" borderId="113" xfId="0" applyNumberFormat="1" applyFont="1" applyFill="1" applyBorder="1" applyAlignment="1">
      <alignment/>
    </xf>
    <xf numFmtId="164" fontId="3" fillId="0" borderId="43" xfId="0" applyNumberFormat="1" applyFont="1" applyFill="1" applyBorder="1" applyAlignment="1">
      <alignment/>
    </xf>
    <xf numFmtId="164" fontId="8" fillId="0" borderId="43" xfId="0" applyNumberFormat="1" applyFont="1" applyFill="1" applyBorder="1" applyAlignment="1">
      <alignment/>
    </xf>
    <xf numFmtId="164" fontId="3" fillId="0" borderId="43" xfId="0" applyNumberFormat="1" applyFont="1" applyFill="1" applyBorder="1" applyAlignment="1">
      <alignment/>
    </xf>
    <xf numFmtId="0" fontId="3" fillId="0" borderId="135" xfId="0" applyFont="1" applyBorder="1"/>
    <xf numFmtId="0" fontId="3" fillId="0" borderId="176" xfId="0" applyFont="1" applyBorder="1"/>
    <xf numFmtId="0" fontId="3" fillId="0" borderId="177" xfId="0" applyFont="1" applyBorder="1"/>
    <xf numFmtId="0" fontId="8" fillId="0" borderId="135" xfId="0" applyFont="1" applyFill="1" applyBorder="1" applyAlignment="1">
      <alignment horizontal="left"/>
    </xf>
    <xf numFmtId="164" fontId="8" fillId="0" borderId="41" xfId="0" applyNumberFormat="1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left"/>
    </xf>
    <xf numFmtId="164" fontId="3" fillId="0" borderId="62" xfId="0" applyNumberFormat="1" applyFont="1" applyFill="1" applyBorder="1" applyAlignment="1">
      <alignment/>
    </xf>
    <xf numFmtId="164" fontId="3" fillId="0" borderId="100" xfId="0" applyNumberFormat="1" applyFont="1" applyBorder="1"/>
    <xf numFmtId="0" fontId="3" fillId="0" borderId="178" xfId="0" applyFont="1" applyFill="1" applyBorder="1" applyAlignment="1">
      <alignment horizontal="left"/>
    </xf>
    <xf numFmtId="164" fontId="3" fillId="0" borderId="179" xfId="0" applyNumberFormat="1" applyFont="1" applyFill="1" applyBorder="1" applyAlignment="1">
      <alignment/>
    </xf>
    <xf numFmtId="164" fontId="3" fillId="0" borderId="178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 wrapText="1"/>
    </xf>
    <xf numFmtId="164" fontId="3" fillId="0" borderId="130" xfId="0" applyNumberFormat="1" applyFont="1" applyBorder="1"/>
    <xf numFmtId="164" fontId="3" fillId="0" borderId="54" xfId="0" applyNumberFormat="1" applyFont="1" applyBorder="1"/>
    <xf numFmtId="164" fontId="3" fillId="0" borderId="132" xfId="0" applyNumberFormat="1" applyFont="1" applyBorder="1"/>
    <xf numFmtId="164" fontId="3" fillId="0" borderId="56" xfId="0" applyNumberFormat="1" applyFont="1" applyBorder="1"/>
    <xf numFmtId="0" fontId="21" fillId="0" borderId="27" xfId="22" applyFont="1" applyFill="1" applyBorder="1" applyAlignment="1">
      <alignment/>
      <protection/>
    </xf>
    <xf numFmtId="164" fontId="21" fillId="3" borderId="27" xfId="22" applyNumberFormat="1" applyFont="1" applyFill="1" applyBorder="1" applyAlignment="1">
      <alignment horizontal="right"/>
      <protection/>
    </xf>
    <xf numFmtId="0" fontId="4" fillId="0" borderId="103" xfId="0" applyFont="1" applyBorder="1" applyAlignment="1">
      <alignment vertical="center"/>
    </xf>
    <xf numFmtId="164" fontId="4" fillId="0" borderId="61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38" fillId="0" borderId="28" xfId="0" applyNumberFormat="1" applyFont="1" applyFill="1" applyBorder="1" applyAlignment="1">
      <alignment vertical="center"/>
    </xf>
    <xf numFmtId="3" fontId="3" fillId="0" borderId="90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left" vertical="center"/>
    </xf>
    <xf numFmtId="164" fontId="3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wrapText="1"/>
    </xf>
    <xf numFmtId="167" fontId="0" fillId="0" borderId="0" xfId="0" applyNumberFormat="1"/>
    <xf numFmtId="0" fontId="0" fillId="0" borderId="0" xfId="0" applyFill="1"/>
    <xf numFmtId="0" fontId="9" fillId="0" borderId="150" xfId="0" applyFont="1" applyFill="1" applyBorder="1"/>
    <xf numFmtId="0" fontId="21" fillId="0" borderId="50" xfId="22" applyFont="1" applyFill="1" applyBorder="1" applyAlignment="1">
      <alignment/>
      <protection/>
    </xf>
    <xf numFmtId="0" fontId="20" fillId="0" borderId="27" xfId="22" applyFont="1" applyFill="1" applyBorder="1" applyAlignment="1">
      <alignment horizontal="left"/>
      <protection/>
    </xf>
    <xf numFmtId="0" fontId="9" fillId="0" borderId="0" xfId="0" applyFont="1" applyFill="1"/>
    <xf numFmtId="0" fontId="6" fillId="0" borderId="180" xfId="0" applyFont="1" applyBorder="1" applyAlignment="1">
      <alignment horizontal="center" vertical="center" wrapText="1"/>
    </xf>
    <xf numFmtId="164" fontId="4" fillId="0" borderId="127" xfId="0" applyNumberFormat="1" applyFont="1" applyBorder="1" applyAlignment="1">
      <alignment vertical="center"/>
    </xf>
    <xf numFmtId="164" fontId="4" fillId="0" borderId="57" xfId="0" applyNumberFormat="1" applyFont="1" applyBorder="1" applyAlignment="1">
      <alignment vertical="center"/>
    </xf>
    <xf numFmtId="164" fontId="22" fillId="0" borderId="28" xfId="0" applyNumberFormat="1" applyFont="1" applyBorder="1" applyAlignment="1">
      <alignment vertical="center"/>
    </xf>
    <xf numFmtId="164" fontId="9" fillId="0" borderId="28" xfId="0" applyNumberFormat="1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164" fontId="27" fillId="0" borderId="28" xfId="23" applyNumberFormat="1" applyFont="1" applyBorder="1" applyAlignment="1">
      <alignment horizontal="right" vertical="center"/>
      <protection/>
    </xf>
    <xf numFmtId="164" fontId="27" fillId="0" borderId="26" xfId="24" applyNumberFormat="1" applyFont="1" applyBorder="1" applyAlignment="1">
      <alignment horizontal="right" vertical="center" wrapText="1"/>
      <protection/>
    </xf>
    <xf numFmtId="164" fontId="27" fillId="0" borderId="28" xfId="24" applyNumberFormat="1" applyFont="1" applyBorder="1" applyAlignment="1">
      <alignment horizontal="right" vertical="center" wrapText="1"/>
      <protection/>
    </xf>
    <xf numFmtId="164" fontId="27" fillId="0" borderId="28" xfId="24" applyNumberFormat="1" applyFont="1" applyBorder="1" applyAlignment="1">
      <alignment horizontal="right" vertical="center"/>
      <protection/>
    </xf>
    <xf numFmtId="164" fontId="27" fillId="0" borderId="55" xfId="24" applyNumberFormat="1" applyFont="1" applyBorder="1" applyAlignment="1">
      <alignment horizontal="right" vertical="center"/>
      <protection/>
    </xf>
    <xf numFmtId="164" fontId="32" fillId="0" borderId="145" xfId="23" applyNumberFormat="1" applyFont="1" applyBorder="1" applyAlignment="1">
      <alignment horizontal="right" vertical="center"/>
      <protection/>
    </xf>
    <xf numFmtId="164" fontId="32" fillId="0" borderId="37" xfId="23" applyNumberFormat="1" applyFont="1" applyBorder="1" applyAlignment="1">
      <alignment horizontal="right" vertical="center"/>
      <protection/>
    </xf>
    <xf numFmtId="0" fontId="6" fillId="0" borderId="43" xfId="0" applyFont="1" applyBorder="1" applyAlignment="1">
      <alignment horizontal="left" vertical="center"/>
    </xf>
    <xf numFmtId="164" fontId="22" fillId="0" borderId="28" xfId="0" applyNumberFormat="1" applyFont="1" applyBorder="1" applyAlignment="1">
      <alignment vertical="center" wrapText="1"/>
    </xf>
    <xf numFmtId="164" fontId="22" fillId="0" borderId="30" xfId="0" applyNumberFormat="1" applyFont="1" applyBorder="1" applyAlignment="1">
      <alignment vertical="center"/>
    </xf>
    <xf numFmtId="164" fontId="3" fillId="0" borderId="175" xfId="0" applyNumberFormat="1" applyFont="1" applyFill="1" applyBorder="1" applyAlignment="1">
      <alignment/>
    </xf>
    <xf numFmtId="164" fontId="28" fillId="0" borderId="28" xfId="0" applyNumberFormat="1" applyFont="1" applyBorder="1" applyAlignment="1">
      <alignment vertical="center" wrapText="1"/>
    </xf>
    <xf numFmtId="0" fontId="4" fillId="0" borderId="103" xfId="0" applyFont="1" applyFill="1" applyBorder="1" applyAlignment="1">
      <alignment vertical="center"/>
    </xf>
    <xf numFmtId="0" fontId="6" fillId="0" borderId="180" xfId="0" applyFont="1" applyBorder="1" applyAlignment="1">
      <alignment vertical="center"/>
    </xf>
    <xf numFmtId="164" fontId="6" fillId="0" borderId="181" xfId="0" applyNumberFormat="1" applyFont="1" applyBorder="1" applyAlignment="1">
      <alignment vertical="center"/>
    </xf>
    <xf numFmtId="164" fontId="4" fillId="0" borderId="181" xfId="0" applyNumberFormat="1" applyFont="1" applyBorder="1" applyAlignment="1">
      <alignment vertical="center"/>
    </xf>
    <xf numFmtId="164" fontId="6" fillId="0" borderId="182" xfId="0" applyNumberFormat="1" applyFont="1" applyBorder="1" applyAlignment="1">
      <alignment vertical="center"/>
    </xf>
    <xf numFmtId="164" fontId="6" fillId="0" borderId="161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164" fontId="28" fillId="0" borderId="28" xfId="0" applyNumberFormat="1" applyFont="1" applyBorder="1" applyAlignment="1">
      <alignment vertical="center"/>
    </xf>
    <xf numFmtId="0" fontId="21" fillId="0" borderId="28" xfId="22" applyFont="1" applyBorder="1" applyAlignment="1">
      <alignment horizontal="left" wrapText="1"/>
      <protection/>
    </xf>
    <xf numFmtId="0" fontId="4" fillId="0" borderId="146" xfId="0" applyFont="1" applyBorder="1" applyAlignment="1">
      <alignment horizontal="left" vertical="center"/>
    </xf>
    <xf numFmtId="3" fontId="3" fillId="0" borderId="2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64" fontId="4" fillId="0" borderId="183" xfId="0" applyNumberFormat="1" applyFont="1" applyBorder="1" applyAlignment="1">
      <alignment vertical="center"/>
    </xf>
    <xf numFmtId="164" fontId="4" fillId="0" borderId="43" xfId="0" applyNumberFormat="1" applyFont="1" applyBorder="1" applyAlignment="1">
      <alignment vertical="center"/>
    </xf>
    <xf numFmtId="164" fontId="4" fillId="0" borderId="175" xfId="0" applyNumberFormat="1" applyFont="1" applyBorder="1" applyAlignment="1">
      <alignment vertical="center"/>
    </xf>
    <xf numFmtId="164" fontId="6" fillId="0" borderId="41" xfId="0" applyNumberFormat="1" applyFont="1" applyBorder="1" applyAlignment="1">
      <alignment vertical="center"/>
    </xf>
    <xf numFmtId="164" fontId="4" fillId="0" borderId="184" xfId="0" applyNumberFormat="1" applyFont="1" applyBorder="1" applyAlignment="1">
      <alignment vertical="center"/>
    </xf>
    <xf numFmtId="0" fontId="6" fillId="0" borderId="160" xfId="0" applyFont="1" applyBorder="1" applyAlignment="1">
      <alignment horizontal="center" vertical="center" wrapText="1"/>
    </xf>
    <xf numFmtId="164" fontId="4" fillId="0" borderId="162" xfId="0" applyNumberFormat="1" applyFont="1" applyBorder="1" applyAlignment="1">
      <alignment vertical="center"/>
    </xf>
    <xf numFmtId="164" fontId="4" fillId="0" borderId="146" xfId="0" applyNumberFormat="1" applyFont="1" applyFill="1" applyBorder="1" applyAlignment="1">
      <alignment vertical="center"/>
    </xf>
    <xf numFmtId="164" fontId="4" fillId="0" borderId="146" xfId="0" applyNumberFormat="1" applyFont="1" applyBorder="1" applyAlignment="1">
      <alignment vertical="center"/>
    </xf>
    <xf numFmtId="164" fontId="4" fillId="0" borderId="140" xfId="0" applyNumberFormat="1" applyFont="1" applyBorder="1" applyAlignment="1">
      <alignment vertical="center"/>
    </xf>
    <xf numFmtId="164" fontId="6" fillId="0" borderId="135" xfId="0" applyNumberFormat="1" applyFont="1" applyBorder="1" applyAlignment="1">
      <alignment vertical="center"/>
    </xf>
    <xf numFmtId="164" fontId="4" fillId="0" borderId="136" xfId="0" applyNumberFormat="1" applyFont="1" applyBorder="1" applyAlignment="1">
      <alignment vertical="center"/>
    </xf>
    <xf numFmtId="164" fontId="4" fillId="0" borderId="31" xfId="0" applyNumberFormat="1" applyFont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164" fontId="8" fillId="3" borderId="185" xfId="0" applyNumberFormat="1" applyFont="1" applyFill="1" applyBorder="1" applyAlignment="1">
      <alignment vertical="center"/>
    </xf>
    <xf numFmtId="164" fontId="4" fillId="0" borderId="186" xfId="0" applyNumberFormat="1" applyFont="1" applyBorder="1" applyAlignment="1">
      <alignment vertical="center"/>
    </xf>
    <xf numFmtId="164" fontId="4" fillId="0" borderId="187" xfId="0" applyNumberFormat="1" applyFont="1" applyBorder="1" applyAlignment="1">
      <alignment vertical="center"/>
    </xf>
    <xf numFmtId="164" fontId="4" fillId="0" borderId="188" xfId="0" applyNumberFormat="1" applyFont="1" applyBorder="1" applyAlignment="1">
      <alignment vertical="center"/>
    </xf>
    <xf numFmtId="0" fontId="6" fillId="0" borderId="182" xfId="0" applyFont="1" applyBorder="1" applyAlignment="1">
      <alignment horizontal="center" vertical="center" wrapText="1"/>
    </xf>
    <xf numFmtId="164" fontId="4" fillId="0" borderId="189" xfId="0" applyNumberFormat="1" applyFont="1" applyBorder="1" applyAlignment="1">
      <alignment vertical="center"/>
    </xf>
    <xf numFmtId="164" fontId="4" fillId="0" borderId="90" xfId="0" applyNumberFormat="1" applyFont="1" applyBorder="1" applyAlignment="1">
      <alignment vertical="center"/>
    </xf>
    <xf numFmtId="164" fontId="4" fillId="0" borderId="190" xfId="0" applyNumberFormat="1" applyFont="1" applyBorder="1" applyAlignment="1">
      <alignment vertical="center"/>
    </xf>
    <xf numFmtId="164" fontId="6" fillId="0" borderId="38" xfId="0" applyNumberFormat="1" applyFont="1" applyBorder="1" applyAlignment="1">
      <alignment vertical="center"/>
    </xf>
    <xf numFmtId="164" fontId="4" fillId="0" borderId="191" xfId="0" applyNumberFormat="1" applyFont="1" applyBorder="1" applyAlignment="1">
      <alignment vertical="center"/>
    </xf>
    <xf numFmtId="164" fontId="4" fillId="0" borderId="192" xfId="0" applyNumberFormat="1" applyFont="1" applyBorder="1" applyAlignment="1">
      <alignment vertical="center"/>
    </xf>
    <xf numFmtId="164" fontId="6" fillId="0" borderId="90" xfId="0" applyNumberFormat="1" applyFont="1" applyBorder="1" applyAlignment="1">
      <alignment vertical="center"/>
    </xf>
    <xf numFmtId="164" fontId="6" fillId="0" borderId="193" xfId="0" applyNumberFormat="1" applyFont="1" applyBorder="1" applyAlignment="1">
      <alignment vertical="center"/>
    </xf>
    <xf numFmtId="164" fontId="6" fillId="0" borderId="194" xfId="0" applyNumberFormat="1" applyFont="1" applyBorder="1" applyAlignment="1">
      <alignment vertical="center"/>
    </xf>
    <xf numFmtId="164" fontId="8" fillId="3" borderId="195" xfId="0" applyNumberFormat="1" applyFont="1" applyFill="1" applyBorder="1" applyAlignment="1">
      <alignment vertical="center"/>
    </xf>
    <xf numFmtId="164" fontId="4" fillId="0" borderId="91" xfId="0" applyNumberFormat="1" applyFont="1" applyBorder="1" applyAlignment="1">
      <alignment vertical="center"/>
    </xf>
    <xf numFmtId="164" fontId="6" fillId="0" borderId="43" xfId="0" applyNumberFormat="1" applyFont="1" applyBorder="1" applyAlignment="1">
      <alignment vertical="center"/>
    </xf>
    <xf numFmtId="164" fontId="8" fillId="3" borderId="196" xfId="0" applyNumberFormat="1" applyFont="1" applyFill="1" applyBorder="1" applyAlignment="1">
      <alignment vertical="center"/>
    </xf>
    <xf numFmtId="164" fontId="4" fillId="0" borderId="197" xfId="0" applyNumberFormat="1" applyFont="1" applyBorder="1" applyAlignment="1">
      <alignment vertical="center"/>
    </xf>
    <xf numFmtId="164" fontId="4" fillId="0" borderId="130" xfId="0" applyNumberFormat="1" applyFont="1" applyBorder="1" applyAlignment="1">
      <alignment vertical="center"/>
    </xf>
    <xf numFmtId="164" fontId="4" fillId="0" borderId="198" xfId="0" applyNumberFormat="1" applyFont="1" applyBorder="1" applyAlignment="1">
      <alignment vertical="center"/>
    </xf>
    <xf numFmtId="164" fontId="4" fillId="0" borderId="134" xfId="0" applyNumberFormat="1" applyFont="1" applyBorder="1" applyAlignment="1">
      <alignment vertical="center"/>
    </xf>
    <xf numFmtId="164" fontId="3" fillId="0" borderId="112" xfId="0" applyNumberFormat="1" applyFont="1" applyBorder="1" applyAlignment="1">
      <alignment vertical="center"/>
    </xf>
    <xf numFmtId="164" fontId="3" fillId="0" borderId="62" xfId="0" applyNumberFormat="1" applyFont="1" applyBorder="1" applyAlignment="1">
      <alignment vertical="center"/>
    </xf>
    <xf numFmtId="164" fontId="3" fillId="0" borderId="178" xfId="0" applyNumberFormat="1" applyFont="1" applyBorder="1" applyAlignment="1">
      <alignment vertical="center"/>
    </xf>
    <xf numFmtId="164" fontId="3" fillId="0" borderId="184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 vertical="center"/>
    </xf>
    <xf numFmtId="164" fontId="3" fillId="0" borderId="134" xfId="0" applyNumberFormat="1" applyFont="1" applyBorder="1" applyAlignment="1">
      <alignment vertical="center"/>
    </xf>
    <xf numFmtId="0" fontId="3" fillId="0" borderId="43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/>
    </xf>
    <xf numFmtId="0" fontId="22" fillId="0" borderId="130" xfId="0" applyFont="1" applyBorder="1" applyAlignment="1">
      <alignment vertical="center"/>
    </xf>
    <xf numFmtId="0" fontId="22" fillId="0" borderId="131" xfId="0" applyFont="1" applyBorder="1" applyAlignment="1">
      <alignment vertical="center"/>
    </xf>
    <xf numFmtId="0" fontId="8" fillId="0" borderId="134" xfId="0" applyFont="1" applyFill="1" applyBorder="1" applyAlignment="1">
      <alignment horizontal="left"/>
    </xf>
    <xf numFmtId="0" fontId="3" fillId="0" borderId="199" xfId="0" applyFont="1" applyFill="1" applyBorder="1" applyAlignment="1">
      <alignment horizontal="left"/>
    </xf>
    <xf numFmtId="164" fontId="3" fillId="0" borderId="193" xfId="0" applyNumberFormat="1" applyFont="1" applyFill="1" applyBorder="1" applyAlignment="1">
      <alignment/>
    </xf>
    <xf numFmtId="164" fontId="8" fillId="0" borderId="193" xfId="0" applyNumberFormat="1" applyFont="1" applyFill="1" applyBorder="1" applyAlignment="1">
      <alignment/>
    </xf>
    <xf numFmtId="164" fontId="3" fillId="0" borderId="193" xfId="0" applyNumberFormat="1" applyFont="1" applyFill="1" applyBorder="1" applyAlignment="1">
      <alignment/>
    </xf>
    <xf numFmtId="164" fontId="3" fillId="0" borderId="155" xfId="0" applyNumberFormat="1" applyFont="1" applyFill="1" applyBorder="1" applyAlignment="1">
      <alignment/>
    </xf>
    <xf numFmtId="164" fontId="3" fillId="0" borderId="126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30" xfId="0" applyNumberFormat="1" applyFont="1" applyFill="1" applyBorder="1" applyAlignment="1">
      <alignment/>
    </xf>
    <xf numFmtId="164" fontId="8" fillId="0" borderId="134" xfId="0" applyNumberFormat="1" applyFont="1" applyFill="1" applyBorder="1" applyAlignment="1">
      <alignment/>
    </xf>
    <xf numFmtId="164" fontId="3" fillId="0" borderId="199" xfId="0" applyNumberFormat="1" applyFont="1" applyFill="1" applyBorder="1" applyAlignment="1">
      <alignment/>
    </xf>
    <xf numFmtId="164" fontId="6" fillId="5" borderId="115" xfId="21" applyNumberFormat="1" applyFont="1" applyFill="1" applyBorder="1">
      <alignment/>
      <protection/>
    </xf>
    <xf numFmtId="164" fontId="19" fillId="0" borderId="115" xfId="21" applyNumberFormat="1" applyFont="1" applyBorder="1">
      <alignment/>
      <protection/>
    </xf>
    <xf numFmtId="164" fontId="6" fillId="0" borderId="115" xfId="21" applyNumberFormat="1" applyFont="1" applyBorder="1">
      <alignment/>
      <protection/>
    </xf>
    <xf numFmtId="164" fontId="4" fillId="0" borderId="115" xfId="21" applyNumberFormat="1" applyFont="1" applyBorder="1">
      <alignment/>
      <protection/>
    </xf>
    <xf numFmtId="3" fontId="6" fillId="0" borderId="200" xfId="21" applyNumberFormat="1" applyFont="1" applyBorder="1" applyAlignment="1">
      <alignment horizontal="center" wrapText="1"/>
      <protection/>
    </xf>
    <xf numFmtId="3" fontId="6" fillId="0" borderId="201" xfId="21" applyNumberFormat="1" applyFont="1" applyBorder="1" applyAlignment="1">
      <alignment horizontal="center"/>
      <protection/>
    </xf>
    <xf numFmtId="3" fontId="6" fillId="0" borderId="202" xfId="21" applyNumberFormat="1" applyFont="1" applyBorder="1" applyAlignment="1">
      <alignment horizontal="center"/>
      <protection/>
    </xf>
    <xf numFmtId="3" fontId="6" fillId="5" borderId="20" xfId="21" applyNumberFormat="1" applyFont="1" applyFill="1" applyBorder="1" applyAlignment="1">
      <alignment wrapText="1"/>
      <protection/>
    </xf>
    <xf numFmtId="164" fontId="6" fillId="5" borderId="113" xfId="21" applyNumberFormat="1" applyFont="1" applyFill="1" applyBorder="1">
      <alignment/>
      <protection/>
    </xf>
    <xf numFmtId="3" fontId="19" fillId="0" borderId="20" xfId="21" applyNumberFormat="1" applyFont="1" applyBorder="1" applyAlignment="1">
      <alignment wrapText="1"/>
      <protection/>
    </xf>
    <xf numFmtId="164" fontId="19" fillId="0" borderId="113" xfId="21" applyNumberFormat="1" applyFont="1" applyBorder="1">
      <alignment/>
      <protection/>
    </xf>
    <xf numFmtId="3" fontId="6" fillId="0" borderId="20" xfId="21" applyNumberFormat="1" applyFont="1" applyBorder="1" applyAlignment="1">
      <alignment wrapText="1"/>
      <protection/>
    </xf>
    <xf numFmtId="164" fontId="6" fillId="0" borderId="113" xfId="21" applyNumberFormat="1" applyFont="1" applyBorder="1">
      <alignment/>
      <protection/>
    </xf>
    <xf numFmtId="3" fontId="4" fillId="0" borderId="20" xfId="21" applyNumberFormat="1" applyFont="1" applyBorder="1" applyAlignment="1">
      <alignment wrapText="1"/>
      <protection/>
    </xf>
    <xf numFmtId="164" fontId="22" fillId="0" borderId="54" xfId="0" applyNumberFormat="1" applyFont="1" applyBorder="1" applyAlignment="1">
      <alignment vertical="center"/>
    </xf>
    <xf numFmtId="164" fontId="4" fillId="0" borderId="113" xfId="21" applyNumberFormat="1" applyFont="1" applyBorder="1">
      <alignment/>
      <protection/>
    </xf>
    <xf numFmtId="164" fontId="22" fillId="0" borderId="26" xfId="0" applyNumberFormat="1" applyFont="1" applyBorder="1" applyAlignment="1">
      <alignment vertical="center"/>
    </xf>
    <xf numFmtId="164" fontId="22" fillId="0" borderId="26" xfId="0" applyNumberFormat="1" applyFont="1" applyBorder="1" applyAlignment="1">
      <alignment vertical="center"/>
    </xf>
    <xf numFmtId="3" fontId="6" fillId="10" borderId="203" xfId="21" applyNumberFormat="1" applyFont="1" applyFill="1" applyBorder="1" applyAlignment="1">
      <alignment wrapText="1"/>
      <protection/>
    </xf>
    <xf numFmtId="164" fontId="6" fillId="10" borderId="204" xfId="21" applyNumberFormat="1" applyFont="1" applyFill="1" applyBorder="1">
      <alignment/>
      <protection/>
    </xf>
    <xf numFmtId="164" fontId="6" fillId="10" borderId="205" xfId="21" applyNumberFormat="1" applyFont="1" applyFill="1" applyBorder="1">
      <alignment/>
      <protection/>
    </xf>
    <xf numFmtId="0" fontId="6" fillId="0" borderId="136" xfId="0" applyFont="1" applyBorder="1" applyAlignment="1">
      <alignment horizontal="left" vertical="center"/>
    </xf>
    <xf numFmtId="0" fontId="6" fillId="0" borderId="184" xfId="0" applyFont="1" applyBorder="1" applyAlignment="1">
      <alignment horizontal="left" vertical="center"/>
    </xf>
    <xf numFmtId="0" fontId="6" fillId="0" borderId="206" xfId="0" applyFont="1" applyBorder="1" applyAlignment="1">
      <alignment vertical="center"/>
    </xf>
    <xf numFmtId="0" fontId="6" fillId="0" borderId="207" xfId="0" applyFont="1" applyBorder="1" applyAlignment="1">
      <alignment vertical="center"/>
    </xf>
    <xf numFmtId="0" fontId="7" fillId="0" borderId="208" xfId="0" applyFont="1" applyBorder="1" applyAlignment="1">
      <alignment vertical="center"/>
    </xf>
    <xf numFmtId="0" fontId="4" fillId="0" borderId="147" xfId="0" applyFont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4" fillId="0" borderId="138" xfId="0" applyFont="1" applyBorder="1" applyAlignment="1">
      <alignment vertical="center"/>
    </xf>
    <xf numFmtId="0" fontId="4" fillId="0" borderId="209" xfId="0" applyFont="1" applyBorder="1" applyAlignment="1">
      <alignment vertical="center"/>
    </xf>
    <xf numFmtId="0" fontId="4" fillId="0" borderId="210" xfId="0" applyFont="1" applyBorder="1" applyAlignment="1">
      <alignment vertical="center"/>
    </xf>
    <xf numFmtId="0" fontId="7" fillId="0" borderId="20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164" fontId="6" fillId="0" borderId="211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6" fillId="0" borderId="212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164" fontId="4" fillId="0" borderId="29" xfId="0" applyNumberFormat="1" applyFont="1" applyFill="1" applyBorder="1" applyAlignment="1">
      <alignment vertical="center"/>
    </xf>
    <xf numFmtId="164" fontId="22" fillId="0" borderId="29" xfId="0" applyNumberFormat="1" applyFont="1" applyBorder="1" applyAlignment="1">
      <alignment vertical="center"/>
    </xf>
    <xf numFmtId="164" fontId="6" fillId="0" borderId="41" xfId="0" applyNumberFormat="1" applyFont="1" applyBorder="1" applyAlignment="1">
      <alignment vertical="center"/>
    </xf>
    <xf numFmtId="164" fontId="6" fillId="0" borderId="179" xfId="0" applyNumberFormat="1" applyFont="1" applyBorder="1" applyAlignment="1">
      <alignment vertical="center"/>
    </xf>
    <xf numFmtId="164" fontId="6" fillId="0" borderId="198" xfId="0" applyNumberFormat="1" applyFont="1" applyBorder="1" applyAlignment="1">
      <alignment vertical="center"/>
    </xf>
    <xf numFmtId="164" fontId="6" fillId="0" borderId="130" xfId="0" applyNumberFormat="1" applyFont="1" applyBorder="1" applyAlignment="1">
      <alignment vertical="center"/>
    </xf>
    <xf numFmtId="164" fontId="6" fillId="0" borderId="131" xfId="0" applyNumberFormat="1" applyFont="1" applyBorder="1" applyAlignment="1">
      <alignment vertical="center"/>
    </xf>
    <xf numFmtId="164" fontId="6" fillId="0" borderId="132" xfId="0" applyNumberFormat="1" applyFont="1" applyBorder="1" applyAlignment="1">
      <alignment vertical="center"/>
    </xf>
    <xf numFmtId="164" fontId="4" fillId="0" borderId="61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>
      <alignment vertical="center"/>
    </xf>
    <xf numFmtId="164" fontId="22" fillId="0" borderId="54" xfId="0" applyNumberFormat="1" applyFont="1" applyBorder="1" applyAlignment="1">
      <alignment vertical="center"/>
    </xf>
    <xf numFmtId="164" fontId="22" fillId="0" borderId="67" xfId="0" applyNumberFormat="1" applyFont="1" applyBorder="1" applyAlignment="1">
      <alignment vertical="center"/>
    </xf>
    <xf numFmtId="164" fontId="6" fillId="0" borderId="100" xfId="0" applyNumberFormat="1" applyFont="1" applyBorder="1" applyAlignment="1">
      <alignment vertical="center"/>
    </xf>
    <xf numFmtId="164" fontId="4" fillId="0" borderId="103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164" fontId="4" fillId="0" borderId="102" xfId="0" applyNumberFormat="1" applyFont="1" applyBorder="1" applyAlignment="1">
      <alignment vertical="center"/>
    </xf>
    <xf numFmtId="0" fontId="17" fillId="0" borderId="28" xfId="0" applyFont="1" applyBorder="1" applyAlignment="1">
      <alignment vertical="center" wrapText="1"/>
    </xf>
    <xf numFmtId="164" fontId="22" fillId="0" borderId="28" xfId="0" applyNumberFormat="1" applyFont="1" applyFill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64" fontId="4" fillId="0" borderId="28" xfId="0" applyNumberFormat="1" applyFont="1" applyFill="1" applyBorder="1" applyAlignment="1">
      <alignment vertical="center"/>
    </xf>
    <xf numFmtId="0" fontId="6" fillId="0" borderId="101" xfId="0" applyFont="1" applyFill="1" applyBorder="1" applyAlignment="1">
      <alignment vertical="center"/>
    </xf>
    <xf numFmtId="164" fontId="6" fillId="0" borderId="51" xfId="0" applyNumberFormat="1" applyFont="1" applyBorder="1" applyAlignment="1">
      <alignment vertical="center"/>
    </xf>
    <xf numFmtId="164" fontId="6" fillId="0" borderId="52" xfId="0" applyNumberFormat="1" applyFont="1" applyBorder="1" applyAlignment="1">
      <alignment vertical="center"/>
    </xf>
    <xf numFmtId="164" fontId="6" fillId="0" borderId="53" xfId="0" applyNumberFormat="1" applyFont="1" applyFill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164" fontId="56" fillId="0" borderId="28" xfId="0" applyNumberFormat="1" applyFont="1" applyBorder="1" applyAlignment="1">
      <alignment vertical="center"/>
    </xf>
    <xf numFmtId="164" fontId="21" fillId="0" borderId="28" xfId="0" applyNumberFormat="1" applyFont="1" applyBorder="1" applyAlignment="1">
      <alignment vertical="center" wrapText="1"/>
    </xf>
    <xf numFmtId="164" fontId="27" fillId="0" borderId="26" xfId="23" applyNumberFormat="1" applyFont="1" applyBorder="1" applyAlignment="1">
      <alignment horizontal="right" vertical="center"/>
      <protection/>
    </xf>
    <xf numFmtId="164" fontId="27" fillId="0" borderId="26" xfId="25" applyNumberFormat="1" applyFont="1" applyBorder="1" applyAlignment="1">
      <alignment horizontal="right" vertical="center" wrapText="1"/>
      <protection/>
    </xf>
    <xf numFmtId="164" fontId="27" fillId="0" borderId="28" xfId="25" applyNumberFormat="1" applyFont="1" applyBorder="1" applyAlignment="1">
      <alignment horizontal="right" vertical="center" wrapText="1"/>
      <protection/>
    </xf>
    <xf numFmtId="164" fontId="27" fillId="0" borderId="26" xfId="0" applyNumberFormat="1" applyFont="1" applyBorder="1" applyAlignment="1">
      <alignment horizontal="right" vertical="center" wrapText="1"/>
    </xf>
    <xf numFmtId="164" fontId="27" fillId="0" borderId="28" xfId="0" applyNumberFormat="1" applyFont="1" applyBorder="1" applyAlignment="1">
      <alignment horizontal="right" vertical="center" wrapText="1"/>
    </xf>
    <xf numFmtId="164" fontId="54" fillId="0" borderId="26" xfId="25" applyNumberFormat="1" applyFont="1" applyBorder="1" applyAlignment="1">
      <alignment horizontal="right" vertical="center" wrapText="1"/>
      <protection/>
    </xf>
    <xf numFmtId="164" fontId="54" fillId="0" borderId="28" xfId="25" applyNumberFormat="1" applyFont="1" applyBorder="1" applyAlignment="1">
      <alignment horizontal="right" vertical="center" wrapText="1"/>
      <protection/>
    </xf>
    <xf numFmtId="164" fontId="32" fillId="0" borderId="120" xfId="23" applyNumberFormat="1" applyFont="1" applyBorder="1" applyAlignment="1">
      <alignment horizontal="right" vertical="center"/>
      <protection/>
    </xf>
    <xf numFmtId="164" fontId="32" fillId="0" borderId="213" xfId="23" applyNumberFormat="1" applyFont="1" applyBorder="1" applyAlignment="1">
      <alignment horizontal="right" vertical="center"/>
      <protection/>
    </xf>
    <xf numFmtId="164" fontId="32" fillId="0" borderId="69" xfId="23" applyNumberFormat="1" applyFont="1" applyBorder="1" applyAlignment="1">
      <alignment horizontal="right" vertical="center"/>
      <protection/>
    </xf>
    <xf numFmtId="164" fontId="3" fillId="0" borderId="2" xfId="0" applyNumberFormat="1" applyFont="1" applyFill="1" applyBorder="1" applyAlignment="1">
      <alignment vertical="center"/>
    </xf>
    <xf numFmtId="164" fontId="30" fillId="0" borderId="0" xfId="0" applyNumberFormat="1" applyFont="1"/>
    <xf numFmtId="164" fontId="0" fillId="0" borderId="0" xfId="0" applyNumberFormat="1" applyFont="1"/>
    <xf numFmtId="0" fontId="4" fillId="0" borderId="26" xfId="0" applyFont="1" applyBorder="1" applyAlignment="1">
      <alignment wrapText="1"/>
    </xf>
    <xf numFmtId="164" fontId="27" fillId="0" borderId="28" xfId="23" applyNumberFormat="1" applyFont="1" applyBorder="1" applyAlignment="1">
      <alignment horizontal="right" vertical="center"/>
      <protection/>
    </xf>
    <xf numFmtId="164" fontId="27" fillId="0" borderId="26" xfId="24" applyNumberFormat="1" applyFont="1" applyBorder="1" applyAlignment="1">
      <alignment horizontal="right" vertical="center" wrapText="1"/>
      <protection/>
    </xf>
    <xf numFmtId="164" fontId="27" fillId="0" borderId="28" xfId="24" applyNumberFormat="1" applyFont="1" applyBorder="1" applyAlignment="1">
      <alignment horizontal="right" vertical="center" wrapText="1"/>
      <protection/>
    </xf>
    <xf numFmtId="164" fontId="27" fillId="0" borderId="28" xfId="24" applyNumberFormat="1" applyFont="1" applyBorder="1" applyAlignment="1">
      <alignment horizontal="right" vertical="center"/>
      <protection/>
    </xf>
    <xf numFmtId="164" fontId="27" fillId="0" borderId="55" xfId="24" applyNumberFormat="1" applyFont="1" applyBorder="1" applyAlignment="1">
      <alignment horizontal="right" vertical="center"/>
      <protection/>
    </xf>
    <xf numFmtId="0" fontId="4" fillId="0" borderId="30" xfId="0" applyFont="1" applyFill="1" applyBorder="1" applyAlignment="1">
      <alignment vertical="center"/>
    </xf>
    <xf numFmtId="164" fontId="4" fillId="0" borderId="56" xfId="0" applyNumberFormat="1" applyFont="1" applyBorder="1" applyAlignment="1">
      <alignment vertical="center"/>
    </xf>
    <xf numFmtId="164" fontId="4" fillId="0" borderId="102" xfId="0" applyNumberFormat="1" applyFont="1" applyBorder="1" applyAlignment="1">
      <alignment vertical="center"/>
    </xf>
    <xf numFmtId="0" fontId="20" fillId="0" borderId="109" xfId="22" applyFont="1" applyFill="1" applyBorder="1" applyAlignment="1">
      <alignment horizontal="center" vertical="center"/>
      <protection/>
    </xf>
    <xf numFmtId="0" fontId="20" fillId="0" borderId="110" xfId="22" applyFont="1" applyFill="1" applyBorder="1" applyAlignment="1">
      <alignment horizontal="center" vertical="center"/>
      <protection/>
    </xf>
    <xf numFmtId="164" fontId="6" fillId="0" borderId="129" xfId="0" applyNumberFormat="1" applyFont="1" applyBorder="1" applyAlignment="1">
      <alignment vertical="center"/>
    </xf>
    <xf numFmtId="164" fontId="17" fillId="0" borderId="28" xfId="0" applyNumberFormat="1" applyFont="1" applyBorder="1" applyAlignment="1">
      <alignment vertical="center" wrapText="1"/>
    </xf>
    <xf numFmtId="164" fontId="28" fillId="0" borderId="28" xfId="0" applyNumberFormat="1" applyFont="1" applyFill="1" applyBorder="1" applyAlignment="1">
      <alignment vertical="center"/>
    </xf>
    <xf numFmtId="164" fontId="4" fillId="0" borderId="28" xfId="0" applyNumberFormat="1" applyFont="1" applyBorder="1" applyAlignment="1">
      <alignment horizontal="center" vertical="center"/>
    </xf>
    <xf numFmtId="164" fontId="27" fillId="0" borderId="28" xfId="0" applyNumberFormat="1" applyFont="1" applyFill="1" applyBorder="1" applyAlignment="1">
      <alignment vertical="center"/>
    </xf>
    <xf numFmtId="0" fontId="31" fillId="0" borderId="28" xfId="0" applyFont="1" applyFill="1" applyBorder="1" applyAlignment="1">
      <alignment horizontal="center" vertical="top" wrapText="1"/>
    </xf>
    <xf numFmtId="0" fontId="31" fillId="11" borderId="28" xfId="0" applyFont="1" applyFill="1" applyBorder="1"/>
    <xf numFmtId="0" fontId="31" fillId="11" borderId="28" xfId="0" applyFont="1" applyFill="1" applyBorder="1" applyAlignment="1">
      <alignment horizontal="center" vertical="top" wrapText="1"/>
    </xf>
    <xf numFmtId="3" fontId="31" fillId="11" borderId="28" xfId="0" applyNumberFormat="1" applyFont="1" applyFill="1" applyBorder="1"/>
    <xf numFmtId="164" fontId="4" fillId="0" borderId="55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64" fontId="20" fillId="0" borderId="27" xfId="22" applyNumberFormat="1" applyFont="1" applyBorder="1">
      <alignment/>
      <protection/>
    </xf>
    <xf numFmtId="164" fontId="21" fillId="0" borderId="27" xfId="22" applyNumberFormat="1" applyFont="1" applyBorder="1" applyAlignment="1">
      <alignment horizontal="right"/>
      <protection/>
    </xf>
    <xf numFmtId="164" fontId="21" fillId="0" borderId="115" xfId="22" applyNumberFormat="1" applyFont="1" applyBorder="1">
      <alignment/>
      <protection/>
    </xf>
    <xf numFmtId="0" fontId="9" fillId="0" borderId="214" xfId="0" applyFont="1" applyFill="1" applyBorder="1" applyAlignment="1">
      <alignment/>
    </xf>
    <xf numFmtId="0" fontId="9" fillId="0" borderId="26" xfId="0" applyFont="1" applyFill="1" applyBorder="1"/>
    <xf numFmtId="0" fontId="9" fillId="0" borderId="28" xfId="0" applyFont="1" applyFill="1" applyBorder="1" applyAlignment="1">
      <alignment/>
    </xf>
    <xf numFmtId="164" fontId="21" fillId="0" borderId="113" xfId="22" applyNumberFormat="1" applyFont="1" applyBorder="1">
      <alignment/>
      <protection/>
    </xf>
    <xf numFmtId="0" fontId="21" fillId="0" borderId="172" xfId="22" applyFont="1" applyFill="1" applyBorder="1" applyAlignment="1">
      <alignment/>
      <protection/>
    </xf>
    <xf numFmtId="0" fontId="9" fillId="0" borderId="26" xfId="0" applyFont="1" applyBorder="1"/>
    <xf numFmtId="164" fontId="21" fillId="0" borderId="79" xfId="22" applyNumberFormat="1" applyFont="1" applyBorder="1">
      <alignment/>
      <protection/>
    </xf>
    <xf numFmtId="0" fontId="9" fillId="0" borderId="29" xfId="0" applyFont="1" applyFill="1" applyBorder="1" applyAlignment="1">
      <alignment/>
    </xf>
    <xf numFmtId="164" fontId="20" fillId="0" borderId="90" xfId="22" applyNumberFormat="1" applyFont="1" applyBorder="1">
      <alignment/>
      <protection/>
    </xf>
    <xf numFmtId="0" fontId="21" fillId="0" borderId="28" xfId="22" applyFont="1" applyFill="1" applyBorder="1" applyAlignment="1">
      <alignment/>
      <protection/>
    </xf>
    <xf numFmtId="0" fontId="21" fillId="0" borderId="49" xfId="22" applyFont="1" applyBorder="1">
      <alignment/>
      <protection/>
    </xf>
    <xf numFmtId="0" fontId="21" fillId="0" borderId="86" xfId="22" applyFont="1" applyFill="1" applyBorder="1" applyAlignment="1">
      <alignment/>
      <protection/>
    </xf>
    <xf numFmtId="164" fontId="20" fillId="0" borderId="108" xfId="22" applyNumberFormat="1" applyFont="1" applyBorder="1">
      <alignment/>
      <protection/>
    </xf>
    <xf numFmtId="164" fontId="21" fillId="0" borderId="108" xfId="22" applyNumberFormat="1" applyFont="1" applyBorder="1" applyAlignment="1">
      <alignment horizontal="right"/>
      <protection/>
    </xf>
    <xf numFmtId="164" fontId="21" fillId="0" borderId="204" xfId="22" applyNumberFormat="1" applyFont="1" applyBorder="1">
      <alignment/>
      <protection/>
    </xf>
    <xf numFmtId="164" fontId="21" fillId="0" borderId="205" xfId="22" applyNumberFormat="1" applyFont="1" applyBorder="1">
      <alignment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81" xfId="0" applyFont="1" applyBorder="1" applyAlignment="1">
      <alignment horizontal="center" vertical="center" wrapText="1"/>
    </xf>
    <xf numFmtId="0" fontId="8" fillId="0" borderId="215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8" fillId="0" borderId="216" xfId="0" applyFont="1" applyBorder="1" applyAlignment="1">
      <alignment horizontal="center" vertical="center" wrapText="1"/>
    </xf>
    <xf numFmtId="0" fontId="8" fillId="0" borderId="217" xfId="0" applyFont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218" xfId="0" applyFont="1" applyBorder="1" applyAlignment="1">
      <alignment horizontal="center" vertical="center"/>
    </xf>
    <xf numFmtId="0" fontId="8" fillId="0" borderId="162" xfId="0" applyFont="1" applyBorder="1" applyAlignment="1">
      <alignment horizontal="center" vertical="center"/>
    </xf>
    <xf numFmtId="0" fontId="8" fillId="0" borderId="219" xfId="0" applyFont="1" applyBorder="1" applyAlignment="1">
      <alignment horizontal="center" vertical="center" wrapText="1"/>
    </xf>
    <xf numFmtId="0" fontId="8" fillId="0" borderId="185" xfId="0" applyFont="1" applyBorder="1" applyAlignment="1">
      <alignment horizontal="center" vertical="center" wrapText="1"/>
    </xf>
    <xf numFmtId="0" fontId="8" fillId="0" borderId="22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21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218" xfId="0" applyNumberFormat="1" applyFont="1" applyBorder="1" applyAlignment="1">
      <alignment horizontal="center" vertical="center"/>
    </xf>
    <xf numFmtId="0" fontId="8" fillId="0" borderId="222" xfId="0" applyNumberFormat="1" applyFont="1" applyBorder="1" applyAlignment="1">
      <alignment horizontal="center" vertical="center"/>
    </xf>
    <xf numFmtId="0" fontId="8" fillId="0" borderId="219" xfId="0" applyNumberFormat="1" applyFont="1" applyBorder="1" applyAlignment="1">
      <alignment horizontal="center" vertical="center" wrapText="1"/>
    </xf>
    <xf numFmtId="0" fontId="8" fillId="0" borderId="223" xfId="0" applyNumberFormat="1" applyFont="1" applyBorder="1" applyAlignment="1">
      <alignment horizontal="center" vertical="center" wrapText="1"/>
    </xf>
    <xf numFmtId="0" fontId="8" fillId="0" borderId="220" xfId="0" applyNumberFormat="1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0" fontId="8" fillId="0" borderId="224" xfId="0" applyNumberFormat="1" applyFont="1" applyBorder="1" applyAlignment="1">
      <alignment horizontal="center" vertical="center" wrapText="1"/>
    </xf>
    <xf numFmtId="0" fontId="8" fillId="0" borderId="225" xfId="0" applyNumberFormat="1" applyFont="1" applyBorder="1" applyAlignment="1">
      <alignment horizontal="center" vertical="center" wrapText="1"/>
    </xf>
    <xf numFmtId="3" fontId="20" fillId="0" borderId="226" xfId="22" applyNumberFormat="1" applyFont="1" applyFill="1" applyBorder="1" applyAlignment="1">
      <alignment horizontal="center" vertical="center" wrapText="1"/>
      <protection/>
    </xf>
    <xf numFmtId="3" fontId="20" fillId="0" borderId="91" xfId="22" applyNumberFormat="1" applyFont="1" applyFill="1" applyBorder="1" applyAlignment="1">
      <alignment horizontal="center" vertical="center" wrapText="1"/>
      <protection/>
    </xf>
    <xf numFmtId="3" fontId="20" fillId="0" borderId="227" xfId="22" applyNumberFormat="1" applyFont="1" applyFill="1" applyBorder="1" applyAlignment="1">
      <alignment horizontal="center" vertical="center" wrapText="1"/>
      <protection/>
    </xf>
    <xf numFmtId="3" fontId="20" fillId="0" borderId="159" xfId="22" applyNumberFormat="1" applyFont="1" applyFill="1" applyBorder="1" applyAlignment="1">
      <alignment horizontal="center" vertical="center" wrapText="1"/>
      <protection/>
    </xf>
    <xf numFmtId="0" fontId="20" fillId="0" borderId="226" xfId="22" applyFont="1" applyFill="1" applyBorder="1" applyAlignment="1">
      <alignment horizontal="center" vertical="center" wrapText="1"/>
      <protection/>
    </xf>
    <xf numFmtId="0" fontId="20" fillId="0" borderId="91" xfId="22" applyFont="1" applyFill="1" applyBorder="1" applyAlignment="1">
      <alignment horizontal="center" vertical="center" wrapText="1"/>
      <protection/>
    </xf>
    <xf numFmtId="0" fontId="20" fillId="0" borderId="227" xfId="22" applyFont="1" applyFill="1" applyBorder="1" applyAlignment="1">
      <alignment horizontal="center" vertical="center" wrapText="1"/>
      <protection/>
    </xf>
    <xf numFmtId="0" fontId="20" fillId="0" borderId="159" xfId="22" applyFont="1" applyFill="1" applyBorder="1" applyAlignment="1">
      <alignment horizontal="center" vertical="center" wrapText="1"/>
      <protection/>
    </xf>
    <xf numFmtId="0" fontId="20" fillId="0" borderId="228" xfId="22" applyFont="1" applyFill="1" applyBorder="1" applyAlignment="1">
      <alignment horizontal="center" vertical="center"/>
      <protection/>
    </xf>
    <xf numFmtId="0" fontId="20" fillId="0" borderId="229" xfId="22" applyFont="1" applyFill="1" applyBorder="1" applyAlignment="1">
      <alignment horizontal="center" vertical="center"/>
      <protection/>
    </xf>
    <xf numFmtId="0" fontId="20" fillId="0" borderId="230" xfId="22" applyFont="1" applyFill="1" applyBorder="1" applyAlignment="1">
      <alignment horizontal="center" vertical="center"/>
      <protection/>
    </xf>
    <xf numFmtId="0" fontId="20" fillId="0" borderId="231" xfId="22" applyFont="1" applyFill="1" applyBorder="1" applyAlignment="1">
      <alignment horizontal="center" vertical="center"/>
      <protection/>
    </xf>
    <xf numFmtId="0" fontId="20" fillId="0" borderId="227" xfId="22" applyFont="1" applyFill="1" applyBorder="1" applyAlignment="1">
      <alignment horizontal="center" vertical="center"/>
      <protection/>
    </xf>
    <xf numFmtId="0" fontId="20" fillId="0" borderId="159" xfId="2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20" fillId="0" borderId="160" xfId="22" applyFont="1" applyFill="1" applyBorder="1" applyAlignment="1">
      <alignment horizontal="center" vertical="center"/>
      <protection/>
    </xf>
    <xf numFmtId="0" fontId="20" fillId="0" borderId="36" xfId="22" applyFont="1" applyFill="1" applyBorder="1" applyAlignment="1">
      <alignment horizontal="center" vertical="center"/>
      <protection/>
    </xf>
    <xf numFmtId="0" fontId="20" fillId="0" borderId="215" xfId="22" applyFont="1" applyFill="1" applyBorder="1" applyAlignment="1">
      <alignment horizontal="center" vertical="center"/>
      <protection/>
    </xf>
    <xf numFmtId="0" fontId="20" fillId="0" borderId="109" xfId="22" applyFont="1" applyFill="1" applyBorder="1" applyAlignment="1">
      <alignment horizontal="center" vertical="center"/>
      <protection/>
    </xf>
    <xf numFmtId="0" fontId="20" fillId="0" borderId="49" xfId="22" applyFont="1" applyFill="1" applyBorder="1" applyAlignment="1">
      <alignment horizontal="left" vertical="center"/>
      <protection/>
    </xf>
    <xf numFmtId="0" fontId="20" fillId="0" borderId="232" xfId="22" applyFont="1" applyFill="1" applyBorder="1" applyAlignment="1">
      <alignment horizontal="left" vertical="center"/>
      <protection/>
    </xf>
    <xf numFmtId="0" fontId="20" fillId="0" borderId="17" xfId="22" applyFont="1" applyFill="1" applyBorder="1" applyAlignment="1">
      <alignment horizontal="left" vertical="center"/>
      <protection/>
    </xf>
    <xf numFmtId="0" fontId="20" fillId="0" borderId="106" xfId="22" applyFont="1" applyFill="1" applyBorder="1" applyAlignment="1">
      <alignment horizontal="left" vertical="center"/>
      <protection/>
    </xf>
    <xf numFmtId="0" fontId="20" fillId="0" borderId="135" xfId="22" applyFont="1" applyFill="1" applyBorder="1" applyAlignment="1">
      <alignment horizontal="left" vertical="center"/>
      <protection/>
    </xf>
    <xf numFmtId="0" fontId="20" fillId="0" borderId="157" xfId="22" applyFont="1" applyFill="1" applyBorder="1" applyAlignment="1">
      <alignment horizontal="left" vertical="center"/>
      <protection/>
    </xf>
    <xf numFmtId="0" fontId="20" fillId="0" borderId="20" xfId="22" applyFont="1" applyFill="1" applyBorder="1" applyAlignment="1">
      <alignment horizontal="left" vertical="center"/>
      <protection/>
    </xf>
    <xf numFmtId="0" fontId="20" fillId="0" borderId="6" xfId="22" applyFont="1" applyFill="1" applyBorder="1" applyAlignment="1">
      <alignment horizontal="left" vertical="center"/>
      <protection/>
    </xf>
    <xf numFmtId="0" fontId="20" fillId="0" borderId="233" xfId="22" applyFont="1" applyFill="1" applyBorder="1" applyAlignment="1">
      <alignment horizontal="left" vertical="center"/>
      <protection/>
    </xf>
    <xf numFmtId="0" fontId="20" fillId="0" borderId="234" xfId="22" applyFont="1" applyFill="1" applyBorder="1" applyAlignment="1">
      <alignment horizontal="left" vertical="center"/>
      <protection/>
    </xf>
    <xf numFmtId="0" fontId="20" fillId="0" borderId="235" xfId="22" applyFont="1" applyFill="1" applyBorder="1" applyAlignment="1">
      <alignment horizontal="center"/>
      <protection/>
    </xf>
    <xf numFmtId="0" fontId="20" fillId="0" borderId="199" xfId="22" applyFont="1" applyFill="1" applyBorder="1" applyAlignment="1">
      <alignment horizontal="center"/>
      <protection/>
    </xf>
    <xf numFmtId="0" fontId="20" fillId="0" borderId="236" xfId="22" applyFont="1" applyFill="1" applyBorder="1" applyAlignment="1">
      <alignment horizontal="center"/>
      <protection/>
    </xf>
    <xf numFmtId="0" fontId="20" fillId="0" borderId="122" xfId="22" applyFont="1" applyFill="1" applyBorder="1" applyAlignment="1">
      <alignment horizontal="center" vertical="center" wrapText="1"/>
      <protection/>
    </xf>
    <xf numFmtId="0" fontId="20" fillId="0" borderId="237" xfId="22" applyFont="1" applyFill="1" applyBorder="1" applyAlignment="1">
      <alignment horizontal="center" vertical="center" wrapText="1"/>
      <protection/>
    </xf>
    <xf numFmtId="0" fontId="20" fillId="0" borderId="208" xfId="22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20" fillId="0" borderId="226" xfId="22" applyNumberFormat="1" applyFont="1" applyFill="1" applyBorder="1" applyAlignment="1">
      <alignment horizontal="center" vertical="center" wrapText="1"/>
      <protection/>
    </xf>
    <xf numFmtId="3" fontId="20" fillId="0" borderId="91" xfId="22" applyNumberFormat="1" applyFont="1" applyFill="1" applyBorder="1" applyAlignment="1">
      <alignment horizontal="center" vertical="center" wrapText="1"/>
      <protection/>
    </xf>
    <xf numFmtId="0" fontId="20" fillId="0" borderId="226" xfId="22" applyFont="1" applyFill="1" applyBorder="1" applyAlignment="1">
      <alignment horizontal="center" vertical="center" wrapText="1"/>
      <protection/>
    </xf>
    <xf numFmtId="0" fontId="20" fillId="0" borderId="122" xfId="22" applyFont="1" applyFill="1" applyBorder="1" applyAlignment="1">
      <alignment horizontal="center" vertical="center" wrapText="1"/>
      <protection/>
    </xf>
    <xf numFmtId="0" fontId="20" fillId="0" borderId="47" xfId="22" applyFont="1" applyFill="1" applyBorder="1" applyAlignment="1">
      <alignment horizontal="left" vertical="center"/>
      <protection/>
    </xf>
    <xf numFmtId="0" fontId="20" fillId="0" borderId="167" xfId="22" applyFont="1" applyFill="1" applyBorder="1" applyAlignment="1">
      <alignment horizontal="left" vertical="center"/>
      <protection/>
    </xf>
    <xf numFmtId="0" fontId="20" fillId="0" borderId="91" xfId="22" applyFont="1" applyFill="1" applyBorder="1" applyAlignment="1">
      <alignment horizontal="center" vertical="center" wrapText="1"/>
      <protection/>
    </xf>
    <xf numFmtId="0" fontId="20" fillId="0" borderId="226" xfId="22" applyFont="1" applyFill="1" applyBorder="1" applyAlignment="1">
      <alignment horizontal="center" vertical="center"/>
      <protection/>
    </xf>
    <xf numFmtId="0" fontId="20" fillId="0" borderId="91" xfId="22" applyFont="1" applyFill="1" applyBorder="1" applyAlignment="1">
      <alignment horizontal="center" vertical="center"/>
      <protection/>
    </xf>
    <xf numFmtId="0" fontId="20" fillId="0" borderId="203" xfId="22" applyFont="1" applyFill="1" applyBorder="1" applyAlignment="1">
      <alignment horizontal="left" vertical="center"/>
      <protection/>
    </xf>
    <xf numFmtId="0" fontId="20" fillId="0" borderId="238" xfId="22" applyFont="1" applyFill="1" applyBorder="1" applyAlignment="1">
      <alignment horizontal="left" vertical="center"/>
      <protection/>
    </xf>
    <xf numFmtId="0" fontId="20" fillId="0" borderId="181" xfId="22" applyFont="1" applyFill="1" applyBorder="1" applyAlignment="1">
      <alignment horizontal="center" vertical="center"/>
      <protection/>
    </xf>
    <xf numFmtId="0" fontId="20" fillId="0" borderId="62" xfId="22" applyFont="1" applyFill="1" applyBorder="1" applyAlignment="1">
      <alignment horizontal="center" vertical="center"/>
      <protection/>
    </xf>
    <xf numFmtId="0" fontId="20" fillId="0" borderId="110" xfId="22" applyFont="1" applyFill="1" applyBorder="1" applyAlignment="1">
      <alignment horizontal="center" vertical="center"/>
      <protection/>
    </xf>
    <xf numFmtId="0" fontId="20" fillId="0" borderId="239" xfId="22" applyFont="1" applyFill="1" applyBorder="1" applyAlignment="1">
      <alignment horizontal="center" vertical="center"/>
      <protection/>
    </xf>
    <xf numFmtId="0" fontId="6" fillId="0" borderId="240" xfId="0" applyFont="1" applyBorder="1" applyAlignment="1">
      <alignment horizontal="center" vertical="center" wrapText="1"/>
    </xf>
    <xf numFmtId="0" fontId="6" fillId="0" borderId="2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7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154" xfId="0" applyFont="1" applyBorder="1" applyAlignment="1">
      <alignment horizontal="center" vertical="center" wrapText="1"/>
    </xf>
    <xf numFmtId="0" fontId="6" fillId="0" borderId="2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4" fillId="0" borderId="178" xfId="0" applyFont="1" applyBorder="1" applyAlignment="1">
      <alignment horizontal="center" vertical="center"/>
    </xf>
    <xf numFmtId="0" fontId="14" fillId="0" borderId="18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textRotation="90"/>
    </xf>
    <xf numFmtId="0" fontId="10" fillId="0" borderId="179" xfId="0" applyFont="1" applyBorder="1" applyAlignment="1">
      <alignment horizontal="center" vertical="center" textRotation="90"/>
    </xf>
    <xf numFmtId="0" fontId="10" fillId="0" borderId="134" xfId="0" applyFont="1" applyBorder="1" applyAlignment="1">
      <alignment horizontal="center" vertical="center" textRotation="90"/>
    </xf>
    <xf numFmtId="2" fontId="8" fillId="0" borderId="0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0" fontId="43" fillId="0" borderId="228" xfId="0" applyFont="1" applyBorder="1" applyAlignment="1">
      <alignment horizontal="center" vertical="center" wrapText="1"/>
    </xf>
    <xf numFmtId="0" fontId="43" fillId="0" borderId="23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43" fillId="0" borderId="55" xfId="0" applyNumberFormat="1" applyFont="1" applyFill="1" applyBorder="1" applyAlignment="1">
      <alignment horizontal="right" vertical="center"/>
    </xf>
    <xf numFmtId="3" fontId="43" fillId="0" borderId="69" xfId="0" applyNumberFormat="1" applyFont="1" applyFill="1" applyBorder="1" applyAlignment="1">
      <alignment horizontal="right" vertical="center"/>
    </xf>
    <xf numFmtId="3" fontId="43" fillId="0" borderId="28" xfId="0" applyNumberFormat="1" applyFont="1" applyFill="1" applyBorder="1" applyAlignment="1">
      <alignment horizontal="right" vertical="center"/>
    </xf>
    <xf numFmtId="3" fontId="43" fillId="0" borderId="213" xfId="0" applyNumberFormat="1" applyFont="1" applyFill="1" applyBorder="1" applyAlignment="1">
      <alignment horizontal="right" vertical="center"/>
    </xf>
    <xf numFmtId="0" fontId="43" fillId="0" borderId="53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33" fillId="0" borderId="0" xfId="0" applyFont="1" applyBorder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right"/>
    </xf>
    <xf numFmtId="0" fontId="43" fillId="0" borderId="20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42" xfId="0" applyFont="1" applyBorder="1" applyAlignment="1">
      <alignment horizontal="center" vertical="center" wrapText="1"/>
    </xf>
    <xf numFmtId="0" fontId="43" fillId="0" borderId="243" xfId="0" applyFont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/>
    </xf>
    <xf numFmtId="0" fontId="43" fillId="0" borderId="120" xfId="0" applyFont="1" applyFill="1" applyBorder="1" applyAlignment="1">
      <alignment horizontal="center" vertical="center"/>
    </xf>
    <xf numFmtId="0" fontId="43" fillId="0" borderId="82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3" fontId="8" fillId="0" borderId="125" xfId="0" applyNumberFormat="1" applyFont="1" applyBorder="1" applyAlignment="1">
      <alignment horizontal="center" vertical="center"/>
    </xf>
    <xf numFmtId="3" fontId="8" fillId="0" borderId="244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 wrapText="1"/>
    </xf>
    <xf numFmtId="3" fontId="31" fillId="0" borderId="65" xfId="23" applyNumberFormat="1" applyFont="1" applyBorder="1" applyAlignment="1">
      <alignment horizontal="center" vertical="center"/>
      <protection/>
    </xf>
    <xf numFmtId="0" fontId="31" fillId="0" borderId="100" xfId="23" applyFont="1" applyBorder="1" applyAlignment="1">
      <alignment horizontal="center" vertical="center"/>
      <protection/>
    </xf>
    <xf numFmtId="0" fontId="31" fillId="0" borderId="145" xfId="23" applyFont="1" applyBorder="1" applyAlignment="1">
      <alignment horizontal="center" vertical="center"/>
      <protection/>
    </xf>
    <xf numFmtId="0" fontId="31" fillId="0" borderId="37" xfId="23" applyFont="1" applyBorder="1" applyAlignment="1">
      <alignment horizontal="center" vertical="center"/>
      <protection/>
    </xf>
    <xf numFmtId="0" fontId="31" fillId="0" borderId="135" xfId="23" applyFont="1" applyBorder="1" applyAlignment="1">
      <alignment horizontal="center" vertical="center"/>
      <protection/>
    </xf>
    <xf numFmtId="0" fontId="31" fillId="0" borderId="211" xfId="23" applyFont="1" applyBorder="1" applyAlignment="1">
      <alignment horizontal="center" vertical="center"/>
      <protection/>
    </xf>
    <xf numFmtId="0" fontId="31" fillId="0" borderId="39" xfId="23" applyFont="1" applyBorder="1" applyAlignment="1">
      <alignment horizontal="center" vertical="center"/>
      <protection/>
    </xf>
    <xf numFmtId="3" fontId="31" fillId="0" borderId="103" xfId="23" applyNumberFormat="1" applyFont="1" applyBorder="1" applyAlignment="1">
      <alignment horizontal="center" vertical="center"/>
      <protection/>
    </xf>
    <xf numFmtId="0" fontId="53" fillId="0" borderId="0" xfId="23" applyFont="1" applyAlignment="1">
      <alignment horizontal="center"/>
      <protection/>
    </xf>
    <xf numFmtId="0" fontId="31" fillId="0" borderId="103" xfId="23" applyFont="1" applyBorder="1" applyAlignment="1">
      <alignment horizontal="center" vertical="center"/>
      <protection/>
    </xf>
    <xf numFmtId="0" fontId="31" fillId="0" borderId="26" xfId="23" applyFont="1" applyBorder="1" applyAlignment="1">
      <alignment horizontal="center" vertical="center"/>
      <protection/>
    </xf>
    <xf numFmtId="3" fontId="31" fillId="0" borderId="65" xfId="23" applyNumberFormat="1" applyFont="1" applyBorder="1" applyAlignment="1">
      <alignment horizontal="center" vertical="center" wrapText="1"/>
      <protection/>
    </xf>
    <xf numFmtId="3" fontId="31" fillId="0" borderId="28" xfId="23" applyNumberFormat="1" applyFont="1" applyBorder="1" applyAlignment="1">
      <alignment horizontal="center" vertical="center" wrapText="1"/>
      <protection/>
    </xf>
    <xf numFmtId="3" fontId="31" fillId="0" borderId="61" xfId="23" applyNumberFormat="1" applyFont="1" applyBorder="1" applyAlignment="1">
      <alignment horizontal="center" vertical="center" wrapText="1"/>
      <protection/>
    </xf>
    <xf numFmtId="3" fontId="31" fillId="0" borderId="55" xfId="23" applyNumberFormat="1" applyFont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Munkafüzet1_1" xfId="20"/>
    <cellStyle name="Normál_Munkafüzet3" xfId="21"/>
    <cellStyle name="TableStyleLight1" xfId="22"/>
    <cellStyle name="Normál_Brigitől kisebbségek_Munkafüzet1" xfId="23"/>
    <cellStyle name="Normál_Beruh.felú-átadott-átvett" xfId="24"/>
    <cellStyle name="Normál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 topLeftCell="A1">
      <selection activeCell="E6" sqref="E6"/>
    </sheetView>
  </sheetViews>
  <sheetFormatPr defaultColWidth="9.00390625" defaultRowHeight="12.75"/>
  <cols>
    <col min="1" max="1" width="42.625" style="577" customWidth="1"/>
    <col min="2" max="3" width="13.625" style="577" customWidth="1"/>
    <col min="4" max="4" width="12.375" style="577" customWidth="1"/>
    <col min="5" max="5" width="13.375" style="577" customWidth="1"/>
    <col min="6" max="6" width="9.125" style="577" customWidth="1"/>
    <col min="7" max="7" width="10.875" style="577" bestFit="1" customWidth="1"/>
    <col min="8" max="16384" width="9.125" style="577" customWidth="1"/>
  </cols>
  <sheetData>
    <row r="1" spans="1:2" ht="12.75">
      <c r="A1" s="576" t="s">
        <v>238</v>
      </c>
      <c r="B1" s="78" t="s">
        <v>922</v>
      </c>
    </row>
    <row r="2" ht="12.75">
      <c r="A2" s="576"/>
    </row>
    <row r="3" spans="1:5" ht="12.75">
      <c r="A3" s="1010" t="s">
        <v>779</v>
      </c>
      <c r="B3" s="1011"/>
      <c r="C3" s="1011"/>
      <c r="D3" s="1011"/>
      <c r="E3" s="1011"/>
    </row>
    <row r="4" ht="12.75">
      <c r="A4" s="578"/>
    </row>
    <row r="5" spans="1:3" ht="12.75">
      <c r="A5" s="579"/>
      <c r="B5" s="579"/>
      <c r="C5" s="579"/>
    </row>
    <row r="6" ht="12.75" thickBot="1">
      <c r="E6" s="580" t="s">
        <v>59</v>
      </c>
    </row>
    <row r="7" spans="1:5" ht="24.75" thickBot="1">
      <c r="A7" s="581" t="s">
        <v>44</v>
      </c>
      <c r="B7" s="834" t="s">
        <v>760</v>
      </c>
      <c r="C7" s="828" t="s">
        <v>855</v>
      </c>
      <c r="D7" s="847" t="s">
        <v>777</v>
      </c>
      <c r="E7" s="582" t="s">
        <v>45</v>
      </c>
    </row>
    <row r="8" spans="1:5" ht="12.75">
      <c r="A8" s="583" t="s">
        <v>46</v>
      </c>
      <c r="B8" s="835"/>
      <c r="C8" s="829"/>
      <c r="D8" s="848"/>
      <c r="E8" s="584"/>
    </row>
    <row r="9" spans="1:5" ht="12.75">
      <c r="A9" s="585" t="s">
        <v>127</v>
      </c>
      <c r="B9" s="836">
        <v>153479.597</v>
      </c>
      <c r="C9" s="830">
        <f aca="true" t="shared" si="0" ref="C9:C25">SUM(D9:E9)</f>
        <v>100768.50099999999</v>
      </c>
      <c r="D9" s="849"/>
      <c r="E9" s="586">
        <f>b_k_ré!D12</f>
        <v>100768.50099999999</v>
      </c>
    </row>
    <row r="10" spans="1:5" ht="12.75">
      <c r="A10" s="585" t="s">
        <v>169</v>
      </c>
      <c r="B10" s="837">
        <f>b_k_ré!C13</f>
        <v>0</v>
      </c>
      <c r="C10" s="830">
        <f t="shared" si="0"/>
        <v>279.64</v>
      </c>
      <c r="D10" s="849"/>
      <c r="E10" s="587">
        <f>b_k_ré!F13</f>
        <v>279.64</v>
      </c>
    </row>
    <row r="11" spans="1:5" ht="12.75" hidden="1">
      <c r="A11" s="585" t="s">
        <v>170</v>
      </c>
      <c r="B11" s="837"/>
      <c r="C11" s="830">
        <f t="shared" si="0"/>
        <v>0</v>
      </c>
      <c r="D11" s="849"/>
      <c r="E11" s="587"/>
    </row>
    <row r="12" spans="1:5" ht="12.75" hidden="1">
      <c r="A12" s="585" t="s">
        <v>171</v>
      </c>
      <c r="B12" s="837"/>
      <c r="C12" s="830">
        <f t="shared" si="0"/>
        <v>0</v>
      </c>
      <c r="D12" s="849"/>
      <c r="E12" s="587"/>
    </row>
    <row r="13" spans="1:5" ht="12.75" hidden="1">
      <c r="A13" s="585" t="s">
        <v>172</v>
      </c>
      <c r="B13" s="837"/>
      <c r="C13" s="830">
        <f t="shared" si="0"/>
        <v>0</v>
      </c>
      <c r="D13" s="849"/>
      <c r="E13" s="587"/>
    </row>
    <row r="14" spans="1:5" ht="12.75" thickBot="1">
      <c r="A14" s="588" t="s">
        <v>134</v>
      </c>
      <c r="B14" s="838">
        <v>5334.033</v>
      </c>
      <c r="C14" s="831">
        <f t="shared" si="0"/>
        <v>15606.339999999998</v>
      </c>
      <c r="D14" s="850">
        <f>b_k_ré!E34</f>
        <v>0</v>
      </c>
      <c r="E14" s="589">
        <f>b_k_ré!F34</f>
        <v>15606.339999999998</v>
      </c>
    </row>
    <row r="15" spans="1:5" s="593" customFormat="1" ht="12.75" thickBot="1">
      <c r="A15" s="590" t="s">
        <v>128</v>
      </c>
      <c r="B15" s="839">
        <f>SUM(B9:B14)</f>
        <v>158813.63</v>
      </c>
      <c r="C15" s="832">
        <f t="shared" si="0"/>
        <v>116654.48099999999</v>
      </c>
      <c r="D15" s="851">
        <f aca="true" t="shared" si="1" ref="D15:E15">SUM(D9:D14)</f>
        <v>0</v>
      </c>
      <c r="E15" s="592">
        <f t="shared" si="1"/>
        <v>116654.48099999999</v>
      </c>
    </row>
    <row r="16" spans="1:5" ht="12.75" hidden="1" thickBot="1">
      <c r="A16" s="594" t="s">
        <v>174</v>
      </c>
      <c r="B16" s="840"/>
      <c r="C16" s="833">
        <f t="shared" si="0"/>
        <v>0</v>
      </c>
      <c r="D16" s="852"/>
      <c r="E16" s="596">
        <f>b_k_ré!F39</f>
        <v>0</v>
      </c>
    </row>
    <row r="17" spans="1:5" ht="12.75" hidden="1" thickBot="1">
      <c r="A17" s="585" t="s">
        <v>175</v>
      </c>
      <c r="B17" s="837"/>
      <c r="C17" s="830">
        <f t="shared" si="0"/>
        <v>0</v>
      </c>
      <c r="D17" s="853"/>
      <c r="E17" s="587"/>
    </row>
    <row r="18" spans="1:5" ht="12.75" hidden="1" thickBot="1">
      <c r="A18" s="585" t="s">
        <v>176</v>
      </c>
      <c r="B18" s="837"/>
      <c r="C18" s="830">
        <f t="shared" si="0"/>
        <v>0</v>
      </c>
      <c r="D18" s="853"/>
      <c r="E18" s="587"/>
    </row>
    <row r="19" spans="1:5" ht="12.75" hidden="1" thickBot="1">
      <c r="A19" s="585" t="s">
        <v>177</v>
      </c>
      <c r="B19" s="837"/>
      <c r="C19" s="830">
        <f t="shared" si="0"/>
        <v>0</v>
      </c>
      <c r="D19" s="853"/>
      <c r="E19" s="587"/>
    </row>
    <row r="20" spans="1:5" ht="12.75" hidden="1" thickBot="1">
      <c r="A20" s="588" t="s">
        <v>178</v>
      </c>
      <c r="B20" s="838"/>
      <c r="C20" s="831">
        <f t="shared" si="0"/>
        <v>490485.764</v>
      </c>
      <c r="D20" s="850">
        <f>b_k_ré!E50</f>
        <v>0</v>
      </c>
      <c r="E20" s="589">
        <f>b_k_ré!D50</f>
        <v>490485.764</v>
      </c>
    </row>
    <row r="21" spans="1:5" s="593" customFormat="1" ht="12.75" thickBot="1">
      <c r="A21" s="590" t="s">
        <v>129</v>
      </c>
      <c r="B21" s="839">
        <f>SUM(B16:B20)</f>
        <v>0</v>
      </c>
      <c r="C21" s="832">
        <f t="shared" si="0"/>
        <v>490485.764</v>
      </c>
      <c r="D21" s="851">
        <f aca="true" t="shared" si="2" ref="D21:E21">SUM(D16:D20)</f>
        <v>0</v>
      </c>
      <c r="E21" s="592">
        <f t="shared" si="2"/>
        <v>490485.764</v>
      </c>
    </row>
    <row r="22" spans="1:5" ht="12.75" hidden="1">
      <c r="A22" s="594" t="s">
        <v>130</v>
      </c>
      <c r="B22" s="595"/>
      <c r="C22" s="833">
        <f t="shared" si="0"/>
        <v>0</v>
      </c>
      <c r="D22" s="852"/>
      <c r="E22" s="596">
        <f>b_k_ré!F51</f>
        <v>0</v>
      </c>
    </row>
    <row r="23" spans="1:5" ht="12.75">
      <c r="A23" s="585" t="s">
        <v>162</v>
      </c>
      <c r="B23" s="841">
        <v>4150</v>
      </c>
      <c r="C23" s="830">
        <f t="shared" si="0"/>
        <v>4150</v>
      </c>
      <c r="D23" s="849"/>
      <c r="E23" s="587">
        <f>b_k_ré!F54</f>
        <v>4150</v>
      </c>
    </row>
    <row r="24" spans="1:5" ht="12.75">
      <c r="A24" s="585" t="s">
        <v>131</v>
      </c>
      <c r="B24" s="841">
        <v>33800</v>
      </c>
      <c r="C24" s="830">
        <f t="shared" si="0"/>
        <v>29000</v>
      </c>
      <c r="D24" s="849"/>
      <c r="E24" s="587">
        <f>b_k_ré!F62</f>
        <v>29000</v>
      </c>
    </row>
    <row r="25" spans="1:5" ht="12.75">
      <c r="A25" s="585" t="s">
        <v>132</v>
      </c>
      <c r="B25" s="841">
        <v>100</v>
      </c>
      <c r="C25" s="830">
        <f t="shared" si="0"/>
        <v>100</v>
      </c>
      <c r="D25" s="849">
        <f>b_k_ré!E66</f>
        <v>0</v>
      </c>
      <c r="E25" s="587">
        <f>b_k_ré!F66</f>
        <v>100</v>
      </c>
    </row>
    <row r="26" spans="1:5" s="593" customFormat="1" ht="12.75">
      <c r="A26" s="597" t="s">
        <v>0</v>
      </c>
      <c r="B26" s="842">
        <v>38050</v>
      </c>
      <c r="C26" s="859">
        <f aca="true" t="shared" si="3" ref="C26:E26">SUM(C22:C25)</f>
        <v>33250</v>
      </c>
      <c r="D26" s="854">
        <f t="shared" si="3"/>
        <v>0</v>
      </c>
      <c r="E26" s="598">
        <f t="shared" si="3"/>
        <v>33250</v>
      </c>
    </row>
    <row r="27" spans="1:5" s="593" customFormat="1" ht="12.75">
      <c r="A27" s="597" t="s">
        <v>91</v>
      </c>
      <c r="B27" s="842">
        <v>28035.99</v>
      </c>
      <c r="C27" s="859">
        <f>SUM(D27:E27)</f>
        <v>29770.989999999998</v>
      </c>
      <c r="D27" s="855">
        <f>b_k_ré!E91</f>
        <v>13158.987000000001</v>
      </c>
      <c r="E27" s="598">
        <f>b_k_ré!F91</f>
        <v>16612.002999999997</v>
      </c>
    </row>
    <row r="28" spans="1:5" s="593" customFormat="1" ht="12.75">
      <c r="A28" s="597" t="s">
        <v>135</v>
      </c>
      <c r="B28" s="842">
        <v>0</v>
      </c>
      <c r="C28" s="859">
        <f>SUM(D28:E28)</f>
        <v>0</v>
      </c>
      <c r="D28" s="854">
        <f>b_k_ré!E98</f>
        <v>0</v>
      </c>
      <c r="E28" s="598">
        <f>b_k_ré!F98</f>
        <v>0</v>
      </c>
    </row>
    <row r="29" spans="1:5" s="593" customFormat="1" ht="12.75">
      <c r="A29" s="597" t="s">
        <v>136</v>
      </c>
      <c r="B29" s="842">
        <v>0</v>
      </c>
      <c r="C29" s="859">
        <f>SUM(D29:E29)</f>
        <v>73.32</v>
      </c>
      <c r="D29" s="854">
        <f>b_k_ré!E106</f>
        <v>0</v>
      </c>
      <c r="E29" s="598">
        <f>b_k_ré!F106+b_k_ré!F100</f>
        <v>73.32</v>
      </c>
    </row>
    <row r="30" spans="1:5" s="593" customFormat="1" ht="12.75" thickBot="1">
      <c r="A30" s="597" t="s">
        <v>137</v>
      </c>
      <c r="B30" s="842">
        <v>0</v>
      </c>
      <c r="C30" s="859">
        <f>SUM(D30:E30)</f>
        <v>0</v>
      </c>
      <c r="D30" s="856">
        <f>b_k_ré!E117</f>
        <v>0</v>
      </c>
      <c r="E30" s="599">
        <f>b_k_ré!F117</f>
        <v>0</v>
      </c>
    </row>
    <row r="31" spans="1:7" s="602" customFormat="1" ht="13.5" thickBot="1">
      <c r="A31" s="600" t="s">
        <v>48</v>
      </c>
      <c r="B31" s="843">
        <f>B15+B21+B26+B27+B28+B29+B30</f>
        <v>224899.62</v>
      </c>
      <c r="C31" s="860">
        <f aca="true" t="shared" si="4" ref="C31:E31">C15+C21+C26+C27+C28+C29+C30</f>
        <v>670234.5549999999</v>
      </c>
      <c r="D31" s="857">
        <f t="shared" si="4"/>
        <v>13158.987000000001</v>
      </c>
      <c r="E31" s="601">
        <f t="shared" si="4"/>
        <v>657075.568</v>
      </c>
      <c r="G31" s="603"/>
    </row>
    <row r="32" spans="1:5" ht="12.75">
      <c r="A32" s="604" t="s">
        <v>144</v>
      </c>
      <c r="B32" s="844"/>
      <c r="C32" s="861">
        <f aca="true" t="shared" si="5" ref="C32:C41">SUM(D32:E32)</f>
        <v>0</v>
      </c>
      <c r="D32" s="848"/>
      <c r="E32" s="584"/>
    </row>
    <row r="33" spans="1:5" ht="12.75">
      <c r="A33" s="585" t="s">
        <v>145</v>
      </c>
      <c r="B33" s="845"/>
      <c r="C33" s="862">
        <f t="shared" si="5"/>
        <v>0</v>
      </c>
      <c r="D33" s="849"/>
      <c r="E33" s="587"/>
    </row>
    <row r="34" spans="1:5" ht="12.75">
      <c r="A34" s="594" t="s">
        <v>146</v>
      </c>
      <c r="B34" s="845">
        <v>207000</v>
      </c>
      <c r="C34" s="862">
        <f t="shared" si="5"/>
        <v>275456.95900000003</v>
      </c>
      <c r="D34" s="849">
        <v>279.64</v>
      </c>
      <c r="E34" s="587">
        <v>275177.319</v>
      </c>
    </row>
    <row r="35" spans="1:5" ht="12.75">
      <c r="A35" s="585" t="s">
        <v>29</v>
      </c>
      <c r="B35" s="846"/>
      <c r="C35" s="863">
        <f t="shared" si="5"/>
        <v>0</v>
      </c>
      <c r="D35" s="849"/>
      <c r="E35" s="587"/>
    </row>
    <row r="36" spans="1:5" ht="12.75">
      <c r="A36" s="585" t="s">
        <v>218</v>
      </c>
      <c r="B36" s="845"/>
      <c r="C36" s="862">
        <f t="shared" si="5"/>
        <v>0</v>
      </c>
      <c r="D36" s="849"/>
      <c r="E36" s="587"/>
    </row>
    <row r="37" spans="1:5" ht="12.75">
      <c r="A37" s="585" t="s">
        <v>147</v>
      </c>
      <c r="B37" s="845">
        <v>68299.954</v>
      </c>
      <c r="C37" s="862">
        <f t="shared" si="5"/>
        <v>67341.535</v>
      </c>
      <c r="D37" s="849">
        <f>b_k_ré!F172</f>
        <v>67341.535</v>
      </c>
      <c r="E37" s="587"/>
    </row>
    <row r="38" spans="1:5" ht="12.75" thickBot="1">
      <c r="A38" s="588" t="s">
        <v>545</v>
      </c>
      <c r="B38" s="605"/>
      <c r="C38" s="864">
        <f t="shared" si="5"/>
        <v>250004.90000000002</v>
      </c>
      <c r="D38" s="858"/>
      <c r="E38" s="589">
        <f>130002.6+120002.3</f>
        <v>250004.90000000002</v>
      </c>
    </row>
    <row r="39" spans="1:5" s="593" customFormat="1" ht="12.75" thickBot="1">
      <c r="A39" s="590" t="s">
        <v>148</v>
      </c>
      <c r="B39" s="591">
        <f>SUM(B32:B38)</f>
        <v>275299.954</v>
      </c>
      <c r="C39" s="591">
        <f t="shared" si="5"/>
        <v>592803.3940000001</v>
      </c>
      <c r="D39" s="606">
        <f aca="true" t="shared" si="6" ref="D39:E39">SUM(D32:D38)</f>
        <v>67621.175</v>
      </c>
      <c r="E39" s="592">
        <f t="shared" si="6"/>
        <v>525182.219</v>
      </c>
    </row>
    <row r="40" spans="1:5" s="593" customFormat="1" ht="12.75" thickBot="1">
      <c r="A40" s="590" t="s">
        <v>149</v>
      </c>
      <c r="B40" s="591">
        <v>0</v>
      </c>
      <c r="C40" s="591">
        <f t="shared" si="5"/>
        <v>0</v>
      </c>
      <c r="D40" s="606"/>
      <c r="E40" s="592"/>
    </row>
    <row r="41" spans="1:5" s="593" customFormat="1" ht="12.75" thickBot="1">
      <c r="A41" s="590" t="s">
        <v>30</v>
      </c>
      <c r="B41" s="591">
        <v>0</v>
      </c>
      <c r="C41" s="591">
        <f t="shared" si="5"/>
        <v>0</v>
      </c>
      <c r="D41" s="607"/>
      <c r="E41" s="608"/>
    </row>
    <row r="42" spans="1:5" s="613" customFormat="1" ht="13.5" thickBot="1">
      <c r="A42" s="609" t="s">
        <v>68</v>
      </c>
      <c r="B42" s="610">
        <f aca="true" t="shared" si="7" ref="B42">B39+B40+B41</f>
        <v>275299.954</v>
      </c>
      <c r="C42" s="610">
        <f aca="true" t="shared" si="8" ref="C42:E42">C39+C40+C41</f>
        <v>592803.3940000001</v>
      </c>
      <c r="D42" s="611">
        <f t="shared" si="8"/>
        <v>67621.175</v>
      </c>
      <c r="E42" s="612">
        <f t="shared" si="8"/>
        <v>525182.219</v>
      </c>
    </row>
    <row r="43" spans="1:5" s="613" customFormat="1" ht="13.5" thickBot="1">
      <c r="A43" s="614" t="s">
        <v>78</v>
      </c>
      <c r="B43" s="615">
        <f aca="true" t="shared" si="9" ref="B43">B42+B31</f>
        <v>500199.574</v>
      </c>
      <c r="C43" s="615">
        <f aca="true" t="shared" si="10" ref="C43:E43">C42+C31</f>
        <v>1263037.949</v>
      </c>
      <c r="D43" s="616">
        <f t="shared" si="10"/>
        <v>80780.16200000001</v>
      </c>
      <c r="E43" s="617">
        <f t="shared" si="10"/>
        <v>1182257.787</v>
      </c>
    </row>
    <row r="44" spans="2:5" s="618" customFormat="1" ht="12.75">
      <c r="B44" s="619"/>
      <c r="C44" s="619"/>
      <c r="D44" s="620"/>
      <c r="E44" s="620"/>
    </row>
    <row r="45" spans="2:5" ht="12.75">
      <c r="B45" s="621"/>
      <c r="C45" s="621"/>
      <c r="D45" s="621"/>
      <c r="E45" s="621"/>
    </row>
    <row r="46" ht="12.75">
      <c r="E46" s="621"/>
    </row>
    <row r="47" ht="12.75">
      <c r="E47" s="621"/>
    </row>
  </sheetData>
  <mergeCells count="1">
    <mergeCell ref="A3:E3"/>
  </mergeCells>
  <printOptions horizontalCentered="1"/>
  <pageMargins left="0.17" right="0.16" top="0.5511811023622047" bottom="0" header="0.5118110236220472" footer="0.3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workbookViewId="0" topLeftCell="B10">
      <selection activeCell="L19" sqref="L19"/>
    </sheetView>
  </sheetViews>
  <sheetFormatPr defaultColWidth="9.00390625" defaultRowHeight="12.75"/>
  <cols>
    <col min="1" max="1" width="11.625" style="0" customWidth="1"/>
    <col min="2" max="2" width="42.75390625" style="788" customWidth="1"/>
    <col min="3" max="3" width="10.625" style="0" customWidth="1"/>
    <col min="4" max="4" width="11.375" style="0" customWidth="1"/>
    <col min="5" max="5" width="9.375" style="0" customWidth="1"/>
    <col min="6" max="6" width="10.625" style="0" customWidth="1"/>
    <col min="7" max="8" width="9.375" style="0" customWidth="1"/>
    <col min="9" max="9" width="9.375" style="0" bestFit="1" customWidth="1"/>
    <col min="10" max="10" width="10.125" style="0" customWidth="1"/>
    <col min="11" max="11" width="9.00390625" style="0" customWidth="1"/>
    <col min="12" max="12" width="8.375" style="0" customWidth="1"/>
    <col min="13" max="13" width="6.00390625" style="0" customWidth="1"/>
    <col min="14" max="14" width="8.375" style="0" customWidth="1"/>
    <col min="15" max="15" width="9.375" style="0" bestFit="1" customWidth="1"/>
    <col min="16" max="16" width="10.625" style="0" customWidth="1"/>
    <col min="17" max="17" width="10.00390625" style="0" customWidth="1"/>
    <col min="18" max="18" width="8.375" style="0" customWidth="1"/>
    <col min="19" max="19" width="9.25390625" style="0" customWidth="1"/>
    <col min="20" max="20" width="9.375" style="0" customWidth="1"/>
    <col min="21" max="24" width="10.625" style="0" customWidth="1"/>
    <col min="25" max="25" width="9.375" style="0" customWidth="1"/>
    <col min="26" max="26" width="10.625" style="0" customWidth="1"/>
    <col min="27" max="33" width="9.125" style="0" customWidth="1"/>
  </cols>
  <sheetData>
    <row r="1" spans="3:8" ht="12.75">
      <c r="C1" s="360" t="s">
        <v>612</v>
      </c>
      <c r="D1" s="649" t="str">
        <f>'bev-int'!B1</f>
        <v>melléklet a 12/2020.(IX.17.) önkormányzati rendelethez</v>
      </c>
      <c r="E1" s="649" t="str">
        <f>'bev-int'!B1</f>
        <v>melléklet a 12/2020.(IX.17.) önkormányzati rendelethez</v>
      </c>
      <c r="F1" s="649"/>
      <c r="G1" s="649"/>
      <c r="H1" s="649"/>
    </row>
    <row r="2" ht="12.75" hidden="1"/>
    <row r="4" spans="1:26" ht="12.75">
      <c r="A4" s="1059" t="s">
        <v>786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1059"/>
      <c r="P4" s="1059"/>
      <c r="Q4" s="1059"/>
      <c r="R4" s="1059"/>
      <c r="S4" s="1059"/>
      <c r="T4" s="1059"/>
      <c r="U4" s="1059"/>
      <c r="V4" s="1059"/>
      <c r="W4" s="1059"/>
      <c r="X4" s="1059"/>
      <c r="Y4" s="1059"/>
      <c r="Z4" s="1059"/>
    </row>
    <row r="5" spans="1:16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26" ht="15.75" customHeight="1">
      <c r="A6" s="1060" t="s">
        <v>44</v>
      </c>
      <c r="B6" s="1054"/>
      <c r="C6" s="1053" t="s">
        <v>239</v>
      </c>
      <c r="D6" s="1054"/>
      <c r="E6" s="1074" t="s">
        <v>91</v>
      </c>
      <c r="F6" s="1075"/>
      <c r="G6" s="1075"/>
      <c r="H6" s="1075"/>
      <c r="I6" s="1075"/>
      <c r="J6" s="1075"/>
      <c r="K6" s="1075"/>
      <c r="L6" s="1075"/>
      <c r="M6" s="1075"/>
      <c r="N6" s="1076"/>
      <c r="O6" s="1074" t="s">
        <v>135</v>
      </c>
      <c r="P6" s="1075"/>
      <c r="Q6" s="1075"/>
      <c r="R6" s="1075"/>
      <c r="S6" s="1075"/>
      <c r="T6" s="1076"/>
      <c r="U6" s="1074" t="s">
        <v>68</v>
      </c>
      <c r="V6" s="1075"/>
      <c r="W6" s="1075"/>
      <c r="X6" s="1075"/>
      <c r="Y6" s="1075"/>
      <c r="Z6" s="1079"/>
    </row>
    <row r="7" spans="1:26" ht="13.5" customHeight="1">
      <c r="A7" s="1061"/>
      <c r="B7" s="1056"/>
      <c r="C7" s="1055"/>
      <c r="D7" s="1056"/>
      <c r="E7" s="1049" t="str">
        <f>'bev-int'!A15</f>
        <v>Működési célú támogatások ÁH belülről</v>
      </c>
      <c r="F7" s="1050"/>
      <c r="G7" s="1049" t="str">
        <f>'bev-int'!A26</f>
        <v>Közhatalmi bevételek</v>
      </c>
      <c r="H7" s="1050"/>
      <c r="I7" s="1049" t="str">
        <f>'bev-int'!A27</f>
        <v>Működési bevételek</v>
      </c>
      <c r="J7" s="1050"/>
      <c r="K7" s="1049" t="str">
        <f>'bev-int'!A29</f>
        <v>Működési célú átvett pénzeszközök</v>
      </c>
      <c r="L7" s="1050"/>
      <c r="M7" s="1049" t="s">
        <v>246</v>
      </c>
      <c r="N7" s="1050"/>
      <c r="O7" s="1049" t="str">
        <f>'bev-int'!A21</f>
        <v>Felhalmozási célú támogatások ÁH belülről</v>
      </c>
      <c r="P7" s="1050"/>
      <c r="Q7" s="1049" t="str">
        <f>'bev-int'!A28</f>
        <v>Felhalmozási bevételek</v>
      </c>
      <c r="R7" s="1050"/>
      <c r="S7" s="1049" t="str">
        <f>'bev-int'!A30</f>
        <v>Felhalmozási célú átvett pénzeszközök</v>
      </c>
      <c r="T7" s="1050"/>
      <c r="U7" s="1045" t="str">
        <f>'bev-int'!A34</f>
        <v>Maradvány igénybevétele</v>
      </c>
      <c r="V7" s="1046"/>
      <c r="W7" s="1045" t="s">
        <v>759</v>
      </c>
      <c r="X7" s="1046"/>
      <c r="Y7" s="1049" t="s">
        <v>910</v>
      </c>
      <c r="Z7" s="1077"/>
    </row>
    <row r="8" spans="1:26" ht="19.5" customHeight="1" thickBot="1">
      <c r="A8" s="1061"/>
      <c r="B8" s="1056"/>
      <c r="C8" s="1057"/>
      <c r="D8" s="1058"/>
      <c r="E8" s="1051"/>
      <c r="F8" s="1052"/>
      <c r="G8" s="1051"/>
      <c r="H8" s="1052"/>
      <c r="I8" s="1051"/>
      <c r="J8" s="1052"/>
      <c r="K8" s="1051"/>
      <c r="L8" s="1052"/>
      <c r="M8" s="1051"/>
      <c r="N8" s="1052"/>
      <c r="O8" s="1051"/>
      <c r="P8" s="1052"/>
      <c r="Q8" s="1051"/>
      <c r="R8" s="1052"/>
      <c r="S8" s="1051"/>
      <c r="T8" s="1052"/>
      <c r="U8" s="1047"/>
      <c r="V8" s="1048"/>
      <c r="W8" s="1047"/>
      <c r="X8" s="1048"/>
      <c r="Y8" s="1051"/>
      <c r="Z8" s="1078"/>
    </row>
    <row r="9" spans="1:26" ht="18.75" customHeight="1" thickBot="1">
      <c r="A9" s="1062"/>
      <c r="B9" s="1063"/>
      <c r="C9" s="403" t="s">
        <v>616</v>
      </c>
      <c r="D9" s="977" t="s">
        <v>617</v>
      </c>
      <c r="E9" s="403" t="s">
        <v>616</v>
      </c>
      <c r="F9" s="977" t="s">
        <v>617</v>
      </c>
      <c r="G9" s="403" t="s">
        <v>616</v>
      </c>
      <c r="H9" s="977" t="s">
        <v>617</v>
      </c>
      <c r="I9" s="403" t="s">
        <v>616</v>
      </c>
      <c r="J9" s="977" t="s">
        <v>617</v>
      </c>
      <c r="K9" s="403" t="s">
        <v>616</v>
      </c>
      <c r="L9" s="977" t="s">
        <v>617</v>
      </c>
      <c r="M9" s="403" t="s">
        <v>616</v>
      </c>
      <c r="N9" s="977" t="s">
        <v>617</v>
      </c>
      <c r="O9" s="403" t="s">
        <v>616</v>
      </c>
      <c r="P9" s="977" t="s">
        <v>617</v>
      </c>
      <c r="Q9" s="403" t="s">
        <v>616</v>
      </c>
      <c r="R9" s="977" t="s">
        <v>617</v>
      </c>
      <c r="S9" s="403" t="s">
        <v>616</v>
      </c>
      <c r="T9" s="977" t="s">
        <v>617</v>
      </c>
      <c r="U9" s="403" t="s">
        <v>616</v>
      </c>
      <c r="V9" s="977" t="s">
        <v>617</v>
      </c>
      <c r="W9" s="403" t="s">
        <v>616</v>
      </c>
      <c r="X9" s="977" t="s">
        <v>617</v>
      </c>
      <c r="Y9" s="403" t="s">
        <v>616</v>
      </c>
      <c r="Z9" s="978" t="s">
        <v>617</v>
      </c>
    </row>
    <row r="10" spans="1:26" ht="12.75">
      <c r="A10" s="1066"/>
      <c r="B10" s="1067"/>
      <c r="C10" s="164"/>
      <c r="D10" s="164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409"/>
      <c r="Z10" s="404"/>
    </row>
    <row r="11" spans="1:26" s="74" customFormat="1" ht="15" customHeight="1">
      <c r="A11" s="995" t="s">
        <v>252</v>
      </c>
      <c r="B11" s="996" t="s">
        <v>251</v>
      </c>
      <c r="C11" s="991">
        <f>E11+G11+I11+K11+M11+O11+Q11+S11+U11+Y11+W11</f>
        <v>0</v>
      </c>
      <c r="D11" s="991">
        <f>F11+H11+J11+L11+N11+P11+R11+T11+V11+Z11+X11</f>
        <v>700</v>
      </c>
      <c r="E11" s="992"/>
      <c r="F11" s="992"/>
      <c r="G11" s="992"/>
      <c r="H11" s="992"/>
      <c r="I11" s="992"/>
      <c r="J11" s="992">
        <v>700</v>
      </c>
      <c r="K11" s="992">
        <v>0</v>
      </c>
      <c r="L11" s="992"/>
      <c r="M11" s="992"/>
      <c r="N11" s="992"/>
      <c r="O11" s="992"/>
      <c r="P11" s="992"/>
      <c r="Q11" s="992"/>
      <c r="R11" s="992"/>
      <c r="S11" s="992"/>
      <c r="T11" s="992"/>
      <c r="U11" s="992"/>
      <c r="V11" s="992"/>
      <c r="W11" s="992"/>
      <c r="X11" s="992"/>
      <c r="Y11" s="993"/>
      <c r="Z11" s="997"/>
    </row>
    <row r="12" spans="1:26" s="74" customFormat="1" ht="15" customHeight="1">
      <c r="A12" s="995" t="s">
        <v>560</v>
      </c>
      <c r="B12" s="996" t="s">
        <v>771</v>
      </c>
      <c r="C12" s="991">
        <f aca="true" t="shared" si="0" ref="C12:C55">E12+G12+I12+K12+M12+O12+Q12+S12+U12+Y12+W12</f>
        <v>500</v>
      </c>
      <c r="D12" s="991">
        <f aca="true" t="shared" si="1" ref="D12:D51">F12+H12+J12+L12+N12+P12+R12+T12+V12+Z12+X12</f>
        <v>500</v>
      </c>
      <c r="E12" s="992"/>
      <c r="F12" s="992"/>
      <c r="G12" s="992"/>
      <c r="H12" s="992"/>
      <c r="I12" s="992">
        <v>500</v>
      </c>
      <c r="J12" s="992">
        <v>500</v>
      </c>
      <c r="K12" s="992">
        <v>0</v>
      </c>
      <c r="L12" s="992"/>
      <c r="M12" s="992"/>
      <c r="N12" s="992"/>
      <c r="O12" s="992"/>
      <c r="P12" s="992"/>
      <c r="Q12" s="992"/>
      <c r="R12" s="992"/>
      <c r="S12" s="992"/>
      <c r="T12" s="992"/>
      <c r="U12" s="992"/>
      <c r="V12" s="992"/>
      <c r="W12" s="992"/>
      <c r="X12" s="992"/>
      <c r="Y12" s="993"/>
      <c r="Z12" s="997"/>
    </row>
    <row r="13" spans="1:26" s="74" customFormat="1" ht="15" customHeight="1" hidden="1">
      <c r="A13" s="995" t="s">
        <v>252</v>
      </c>
      <c r="B13" s="996"/>
      <c r="C13" s="991">
        <f t="shared" si="0"/>
        <v>0</v>
      </c>
      <c r="D13" s="991">
        <f t="shared" si="1"/>
        <v>0</v>
      </c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2"/>
      <c r="X13" s="992"/>
      <c r="Y13" s="993"/>
      <c r="Z13" s="997"/>
    </row>
    <row r="14" spans="1:26" s="74" customFormat="1" ht="15" customHeight="1" hidden="1">
      <c r="A14" s="995" t="s">
        <v>252</v>
      </c>
      <c r="B14" s="996"/>
      <c r="C14" s="991">
        <f t="shared" si="0"/>
        <v>0</v>
      </c>
      <c r="D14" s="991">
        <f t="shared" si="1"/>
        <v>0</v>
      </c>
      <c r="E14" s="992"/>
      <c r="F14" s="992"/>
      <c r="G14" s="992"/>
      <c r="H14" s="992"/>
      <c r="I14" s="992"/>
      <c r="J14" s="992"/>
      <c r="K14" s="992"/>
      <c r="L14" s="992"/>
      <c r="M14" s="992"/>
      <c r="N14" s="992"/>
      <c r="O14" s="992"/>
      <c r="P14" s="992"/>
      <c r="Q14" s="992"/>
      <c r="R14" s="992"/>
      <c r="S14" s="992"/>
      <c r="T14" s="992"/>
      <c r="U14" s="992"/>
      <c r="V14" s="992"/>
      <c r="W14" s="992"/>
      <c r="X14" s="992"/>
      <c r="Y14" s="993"/>
      <c r="Z14" s="997"/>
    </row>
    <row r="15" spans="1:26" s="74" customFormat="1" ht="15" customHeight="1" hidden="1">
      <c r="A15" s="995" t="s">
        <v>252</v>
      </c>
      <c r="B15" s="996" t="s">
        <v>255</v>
      </c>
      <c r="C15" s="991">
        <f t="shared" si="0"/>
        <v>0</v>
      </c>
      <c r="D15" s="991">
        <f t="shared" si="1"/>
        <v>0</v>
      </c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  <c r="S15" s="992"/>
      <c r="T15" s="992"/>
      <c r="U15" s="992"/>
      <c r="V15" s="992"/>
      <c r="W15" s="992"/>
      <c r="X15" s="992"/>
      <c r="Y15" s="993"/>
      <c r="Z15" s="997"/>
    </row>
    <row r="16" spans="1:26" s="74" customFormat="1" ht="15" customHeight="1">
      <c r="A16" s="995" t="s">
        <v>252</v>
      </c>
      <c r="B16" s="996" t="s">
        <v>766</v>
      </c>
      <c r="C16" s="991">
        <f t="shared" si="0"/>
        <v>153479.597</v>
      </c>
      <c r="D16" s="991">
        <f t="shared" si="1"/>
        <v>100768.501</v>
      </c>
      <c r="E16" s="992">
        <v>153479.597</v>
      </c>
      <c r="F16" s="992">
        <f>153479.597-55576.94+2865.844</f>
        <v>100768.501</v>
      </c>
      <c r="G16" s="992"/>
      <c r="H16" s="992"/>
      <c r="I16" s="992"/>
      <c r="J16" s="992"/>
      <c r="K16" s="992"/>
      <c r="L16" s="992"/>
      <c r="M16" s="992"/>
      <c r="N16" s="992"/>
      <c r="O16" s="992"/>
      <c r="P16" s="992"/>
      <c r="Q16" s="992"/>
      <c r="R16" s="992"/>
      <c r="S16" s="992"/>
      <c r="T16" s="992"/>
      <c r="U16" s="992"/>
      <c r="V16" s="992"/>
      <c r="W16" s="992"/>
      <c r="X16" s="992"/>
      <c r="Y16" s="993"/>
      <c r="Z16" s="997"/>
    </row>
    <row r="17" spans="1:26" s="74" customFormat="1" ht="15" customHeight="1">
      <c r="A17" s="995" t="s">
        <v>252</v>
      </c>
      <c r="B17" s="998" t="s">
        <v>770</v>
      </c>
      <c r="C17" s="991">
        <f t="shared" si="0"/>
        <v>207000</v>
      </c>
      <c r="D17" s="991">
        <f t="shared" si="1"/>
        <v>275177.319</v>
      </c>
      <c r="E17" s="992"/>
      <c r="F17" s="992"/>
      <c r="G17" s="992"/>
      <c r="H17" s="992"/>
      <c r="I17" s="992"/>
      <c r="J17" s="992"/>
      <c r="K17" s="992"/>
      <c r="L17" s="992"/>
      <c r="M17" s="992"/>
      <c r="N17" s="992"/>
      <c r="O17" s="992"/>
      <c r="P17" s="992"/>
      <c r="Q17" s="992"/>
      <c r="R17" s="992"/>
      <c r="S17" s="992"/>
      <c r="T17" s="992"/>
      <c r="U17" s="992">
        <v>207000</v>
      </c>
      <c r="V17" s="992">
        <v>275177.319</v>
      </c>
      <c r="W17" s="992"/>
      <c r="X17" s="992"/>
      <c r="Y17" s="993"/>
      <c r="Z17" s="997"/>
    </row>
    <row r="18" spans="1:26" s="74" customFormat="1" ht="15" customHeight="1">
      <c r="A18" s="999" t="s">
        <v>252</v>
      </c>
      <c r="B18" s="996" t="s">
        <v>754</v>
      </c>
      <c r="C18" s="991">
        <f t="shared" si="0"/>
        <v>0</v>
      </c>
      <c r="D18" s="991">
        <f t="shared" si="1"/>
        <v>9684.807</v>
      </c>
      <c r="E18" s="992">
        <v>0</v>
      </c>
      <c r="F18" s="992">
        <v>9684.807</v>
      </c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2"/>
      <c r="X18" s="992"/>
      <c r="Y18" s="993"/>
      <c r="Z18" s="997"/>
    </row>
    <row r="19" spans="1:26" s="74" customFormat="1" ht="15" customHeight="1">
      <c r="A19" s="995" t="s">
        <v>252</v>
      </c>
      <c r="B19" s="996" t="s">
        <v>881</v>
      </c>
      <c r="C19" s="991">
        <f t="shared" si="0"/>
        <v>0</v>
      </c>
      <c r="D19" s="991">
        <f t="shared" si="1"/>
        <v>279.64</v>
      </c>
      <c r="E19" s="992"/>
      <c r="F19" s="992">
        <v>279.64</v>
      </c>
      <c r="G19" s="992"/>
      <c r="H19" s="992"/>
      <c r="I19" s="992"/>
      <c r="J19" s="992"/>
      <c r="K19" s="992"/>
      <c r="L19" s="992"/>
      <c r="M19" s="992"/>
      <c r="N19" s="992"/>
      <c r="O19" s="992"/>
      <c r="P19" s="992"/>
      <c r="Q19" s="992"/>
      <c r="R19" s="992"/>
      <c r="S19" s="992"/>
      <c r="T19" s="992"/>
      <c r="U19" s="992"/>
      <c r="V19" s="992"/>
      <c r="W19" s="992"/>
      <c r="X19" s="992"/>
      <c r="Y19" s="993"/>
      <c r="Z19" s="997"/>
    </row>
    <row r="20" spans="1:26" s="74" customFormat="1" ht="15" customHeight="1">
      <c r="A20" s="995" t="s">
        <v>252</v>
      </c>
      <c r="B20" s="996" t="s">
        <v>758</v>
      </c>
      <c r="C20" s="991">
        <f t="shared" si="0"/>
        <v>0</v>
      </c>
      <c r="D20" s="991">
        <f t="shared" si="1"/>
        <v>0</v>
      </c>
      <c r="E20" s="992"/>
      <c r="F20" s="992"/>
      <c r="G20" s="992"/>
      <c r="H20" s="992"/>
      <c r="I20" s="992"/>
      <c r="J20" s="992"/>
      <c r="K20" s="992"/>
      <c r="L20" s="992"/>
      <c r="M20" s="992"/>
      <c r="N20" s="992"/>
      <c r="O20" s="992"/>
      <c r="P20" s="992"/>
      <c r="Q20" s="992"/>
      <c r="R20" s="992"/>
      <c r="S20" s="992"/>
      <c r="T20" s="992"/>
      <c r="U20" s="992"/>
      <c r="V20" s="992"/>
      <c r="W20" s="992"/>
      <c r="X20" s="992"/>
      <c r="Y20" s="993"/>
      <c r="Z20" s="997"/>
    </row>
    <row r="21" spans="1:26" s="74" customFormat="1" ht="15" customHeight="1">
      <c r="A21" s="995" t="s">
        <v>252</v>
      </c>
      <c r="B21" s="996" t="s">
        <v>259</v>
      </c>
      <c r="C21" s="991">
        <f t="shared" si="0"/>
        <v>3160.522</v>
      </c>
      <c r="D21" s="991">
        <f t="shared" si="1"/>
        <v>3160.522</v>
      </c>
      <c r="E21" s="992"/>
      <c r="F21" s="992"/>
      <c r="G21" s="992"/>
      <c r="H21" s="992"/>
      <c r="I21" s="992">
        <v>3160.522</v>
      </c>
      <c r="J21" s="992">
        <v>3160.522</v>
      </c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2"/>
      <c r="X21" s="992"/>
      <c r="Y21" s="993"/>
      <c r="Z21" s="997"/>
    </row>
    <row r="22" spans="1:26" s="74" customFormat="1" ht="15" customHeight="1" hidden="1">
      <c r="A22" s="995" t="s">
        <v>252</v>
      </c>
      <c r="B22" s="996"/>
      <c r="C22" s="991">
        <f t="shared" si="0"/>
        <v>0</v>
      </c>
      <c r="D22" s="991">
        <f t="shared" si="1"/>
        <v>0</v>
      </c>
      <c r="E22" s="992"/>
      <c r="F22" s="992"/>
      <c r="G22" s="992"/>
      <c r="H22" s="992"/>
      <c r="I22" s="992"/>
      <c r="J22" s="992"/>
      <c r="K22" s="992"/>
      <c r="L22" s="992"/>
      <c r="M22" s="992"/>
      <c r="N22" s="992"/>
      <c r="O22" s="992"/>
      <c r="P22" s="992"/>
      <c r="Q22" s="992"/>
      <c r="R22" s="992"/>
      <c r="S22" s="992"/>
      <c r="T22" s="992"/>
      <c r="U22" s="992"/>
      <c r="V22" s="992"/>
      <c r="W22" s="992"/>
      <c r="X22" s="992"/>
      <c r="Y22" s="993"/>
      <c r="Z22" s="997"/>
    </row>
    <row r="23" spans="1:26" s="74" customFormat="1" ht="15" customHeight="1">
      <c r="A23" s="995" t="s">
        <v>252</v>
      </c>
      <c r="B23" s="996" t="s">
        <v>272</v>
      </c>
      <c r="C23" s="991">
        <f t="shared" si="0"/>
        <v>1016</v>
      </c>
      <c r="D23" s="991">
        <f t="shared" si="1"/>
        <v>1016</v>
      </c>
      <c r="E23" s="992"/>
      <c r="F23" s="992"/>
      <c r="G23" s="992"/>
      <c r="H23" s="992"/>
      <c r="I23" s="992">
        <v>1016</v>
      </c>
      <c r="J23" s="992">
        <v>1016</v>
      </c>
      <c r="K23" s="992"/>
      <c r="L23" s="992"/>
      <c r="M23" s="992"/>
      <c r="N23" s="992"/>
      <c r="O23" s="992"/>
      <c r="P23" s="992"/>
      <c r="Q23" s="992"/>
      <c r="R23" s="992"/>
      <c r="S23" s="992"/>
      <c r="T23" s="992"/>
      <c r="U23" s="992"/>
      <c r="V23" s="992"/>
      <c r="W23" s="992"/>
      <c r="X23" s="992"/>
      <c r="Y23" s="993"/>
      <c r="Z23" s="997"/>
    </row>
    <row r="24" spans="1:26" s="74" customFormat="1" ht="15" customHeight="1" hidden="1">
      <c r="A24" s="995" t="s">
        <v>252</v>
      </c>
      <c r="B24" s="996" t="s">
        <v>273</v>
      </c>
      <c r="C24" s="991">
        <f t="shared" si="0"/>
        <v>0</v>
      </c>
      <c r="D24" s="991">
        <f t="shared" si="1"/>
        <v>0</v>
      </c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2"/>
      <c r="X24" s="992"/>
      <c r="Y24" s="993"/>
      <c r="Z24" s="997"/>
    </row>
    <row r="25" spans="1:26" s="74" customFormat="1" ht="15" customHeight="1" hidden="1">
      <c r="A25" s="995" t="s">
        <v>252</v>
      </c>
      <c r="B25" s="996" t="s">
        <v>749</v>
      </c>
      <c r="C25" s="991">
        <f t="shared" si="0"/>
        <v>0</v>
      </c>
      <c r="D25" s="991">
        <f t="shared" si="1"/>
        <v>0</v>
      </c>
      <c r="E25" s="992"/>
      <c r="F25" s="992"/>
      <c r="G25" s="992"/>
      <c r="H25" s="992"/>
      <c r="I25" s="992"/>
      <c r="J25" s="992"/>
      <c r="K25" s="992"/>
      <c r="L25" s="992"/>
      <c r="M25" s="992"/>
      <c r="N25" s="992"/>
      <c r="O25" s="992"/>
      <c r="P25" s="992"/>
      <c r="Q25" s="992"/>
      <c r="R25" s="992"/>
      <c r="S25" s="992"/>
      <c r="T25" s="992"/>
      <c r="U25" s="992"/>
      <c r="V25" s="992"/>
      <c r="W25" s="992"/>
      <c r="X25" s="992"/>
      <c r="Y25" s="993"/>
      <c r="Z25" s="997"/>
    </row>
    <row r="26" spans="1:26" s="74" customFormat="1" ht="15" customHeight="1">
      <c r="A26" s="995" t="s">
        <v>252</v>
      </c>
      <c r="B26" s="996" t="s">
        <v>278</v>
      </c>
      <c r="C26" s="991">
        <f t="shared" si="0"/>
        <v>4800</v>
      </c>
      <c r="D26" s="991">
        <f t="shared" si="1"/>
        <v>5387.5</v>
      </c>
      <c r="E26" s="992">
        <v>4800</v>
      </c>
      <c r="F26" s="992">
        <f>4800+587.5</f>
        <v>5387.5</v>
      </c>
      <c r="G26" s="992"/>
      <c r="H26" s="992"/>
      <c r="I26" s="992"/>
      <c r="J26" s="992"/>
      <c r="K26" s="992"/>
      <c r="L26" s="992"/>
      <c r="M26" s="992"/>
      <c r="N26" s="992"/>
      <c r="O26" s="992"/>
      <c r="P26" s="992"/>
      <c r="Q26" s="992"/>
      <c r="R26" s="992"/>
      <c r="S26" s="992"/>
      <c r="T26" s="992"/>
      <c r="U26" s="992"/>
      <c r="V26" s="992"/>
      <c r="W26" s="992"/>
      <c r="X26" s="992"/>
      <c r="Y26" s="993"/>
      <c r="Z26" s="997"/>
    </row>
    <row r="27" spans="1:26" s="74" customFormat="1" ht="15" customHeight="1">
      <c r="A27" s="995" t="s">
        <v>252</v>
      </c>
      <c r="B27" s="996" t="s">
        <v>279</v>
      </c>
      <c r="C27" s="991">
        <f t="shared" si="0"/>
        <v>0</v>
      </c>
      <c r="D27" s="991">
        <f t="shared" si="1"/>
        <v>0</v>
      </c>
      <c r="E27" s="992">
        <v>0</v>
      </c>
      <c r="F27" s="992">
        <v>0</v>
      </c>
      <c r="G27" s="992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2"/>
      <c r="S27" s="992"/>
      <c r="T27" s="992"/>
      <c r="U27" s="992"/>
      <c r="V27" s="992"/>
      <c r="W27" s="992"/>
      <c r="X27" s="992"/>
      <c r="Y27" s="993"/>
      <c r="Z27" s="997"/>
    </row>
    <row r="28" spans="1:26" s="74" customFormat="1" ht="15" customHeight="1" hidden="1">
      <c r="A28" s="999" t="s">
        <v>252</v>
      </c>
      <c r="B28" s="996" t="s">
        <v>756</v>
      </c>
      <c r="C28" s="991">
        <f t="shared" si="0"/>
        <v>0</v>
      </c>
      <c r="D28" s="991">
        <f t="shared" si="1"/>
        <v>0</v>
      </c>
      <c r="E28" s="992"/>
      <c r="F28" s="992"/>
      <c r="G28" s="992"/>
      <c r="H28" s="992"/>
      <c r="I28" s="992">
        <v>0</v>
      </c>
      <c r="J28" s="992">
        <v>0</v>
      </c>
      <c r="K28" s="992"/>
      <c r="L28" s="992"/>
      <c r="M28" s="992"/>
      <c r="N28" s="992"/>
      <c r="O28" s="992"/>
      <c r="P28" s="992"/>
      <c r="Q28" s="992"/>
      <c r="R28" s="992"/>
      <c r="S28" s="992"/>
      <c r="T28" s="992"/>
      <c r="U28" s="992"/>
      <c r="V28" s="992"/>
      <c r="W28" s="992"/>
      <c r="X28" s="992"/>
      <c r="Y28" s="993"/>
      <c r="Z28" s="997"/>
    </row>
    <row r="29" spans="1:26" s="74" customFormat="1" ht="15" customHeight="1">
      <c r="A29" s="995" t="s">
        <v>252</v>
      </c>
      <c r="B29" s="996" t="s">
        <v>830</v>
      </c>
      <c r="C29" s="991">
        <f t="shared" si="0"/>
        <v>381</v>
      </c>
      <c r="D29" s="991">
        <f t="shared" si="1"/>
        <v>454.32</v>
      </c>
      <c r="E29" s="992"/>
      <c r="F29" s="992"/>
      <c r="G29" s="992"/>
      <c r="H29" s="992"/>
      <c r="I29" s="992">
        <v>381</v>
      </c>
      <c r="J29" s="992">
        <v>381</v>
      </c>
      <c r="K29" s="992"/>
      <c r="L29" s="992">
        <v>73.32</v>
      </c>
      <c r="M29" s="992"/>
      <c r="N29" s="992"/>
      <c r="O29" s="992"/>
      <c r="P29" s="992"/>
      <c r="Q29" s="992"/>
      <c r="R29" s="992"/>
      <c r="S29" s="992"/>
      <c r="T29" s="992"/>
      <c r="U29" s="992"/>
      <c r="V29" s="992"/>
      <c r="W29" s="992"/>
      <c r="X29" s="992"/>
      <c r="Y29" s="993"/>
      <c r="Z29" s="997"/>
    </row>
    <row r="30" spans="1:26" s="74" customFormat="1" ht="15" customHeight="1" hidden="1">
      <c r="A30" s="995" t="s">
        <v>252</v>
      </c>
      <c r="B30" s="996"/>
      <c r="C30" s="991">
        <f t="shared" si="0"/>
        <v>0</v>
      </c>
      <c r="D30" s="991">
        <f t="shared" si="1"/>
        <v>0</v>
      </c>
      <c r="E30" s="992"/>
      <c r="F30" s="992"/>
      <c r="G30" s="992"/>
      <c r="H30" s="992"/>
      <c r="I30" s="992">
        <v>0</v>
      </c>
      <c r="J30" s="992">
        <v>0</v>
      </c>
      <c r="K30" s="992"/>
      <c r="L30" s="992"/>
      <c r="M30" s="992"/>
      <c r="N30" s="992"/>
      <c r="O30" s="992"/>
      <c r="P30" s="992"/>
      <c r="Q30" s="992"/>
      <c r="R30" s="992"/>
      <c r="S30" s="992"/>
      <c r="T30" s="992"/>
      <c r="U30" s="992"/>
      <c r="V30" s="992"/>
      <c r="W30" s="992"/>
      <c r="X30" s="992"/>
      <c r="Y30" s="993"/>
      <c r="Z30" s="997"/>
    </row>
    <row r="31" spans="1:26" s="74" customFormat="1" ht="15" customHeight="1" hidden="1">
      <c r="A31" s="995" t="s">
        <v>560</v>
      </c>
      <c r="B31" s="996" t="s">
        <v>755</v>
      </c>
      <c r="C31" s="991">
        <f t="shared" si="0"/>
        <v>0</v>
      </c>
      <c r="D31" s="991">
        <f t="shared" si="1"/>
        <v>0</v>
      </c>
      <c r="E31" s="992"/>
      <c r="F31" s="992"/>
      <c r="G31" s="992"/>
      <c r="H31" s="992"/>
      <c r="I31" s="992"/>
      <c r="J31" s="992"/>
      <c r="K31" s="992"/>
      <c r="L31" s="992"/>
      <c r="M31" s="992"/>
      <c r="N31" s="992"/>
      <c r="O31" s="992"/>
      <c r="P31" s="992"/>
      <c r="Q31" s="992"/>
      <c r="R31" s="992"/>
      <c r="S31" s="992"/>
      <c r="T31" s="992"/>
      <c r="U31" s="992"/>
      <c r="V31" s="992"/>
      <c r="W31" s="992"/>
      <c r="X31" s="992"/>
      <c r="Y31" s="993"/>
      <c r="Z31" s="997"/>
    </row>
    <row r="32" spans="1:26" s="74" customFormat="1" ht="15" customHeight="1" hidden="1">
      <c r="A32" s="999" t="s">
        <v>252</v>
      </c>
      <c r="B32" s="996"/>
      <c r="C32" s="991">
        <f t="shared" si="0"/>
        <v>0</v>
      </c>
      <c r="D32" s="991">
        <f t="shared" si="1"/>
        <v>0</v>
      </c>
      <c r="E32" s="992"/>
      <c r="F32" s="992"/>
      <c r="G32" s="992"/>
      <c r="H32" s="992"/>
      <c r="I32" s="992"/>
      <c r="J32" s="992"/>
      <c r="K32" s="992"/>
      <c r="L32" s="992"/>
      <c r="M32" s="992"/>
      <c r="N32" s="992"/>
      <c r="O32" s="992"/>
      <c r="P32" s="992"/>
      <c r="Q32" s="992"/>
      <c r="R32" s="992"/>
      <c r="S32" s="992"/>
      <c r="T32" s="992"/>
      <c r="U32" s="992"/>
      <c r="V32" s="992"/>
      <c r="W32" s="992"/>
      <c r="X32" s="992"/>
      <c r="Y32" s="993"/>
      <c r="Z32" s="997"/>
    </row>
    <row r="33" spans="1:26" s="74" customFormat="1" ht="15" customHeight="1" hidden="1">
      <c r="A33" s="999" t="s">
        <v>252</v>
      </c>
      <c r="B33" s="996"/>
      <c r="C33" s="991">
        <f t="shared" si="0"/>
        <v>0</v>
      </c>
      <c r="D33" s="991">
        <f t="shared" si="1"/>
        <v>0</v>
      </c>
      <c r="E33" s="992"/>
      <c r="F33" s="992"/>
      <c r="G33" s="992"/>
      <c r="H33" s="992"/>
      <c r="I33" s="992"/>
      <c r="J33" s="992"/>
      <c r="K33" s="992"/>
      <c r="L33" s="992"/>
      <c r="M33" s="992"/>
      <c r="N33" s="992"/>
      <c r="O33" s="992"/>
      <c r="P33" s="992"/>
      <c r="Q33" s="992"/>
      <c r="R33" s="992"/>
      <c r="S33" s="992"/>
      <c r="T33" s="992"/>
      <c r="U33" s="992"/>
      <c r="V33" s="992"/>
      <c r="W33" s="992"/>
      <c r="X33" s="992"/>
      <c r="Y33" s="993"/>
      <c r="Z33" s="997"/>
    </row>
    <row r="34" spans="1:26" s="74" customFormat="1" ht="15" customHeight="1" hidden="1">
      <c r="A34" s="999" t="s">
        <v>252</v>
      </c>
      <c r="B34" s="996"/>
      <c r="C34" s="991">
        <f t="shared" si="0"/>
        <v>0</v>
      </c>
      <c r="D34" s="991">
        <f t="shared" si="1"/>
        <v>0</v>
      </c>
      <c r="E34" s="992"/>
      <c r="F34" s="992"/>
      <c r="G34" s="992"/>
      <c r="H34" s="992"/>
      <c r="I34" s="992"/>
      <c r="J34" s="992"/>
      <c r="K34" s="992"/>
      <c r="L34" s="992"/>
      <c r="M34" s="992"/>
      <c r="N34" s="992"/>
      <c r="O34" s="992"/>
      <c r="P34" s="992"/>
      <c r="Q34" s="992"/>
      <c r="R34" s="992"/>
      <c r="S34" s="992"/>
      <c r="T34" s="992"/>
      <c r="U34" s="992"/>
      <c r="V34" s="992"/>
      <c r="W34" s="992"/>
      <c r="X34" s="992"/>
      <c r="Y34" s="993"/>
      <c r="Z34" s="997"/>
    </row>
    <row r="35" spans="1:26" s="74" customFormat="1" ht="15" customHeight="1" hidden="1">
      <c r="A35" s="999" t="s">
        <v>252</v>
      </c>
      <c r="B35" s="996"/>
      <c r="C35" s="991">
        <f t="shared" si="0"/>
        <v>0</v>
      </c>
      <c r="D35" s="991">
        <f t="shared" si="1"/>
        <v>0</v>
      </c>
      <c r="E35" s="992"/>
      <c r="F35" s="992"/>
      <c r="G35" s="992"/>
      <c r="H35" s="992"/>
      <c r="I35" s="992"/>
      <c r="J35" s="992"/>
      <c r="K35" s="992"/>
      <c r="L35" s="992"/>
      <c r="M35" s="992"/>
      <c r="N35" s="992"/>
      <c r="O35" s="992"/>
      <c r="P35" s="992"/>
      <c r="Q35" s="992"/>
      <c r="R35" s="992"/>
      <c r="S35" s="992"/>
      <c r="T35" s="992"/>
      <c r="U35" s="992"/>
      <c r="V35" s="992"/>
      <c r="W35" s="992"/>
      <c r="X35" s="992"/>
      <c r="Y35" s="993"/>
      <c r="Z35" s="997"/>
    </row>
    <row r="36" spans="1:26" s="74" customFormat="1" ht="15" customHeight="1" hidden="1">
      <c r="A36" s="999" t="s">
        <v>252</v>
      </c>
      <c r="B36" s="996"/>
      <c r="C36" s="991">
        <f t="shared" si="0"/>
        <v>0</v>
      </c>
      <c r="D36" s="991">
        <f t="shared" si="1"/>
        <v>0</v>
      </c>
      <c r="E36" s="992"/>
      <c r="F36" s="992"/>
      <c r="G36" s="992"/>
      <c r="H36" s="992"/>
      <c r="I36" s="992"/>
      <c r="J36" s="992"/>
      <c r="K36" s="992"/>
      <c r="L36" s="992"/>
      <c r="M36" s="992"/>
      <c r="N36" s="992"/>
      <c r="O36" s="992"/>
      <c r="P36" s="992"/>
      <c r="Q36" s="992"/>
      <c r="R36" s="992"/>
      <c r="S36" s="992"/>
      <c r="T36" s="992"/>
      <c r="U36" s="992"/>
      <c r="V36" s="992"/>
      <c r="W36" s="992"/>
      <c r="X36" s="992"/>
      <c r="Y36" s="993"/>
      <c r="Z36" s="997"/>
    </row>
    <row r="37" spans="1:26" s="74" customFormat="1" ht="15" customHeight="1" hidden="1">
      <c r="A37" s="999" t="s">
        <v>252</v>
      </c>
      <c r="B37" s="996"/>
      <c r="C37" s="991">
        <f t="shared" si="0"/>
        <v>0</v>
      </c>
      <c r="D37" s="991">
        <f t="shared" si="1"/>
        <v>0</v>
      </c>
      <c r="E37" s="992"/>
      <c r="F37" s="992"/>
      <c r="G37" s="992"/>
      <c r="H37" s="992"/>
      <c r="I37" s="992"/>
      <c r="J37" s="992"/>
      <c r="K37" s="992"/>
      <c r="L37" s="992"/>
      <c r="M37" s="992"/>
      <c r="N37" s="992"/>
      <c r="O37" s="992"/>
      <c r="P37" s="992"/>
      <c r="Q37" s="992"/>
      <c r="R37" s="992"/>
      <c r="S37" s="992"/>
      <c r="T37" s="992"/>
      <c r="U37" s="992"/>
      <c r="V37" s="992"/>
      <c r="W37" s="992"/>
      <c r="X37" s="992"/>
      <c r="Y37" s="993"/>
      <c r="Z37" s="997"/>
    </row>
    <row r="38" spans="1:26" s="74" customFormat="1" ht="15" customHeight="1" hidden="1">
      <c r="A38" s="999" t="s">
        <v>252</v>
      </c>
      <c r="B38" s="996"/>
      <c r="C38" s="991">
        <f t="shared" si="0"/>
        <v>0</v>
      </c>
      <c r="D38" s="991">
        <f t="shared" si="1"/>
        <v>0</v>
      </c>
      <c r="E38" s="992"/>
      <c r="F38" s="992"/>
      <c r="G38" s="992"/>
      <c r="H38" s="992"/>
      <c r="I38" s="992"/>
      <c r="J38" s="992"/>
      <c r="K38" s="992"/>
      <c r="L38" s="992"/>
      <c r="M38" s="992"/>
      <c r="N38" s="992"/>
      <c r="O38" s="992"/>
      <c r="P38" s="992"/>
      <c r="Q38" s="992"/>
      <c r="R38" s="992"/>
      <c r="S38" s="992"/>
      <c r="T38" s="992"/>
      <c r="U38" s="992"/>
      <c r="V38" s="992"/>
      <c r="W38" s="992"/>
      <c r="X38" s="992"/>
      <c r="Y38" s="993"/>
      <c r="Z38" s="997"/>
    </row>
    <row r="39" spans="1:26" s="74" customFormat="1" ht="15" customHeight="1" hidden="1">
      <c r="A39" s="999" t="s">
        <v>252</v>
      </c>
      <c r="B39" s="996"/>
      <c r="C39" s="991">
        <f t="shared" si="0"/>
        <v>0</v>
      </c>
      <c r="D39" s="991">
        <f t="shared" si="1"/>
        <v>0</v>
      </c>
      <c r="E39" s="992"/>
      <c r="F39" s="992"/>
      <c r="G39" s="992"/>
      <c r="H39" s="992"/>
      <c r="I39" s="992"/>
      <c r="J39" s="992"/>
      <c r="K39" s="992"/>
      <c r="L39" s="992"/>
      <c r="M39" s="992"/>
      <c r="N39" s="992"/>
      <c r="O39" s="992"/>
      <c r="P39" s="992"/>
      <c r="Q39" s="992"/>
      <c r="R39" s="992"/>
      <c r="S39" s="992"/>
      <c r="T39" s="992"/>
      <c r="U39" s="992"/>
      <c r="V39" s="992"/>
      <c r="W39" s="992"/>
      <c r="X39" s="992"/>
      <c r="Y39" s="993"/>
      <c r="Z39" s="997"/>
    </row>
    <row r="40" spans="1:26" s="74" customFormat="1" ht="15" customHeight="1">
      <c r="A40" s="999" t="s">
        <v>252</v>
      </c>
      <c r="B40" s="996" t="s">
        <v>883</v>
      </c>
      <c r="C40" s="991">
        <f t="shared" si="0"/>
        <v>0</v>
      </c>
      <c r="D40" s="991">
        <f t="shared" si="1"/>
        <v>3384.232</v>
      </c>
      <c r="E40" s="992"/>
      <c r="F40" s="992"/>
      <c r="G40" s="992"/>
      <c r="H40" s="992"/>
      <c r="I40" s="992"/>
      <c r="J40" s="992"/>
      <c r="K40" s="992"/>
      <c r="L40" s="992"/>
      <c r="M40" s="992"/>
      <c r="N40" s="992"/>
      <c r="O40" s="992"/>
      <c r="P40" s="992">
        <v>3384.232</v>
      </c>
      <c r="Q40" s="992"/>
      <c r="R40" s="992"/>
      <c r="S40" s="992"/>
      <c r="T40" s="992"/>
      <c r="U40" s="992"/>
      <c r="V40" s="992"/>
      <c r="W40" s="992"/>
      <c r="X40" s="992"/>
      <c r="Y40" s="993"/>
      <c r="Z40" s="997"/>
    </row>
    <row r="41" spans="1:26" s="74" customFormat="1" ht="15" customHeight="1">
      <c r="A41" s="999" t="s">
        <v>252</v>
      </c>
      <c r="B41" s="996" t="s">
        <v>882</v>
      </c>
      <c r="C41" s="991">
        <f t="shared" si="0"/>
        <v>0</v>
      </c>
      <c r="D41" s="991">
        <f t="shared" si="1"/>
        <v>298336.4</v>
      </c>
      <c r="E41" s="992"/>
      <c r="F41" s="992"/>
      <c r="G41" s="992"/>
      <c r="H41" s="992"/>
      <c r="I41" s="992"/>
      <c r="J41" s="992"/>
      <c r="K41" s="992"/>
      <c r="L41" s="992"/>
      <c r="M41" s="992"/>
      <c r="N41" s="992"/>
      <c r="O41" s="992"/>
      <c r="P41" s="992">
        <v>298336.4</v>
      </c>
      <c r="Q41" s="992"/>
      <c r="R41" s="992"/>
      <c r="S41" s="992"/>
      <c r="T41" s="992"/>
      <c r="U41" s="992"/>
      <c r="V41" s="992"/>
      <c r="W41" s="992"/>
      <c r="X41" s="992"/>
      <c r="Y41" s="993"/>
      <c r="Z41" s="997"/>
    </row>
    <row r="42" spans="1:26" s="74" customFormat="1" ht="15" customHeight="1">
      <c r="A42" s="999" t="s">
        <v>252</v>
      </c>
      <c r="B42" s="996" t="s">
        <v>894</v>
      </c>
      <c r="C42" s="991">
        <f t="shared" si="0"/>
        <v>0</v>
      </c>
      <c r="D42" s="991">
        <f t="shared" si="1"/>
        <v>168772.755</v>
      </c>
      <c r="E42" s="992"/>
      <c r="F42" s="992"/>
      <c r="G42" s="992"/>
      <c r="H42" s="992"/>
      <c r="I42" s="992"/>
      <c r="J42" s="992"/>
      <c r="K42" s="992"/>
      <c r="L42" s="992"/>
      <c r="M42" s="992"/>
      <c r="N42" s="992"/>
      <c r="O42" s="992"/>
      <c r="P42" s="992">
        <v>168772.755</v>
      </c>
      <c r="Q42" s="992"/>
      <c r="R42" s="992"/>
      <c r="S42" s="992"/>
      <c r="T42" s="992"/>
      <c r="U42" s="992"/>
      <c r="V42" s="992"/>
      <c r="W42" s="992"/>
      <c r="X42" s="992"/>
      <c r="Y42" s="993"/>
      <c r="Z42" s="997"/>
    </row>
    <row r="43" spans="1:26" s="74" customFormat="1" ht="15" customHeight="1">
      <c r="A43" s="999" t="s">
        <v>252</v>
      </c>
      <c r="B43" s="994" t="s">
        <v>921</v>
      </c>
      <c r="C43" s="991"/>
      <c r="D43" s="991">
        <f t="shared" si="1"/>
        <v>19992.377</v>
      </c>
      <c r="E43" s="992"/>
      <c r="F43" s="992"/>
      <c r="G43" s="992"/>
      <c r="H43" s="992"/>
      <c r="I43" s="992"/>
      <c r="J43" s="992"/>
      <c r="K43" s="992"/>
      <c r="L43" s="992"/>
      <c r="M43" s="992"/>
      <c r="N43" s="992"/>
      <c r="O43" s="992"/>
      <c r="P43" s="992">
        <v>19992.377</v>
      </c>
      <c r="Q43" s="992"/>
      <c r="R43" s="992"/>
      <c r="S43" s="992"/>
      <c r="T43" s="992"/>
      <c r="U43" s="992"/>
      <c r="V43" s="992"/>
      <c r="W43" s="992"/>
      <c r="X43" s="992"/>
      <c r="Y43" s="993"/>
      <c r="Z43" s="997"/>
    </row>
    <row r="44" spans="1:26" s="74" customFormat="1" ht="15" customHeight="1">
      <c r="A44" s="995" t="s">
        <v>252</v>
      </c>
      <c r="B44" s="789" t="s">
        <v>271</v>
      </c>
      <c r="C44" s="991">
        <f t="shared" si="0"/>
        <v>2505.315</v>
      </c>
      <c r="D44" s="991">
        <f t="shared" si="1"/>
        <v>2905.315</v>
      </c>
      <c r="E44" s="992">
        <v>534.033</v>
      </c>
      <c r="F44" s="992">
        <v>534.033</v>
      </c>
      <c r="G44" s="992"/>
      <c r="H44" s="992"/>
      <c r="I44" s="992">
        <v>1971.282</v>
      </c>
      <c r="J44" s="992">
        <f>1971.282+400</f>
        <v>2371.282</v>
      </c>
      <c r="K44" s="992"/>
      <c r="L44" s="992"/>
      <c r="M44" s="992"/>
      <c r="N44" s="992"/>
      <c r="O44" s="992"/>
      <c r="P44" s="992"/>
      <c r="Q44" s="992"/>
      <c r="R44" s="992"/>
      <c r="S44" s="992"/>
      <c r="T44" s="992"/>
      <c r="U44" s="992"/>
      <c r="V44" s="992"/>
      <c r="W44" s="992"/>
      <c r="X44" s="992"/>
      <c r="Y44" s="993"/>
      <c r="Z44" s="1000"/>
    </row>
    <row r="45" spans="1:26" s="74" customFormat="1" ht="15" customHeight="1">
      <c r="A45" s="995" t="s">
        <v>252</v>
      </c>
      <c r="B45" s="996" t="s">
        <v>884</v>
      </c>
      <c r="C45" s="991">
        <f t="shared" si="0"/>
        <v>0</v>
      </c>
      <c r="D45" s="991">
        <f t="shared" si="1"/>
        <v>635</v>
      </c>
      <c r="E45" s="992">
        <v>0</v>
      </c>
      <c r="F45" s="992"/>
      <c r="G45" s="992"/>
      <c r="H45" s="992"/>
      <c r="I45" s="992"/>
      <c r="J45" s="992">
        <v>635</v>
      </c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992"/>
      <c r="X45" s="992"/>
      <c r="Y45" s="993"/>
      <c r="Z45" s="997"/>
    </row>
    <row r="46" spans="1:26" s="74" customFormat="1" ht="15" customHeight="1">
      <c r="A46" s="995" t="s">
        <v>252</v>
      </c>
      <c r="B46" s="996" t="s">
        <v>757</v>
      </c>
      <c r="C46" s="991">
        <f t="shared" si="0"/>
        <v>38050</v>
      </c>
      <c r="D46" s="991">
        <f t="shared" si="1"/>
        <v>33250</v>
      </c>
      <c r="E46" s="992"/>
      <c r="F46" s="992"/>
      <c r="G46" s="992">
        <v>38050</v>
      </c>
      <c r="H46" s="992">
        <v>33250</v>
      </c>
      <c r="I46" s="992"/>
      <c r="J46" s="992"/>
      <c r="K46" s="992"/>
      <c r="L46" s="992"/>
      <c r="M46" s="992"/>
      <c r="N46" s="992"/>
      <c r="O46" s="992"/>
      <c r="P46" s="992"/>
      <c r="Q46" s="992"/>
      <c r="R46" s="992"/>
      <c r="S46" s="992"/>
      <c r="T46" s="992"/>
      <c r="U46" s="992"/>
      <c r="V46" s="992"/>
      <c r="W46" s="992"/>
      <c r="X46" s="992"/>
      <c r="Y46" s="993"/>
      <c r="Z46" s="997"/>
    </row>
    <row r="47" spans="1:26" s="74" customFormat="1" ht="11.25" hidden="1">
      <c r="A47" s="995" t="s">
        <v>252</v>
      </c>
      <c r="B47" s="996"/>
      <c r="C47" s="991">
        <f t="shared" si="0"/>
        <v>0</v>
      </c>
      <c r="D47" s="991">
        <f t="shared" si="1"/>
        <v>0</v>
      </c>
      <c r="E47" s="992"/>
      <c r="F47" s="992"/>
      <c r="G47" s="992"/>
      <c r="H47" s="992"/>
      <c r="I47" s="992"/>
      <c r="J47" s="992"/>
      <c r="K47" s="992"/>
      <c r="L47" s="992"/>
      <c r="M47" s="992"/>
      <c r="N47" s="992"/>
      <c r="O47" s="992"/>
      <c r="P47" s="992"/>
      <c r="Q47" s="992"/>
      <c r="R47" s="992"/>
      <c r="S47" s="992"/>
      <c r="T47" s="992"/>
      <c r="U47" s="992"/>
      <c r="V47" s="992"/>
      <c r="W47" s="992"/>
      <c r="X47" s="992"/>
      <c r="Y47" s="993"/>
      <c r="Z47" s="997"/>
    </row>
    <row r="48" spans="1:26" s="74" customFormat="1" ht="11.25" hidden="1">
      <c r="A48" s="995" t="s">
        <v>252</v>
      </c>
      <c r="B48" s="1001"/>
      <c r="C48" s="991">
        <f t="shared" si="0"/>
        <v>0</v>
      </c>
      <c r="D48" s="991">
        <f t="shared" si="1"/>
        <v>0</v>
      </c>
      <c r="E48" s="992"/>
      <c r="F48" s="992"/>
      <c r="G48" s="992"/>
      <c r="H48" s="992"/>
      <c r="I48" s="992"/>
      <c r="J48" s="992"/>
      <c r="K48" s="992"/>
      <c r="L48" s="992"/>
      <c r="M48" s="992"/>
      <c r="N48" s="992"/>
      <c r="O48" s="992"/>
      <c r="P48" s="992"/>
      <c r="Q48" s="992"/>
      <c r="R48" s="992"/>
      <c r="S48" s="992"/>
      <c r="T48" s="992"/>
      <c r="U48" s="992"/>
      <c r="V48" s="992"/>
      <c r="W48" s="992"/>
      <c r="X48" s="992"/>
      <c r="Y48" s="993"/>
      <c r="Z48" s="997"/>
    </row>
    <row r="49" spans="1:26" s="74" customFormat="1" ht="15" customHeight="1" hidden="1">
      <c r="A49" s="995" t="s">
        <v>252</v>
      </c>
      <c r="B49" s="1001"/>
      <c r="C49" s="991">
        <f t="shared" si="0"/>
        <v>0</v>
      </c>
      <c r="D49" s="991">
        <f t="shared" si="1"/>
        <v>0</v>
      </c>
      <c r="E49" s="992"/>
      <c r="F49" s="992"/>
      <c r="G49" s="992"/>
      <c r="H49" s="992"/>
      <c r="I49" s="992"/>
      <c r="J49" s="992"/>
      <c r="K49" s="992"/>
      <c r="L49" s="992"/>
      <c r="M49" s="992"/>
      <c r="N49" s="992"/>
      <c r="O49" s="992"/>
      <c r="P49" s="992"/>
      <c r="Q49" s="992"/>
      <c r="R49" s="992"/>
      <c r="S49" s="992"/>
      <c r="T49" s="992"/>
      <c r="U49" s="992"/>
      <c r="V49" s="992"/>
      <c r="W49" s="992"/>
      <c r="X49" s="992"/>
      <c r="Y49" s="993"/>
      <c r="Z49" s="997"/>
    </row>
    <row r="50" spans="1:26" s="74" customFormat="1" ht="15" customHeight="1" hidden="1">
      <c r="A50" s="995" t="s">
        <v>252</v>
      </c>
      <c r="B50" s="996"/>
      <c r="C50" s="991">
        <f t="shared" si="0"/>
        <v>0</v>
      </c>
      <c r="D50" s="991">
        <f t="shared" si="1"/>
        <v>0</v>
      </c>
      <c r="E50" s="992"/>
      <c r="F50" s="992"/>
      <c r="G50" s="992"/>
      <c r="H50" s="992"/>
      <c r="I50" s="992"/>
      <c r="J50" s="992"/>
      <c r="K50" s="992"/>
      <c r="L50" s="992"/>
      <c r="M50" s="992"/>
      <c r="N50" s="992"/>
      <c r="O50" s="992"/>
      <c r="P50" s="992"/>
      <c r="Q50" s="992"/>
      <c r="R50" s="992"/>
      <c r="S50" s="992"/>
      <c r="T50" s="992"/>
      <c r="U50" s="992"/>
      <c r="V50" s="992"/>
      <c r="W50" s="992"/>
      <c r="X50" s="992"/>
      <c r="Y50" s="993"/>
      <c r="Z50" s="997"/>
    </row>
    <row r="51" spans="1:26" s="74" customFormat="1" ht="15" customHeight="1">
      <c r="A51" s="995" t="s">
        <v>252</v>
      </c>
      <c r="B51" s="996" t="s">
        <v>115</v>
      </c>
      <c r="C51" s="991">
        <f t="shared" si="0"/>
        <v>7848.199</v>
      </c>
      <c r="D51" s="991">
        <f t="shared" si="1"/>
        <v>7848.199</v>
      </c>
      <c r="E51" s="992"/>
      <c r="F51" s="992"/>
      <c r="G51" s="992"/>
      <c r="H51" s="992"/>
      <c r="I51" s="992">
        <v>7848.199</v>
      </c>
      <c r="J51" s="992">
        <v>7848.199</v>
      </c>
      <c r="K51" s="992">
        <v>0</v>
      </c>
      <c r="L51" s="992"/>
      <c r="M51" s="992"/>
      <c r="N51" s="992"/>
      <c r="O51" s="992"/>
      <c r="P51" s="992"/>
      <c r="Q51" s="992"/>
      <c r="R51" s="992"/>
      <c r="S51" s="992"/>
      <c r="T51" s="992"/>
      <c r="U51" s="992"/>
      <c r="V51" s="992"/>
      <c r="W51" s="992"/>
      <c r="X51" s="992"/>
      <c r="Y51" s="993"/>
      <c r="Z51" s="997"/>
    </row>
    <row r="52" spans="1:26" s="74" customFormat="1" ht="15" customHeight="1">
      <c r="A52" s="995" t="s">
        <v>560</v>
      </c>
      <c r="B52" s="996" t="s">
        <v>913</v>
      </c>
      <c r="C52" s="991">
        <f t="shared" si="0"/>
        <v>0</v>
      </c>
      <c r="D52" s="991">
        <f aca="true" t="shared" si="2" ref="D52:D55">F52+H52+J52+L52+N52+P52+R52+T52+V52+Z52+X52</f>
        <v>250004.90000000002</v>
      </c>
      <c r="E52" s="992"/>
      <c r="F52" s="992"/>
      <c r="G52" s="992"/>
      <c r="H52" s="992"/>
      <c r="I52" s="992"/>
      <c r="J52" s="992"/>
      <c r="K52" s="992"/>
      <c r="L52" s="992"/>
      <c r="M52" s="992"/>
      <c r="N52" s="992"/>
      <c r="O52" s="992"/>
      <c r="P52" s="992"/>
      <c r="Q52" s="992"/>
      <c r="R52" s="992"/>
      <c r="S52" s="992"/>
      <c r="T52" s="992"/>
      <c r="U52" s="992"/>
      <c r="V52" s="992"/>
      <c r="W52" s="992"/>
      <c r="X52" s="992"/>
      <c r="Y52" s="993"/>
      <c r="Z52" s="997">
        <f>130002.6+120002.3</f>
        <v>250004.90000000002</v>
      </c>
    </row>
    <row r="53" spans="1:26" s="74" customFormat="1" ht="15" customHeight="1" hidden="1">
      <c r="A53" s="995" t="s">
        <v>252</v>
      </c>
      <c r="B53" s="996"/>
      <c r="C53" s="1002">
        <f t="shared" si="0"/>
        <v>0</v>
      </c>
      <c r="D53" s="991">
        <f t="shared" si="2"/>
        <v>0</v>
      </c>
      <c r="E53" s="992"/>
      <c r="F53" s="992"/>
      <c r="G53" s="992"/>
      <c r="H53" s="992"/>
      <c r="I53" s="992"/>
      <c r="J53" s="992"/>
      <c r="K53" s="992"/>
      <c r="L53" s="992"/>
      <c r="M53" s="992"/>
      <c r="N53" s="992"/>
      <c r="O53" s="992"/>
      <c r="P53" s="992"/>
      <c r="Q53" s="992"/>
      <c r="R53" s="992"/>
      <c r="S53" s="992"/>
      <c r="T53" s="992"/>
      <c r="U53" s="992"/>
      <c r="V53" s="992"/>
      <c r="W53" s="992"/>
      <c r="X53" s="992"/>
      <c r="Y53" s="993"/>
      <c r="Z53" s="997"/>
    </row>
    <row r="54" spans="1:26" s="74" customFormat="1" ht="15" customHeight="1" hidden="1">
      <c r="A54" s="995" t="s">
        <v>252</v>
      </c>
      <c r="B54" s="1003"/>
      <c r="C54" s="991">
        <f t="shared" si="0"/>
        <v>0</v>
      </c>
      <c r="D54" s="991">
        <f t="shared" si="2"/>
        <v>0</v>
      </c>
      <c r="E54" s="992"/>
      <c r="F54" s="992"/>
      <c r="G54" s="992"/>
      <c r="H54" s="992"/>
      <c r="I54" s="992"/>
      <c r="J54" s="992"/>
      <c r="K54" s="992"/>
      <c r="L54" s="992"/>
      <c r="M54" s="992"/>
      <c r="N54" s="992"/>
      <c r="O54" s="992"/>
      <c r="P54" s="992"/>
      <c r="Q54" s="992"/>
      <c r="R54" s="992"/>
      <c r="S54" s="992"/>
      <c r="T54" s="992"/>
      <c r="U54" s="992"/>
      <c r="V54" s="992"/>
      <c r="W54" s="992"/>
      <c r="X54" s="992"/>
      <c r="Y54" s="993"/>
      <c r="Z54" s="997"/>
    </row>
    <row r="55" spans="1:26" s="74" customFormat="1" ht="15" customHeight="1" hidden="1">
      <c r="A55" s="995" t="s">
        <v>252</v>
      </c>
      <c r="B55" s="996"/>
      <c r="C55" s="991">
        <f t="shared" si="0"/>
        <v>0</v>
      </c>
      <c r="D55" s="991">
        <f t="shared" si="2"/>
        <v>0</v>
      </c>
      <c r="E55" s="992"/>
      <c r="F55" s="992"/>
      <c r="G55" s="992"/>
      <c r="H55" s="992"/>
      <c r="I55" s="992"/>
      <c r="J55" s="992"/>
      <c r="K55" s="992"/>
      <c r="L55" s="992"/>
      <c r="M55" s="992"/>
      <c r="N55" s="992"/>
      <c r="O55" s="992"/>
      <c r="P55" s="992"/>
      <c r="Q55" s="992"/>
      <c r="R55" s="992"/>
      <c r="S55" s="992"/>
      <c r="T55" s="992"/>
      <c r="U55" s="992"/>
      <c r="V55" s="992"/>
      <c r="W55" s="992"/>
      <c r="X55" s="992"/>
      <c r="Y55" s="993"/>
      <c r="Z55" s="997"/>
    </row>
    <row r="56" spans="1:26" s="74" customFormat="1" ht="15" customHeight="1" thickBot="1">
      <c r="A56" s="1004"/>
      <c r="B56" s="1005"/>
      <c r="C56" s="1006"/>
      <c r="D56" s="1006"/>
      <c r="E56" s="1007"/>
      <c r="F56" s="1007"/>
      <c r="G56" s="1007"/>
      <c r="H56" s="1007"/>
      <c r="I56" s="1007"/>
      <c r="J56" s="1007"/>
      <c r="K56" s="1007"/>
      <c r="L56" s="1007"/>
      <c r="M56" s="1007"/>
      <c r="N56" s="1007"/>
      <c r="O56" s="1007"/>
      <c r="P56" s="1007"/>
      <c r="Q56" s="1007"/>
      <c r="R56" s="1007"/>
      <c r="S56" s="1007"/>
      <c r="T56" s="1007"/>
      <c r="U56" s="1007"/>
      <c r="V56" s="1007"/>
      <c r="W56" s="1007"/>
      <c r="X56" s="1007"/>
      <c r="Y56" s="1008"/>
      <c r="Z56" s="1009"/>
    </row>
    <row r="57" spans="1:26" s="74" customFormat="1" ht="15" customHeight="1" thickBot="1">
      <c r="A57" s="1068" t="s">
        <v>58</v>
      </c>
      <c r="B57" s="1069"/>
      <c r="C57" s="386">
        <f>SUM(C11:C55)</f>
        <v>418740.63300000003</v>
      </c>
      <c r="D57" s="386">
        <f>SUM(D11:D55)</f>
        <v>1182257.787</v>
      </c>
      <c r="E57" s="386">
        <f aca="true" t="shared" si="3" ref="E57:Z57">SUM(E11:E55)</f>
        <v>158813.63</v>
      </c>
      <c r="F57" s="386">
        <f>SUM(F11:F51)</f>
        <v>116654.481</v>
      </c>
      <c r="G57" s="386">
        <f t="shared" si="3"/>
        <v>38050</v>
      </c>
      <c r="H57" s="386">
        <f t="shared" si="3"/>
        <v>33250</v>
      </c>
      <c r="I57" s="386">
        <f t="shared" si="3"/>
        <v>14877.003</v>
      </c>
      <c r="J57" s="386">
        <f t="shared" si="3"/>
        <v>16612.003</v>
      </c>
      <c r="K57" s="386">
        <f t="shared" si="3"/>
        <v>0</v>
      </c>
      <c r="L57" s="386">
        <f t="shared" si="3"/>
        <v>73.32</v>
      </c>
      <c r="M57" s="386">
        <f t="shared" si="3"/>
        <v>0</v>
      </c>
      <c r="N57" s="386">
        <f t="shared" si="3"/>
        <v>0</v>
      </c>
      <c r="O57" s="386">
        <f t="shared" si="3"/>
        <v>0</v>
      </c>
      <c r="P57" s="386">
        <f t="shared" si="3"/>
        <v>490485.764</v>
      </c>
      <c r="Q57" s="386">
        <f t="shared" si="3"/>
        <v>0</v>
      </c>
      <c r="R57" s="386">
        <f t="shared" si="3"/>
        <v>0</v>
      </c>
      <c r="S57" s="386">
        <f t="shared" si="3"/>
        <v>0</v>
      </c>
      <c r="T57" s="386">
        <f t="shared" si="3"/>
        <v>0</v>
      </c>
      <c r="U57" s="386">
        <f t="shared" si="3"/>
        <v>207000</v>
      </c>
      <c r="V57" s="386">
        <f t="shared" si="3"/>
        <v>275177.319</v>
      </c>
      <c r="W57" s="386">
        <f aca="true" t="shared" si="4" ref="W57:X57">SUM(W11:W55)</f>
        <v>0</v>
      </c>
      <c r="X57" s="386">
        <f t="shared" si="4"/>
        <v>0</v>
      </c>
      <c r="Y57" s="386">
        <f t="shared" si="3"/>
        <v>0</v>
      </c>
      <c r="Z57" s="387">
        <f t="shared" si="3"/>
        <v>250004.90000000002</v>
      </c>
    </row>
    <row r="58" spans="1:26" s="74" customFormat="1" ht="13.5" customHeight="1">
      <c r="A58" s="437"/>
      <c r="B58" s="790"/>
      <c r="C58" s="164"/>
      <c r="D58" s="164"/>
      <c r="E58" s="655"/>
      <c r="F58" s="655"/>
      <c r="G58" s="655"/>
      <c r="H58" s="655"/>
      <c r="I58" s="655"/>
      <c r="J58" s="655"/>
      <c r="K58" s="655"/>
      <c r="L58" s="655"/>
      <c r="M58" s="655"/>
      <c r="N58" s="655"/>
      <c r="O58" s="655"/>
      <c r="P58" s="655"/>
      <c r="Q58" s="655"/>
      <c r="R58" s="655"/>
      <c r="S58" s="655"/>
      <c r="T58" s="655"/>
      <c r="U58" s="655"/>
      <c r="V58" s="655"/>
      <c r="W58" s="655"/>
      <c r="X58" s="655"/>
      <c r="Y58" s="423"/>
      <c r="Z58" s="404"/>
    </row>
    <row r="59" spans="1:26" s="74" customFormat="1" ht="15" customHeight="1">
      <c r="A59" s="1070" t="s">
        <v>8</v>
      </c>
      <c r="B59" s="1071"/>
      <c r="C59" s="169">
        <f>C57-C61-C63</f>
        <v>418240.63300000003</v>
      </c>
      <c r="D59" s="169">
        <f aca="true" t="shared" si="5" ref="D59:Z59">D57-D61-D63</f>
        <v>931752.887</v>
      </c>
      <c r="E59" s="169">
        <f t="shared" si="5"/>
        <v>158813.63</v>
      </c>
      <c r="F59" s="169">
        <f t="shared" si="5"/>
        <v>116654.481</v>
      </c>
      <c r="G59" s="169">
        <f t="shared" si="5"/>
        <v>38050</v>
      </c>
      <c r="H59" s="169">
        <f t="shared" si="5"/>
        <v>33250</v>
      </c>
      <c r="I59" s="169">
        <f t="shared" si="5"/>
        <v>14377.003</v>
      </c>
      <c r="J59" s="169">
        <f t="shared" si="5"/>
        <v>16112.003</v>
      </c>
      <c r="K59" s="169">
        <f t="shared" si="5"/>
        <v>0</v>
      </c>
      <c r="L59" s="169">
        <f t="shared" si="5"/>
        <v>73.32</v>
      </c>
      <c r="M59" s="169">
        <f t="shared" si="5"/>
        <v>0</v>
      </c>
      <c r="N59" s="169">
        <f t="shared" si="5"/>
        <v>0</v>
      </c>
      <c r="O59" s="169">
        <f t="shared" si="5"/>
        <v>0</v>
      </c>
      <c r="P59" s="169">
        <f t="shared" si="5"/>
        <v>490485.764</v>
      </c>
      <c r="Q59" s="169">
        <f t="shared" si="5"/>
        <v>0</v>
      </c>
      <c r="R59" s="169">
        <f t="shared" si="5"/>
        <v>0</v>
      </c>
      <c r="S59" s="169">
        <f t="shared" si="5"/>
        <v>0</v>
      </c>
      <c r="T59" s="169">
        <f t="shared" si="5"/>
        <v>0</v>
      </c>
      <c r="U59" s="169">
        <f t="shared" si="5"/>
        <v>207000</v>
      </c>
      <c r="V59" s="169">
        <f t="shared" si="5"/>
        <v>275177.319</v>
      </c>
      <c r="W59" s="169">
        <f t="shared" si="5"/>
        <v>0</v>
      </c>
      <c r="X59" s="169">
        <f t="shared" si="5"/>
        <v>0</v>
      </c>
      <c r="Y59" s="169">
        <f t="shared" si="5"/>
        <v>0</v>
      </c>
      <c r="Z59" s="169">
        <f t="shared" si="5"/>
        <v>0</v>
      </c>
    </row>
    <row r="60" spans="1:26" s="74" customFormat="1" ht="12" customHeight="1">
      <c r="A60" s="95"/>
      <c r="B60" s="791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</row>
    <row r="61" spans="1:26" s="74" customFormat="1" ht="15" customHeight="1">
      <c r="A61" s="1072" t="s">
        <v>559</v>
      </c>
      <c r="B61" s="1073"/>
      <c r="C61" s="392">
        <f>C12+C52</f>
        <v>500</v>
      </c>
      <c r="D61" s="392">
        <f aca="true" t="shared" si="6" ref="D61:Z61">D12+D52</f>
        <v>250504.90000000002</v>
      </c>
      <c r="E61" s="392">
        <f t="shared" si="6"/>
        <v>0</v>
      </c>
      <c r="F61" s="392">
        <f t="shared" si="6"/>
        <v>0</v>
      </c>
      <c r="G61" s="392">
        <f t="shared" si="6"/>
        <v>0</v>
      </c>
      <c r="H61" s="392">
        <f t="shared" si="6"/>
        <v>0</v>
      </c>
      <c r="I61" s="392">
        <f t="shared" si="6"/>
        <v>500</v>
      </c>
      <c r="J61" s="392">
        <f t="shared" si="6"/>
        <v>500</v>
      </c>
      <c r="K61" s="392">
        <f t="shared" si="6"/>
        <v>0</v>
      </c>
      <c r="L61" s="392">
        <f t="shared" si="6"/>
        <v>0</v>
      </c>
      <c r="M61" s="392">
        <f t="shared" si="6"/>
        <v>0</v>
      </c>
      <c r="N61" s="392">
        <f t="shared" si="6"/>
        <v>0</v>
      </c>
      <c r="O61" s="392">
        <f t="shared" si="6"/>
        <v>0</v>
      </c>
      <c r="P61" s="392">
        <f t="shared" si="6"/>
        <v>0</v>
      </c>
      <c r="Q61" s="392">
        <f t="shared" si="6"/>
        <v>0</v>
      </c>
      <c r="R61" s="392">
        <f t="shared" si="6"/>
        <v>0</v>
      </c>
      <c r="S61" s="392">
        <f t="shared" si="6"/>
        <v>0</v>
      </c>
      <c r="T61" s="392">
        <f t="shared" si="6"/>
        <v>0</v>
      </c>
      <c r="U61" s="392">
        <f t="shared" si="6"/>
        <v>0</v>
      </c>
      <c r="V61" s="392">
        <f t="shared" si="6"/>
        <v>0</v>
      </c>
      <c r="W61" s="392">
        <f t="shared" si="6"/>
        <v>0</v>
      </c>
      <c r="X61" s="392">
        <f t="shared" si="6"/>
        <v>0</v>
      </c>
      <c r="Y61" s="392">
        <f t="shared" si="6"/>
        <v>0</v>
      </c>
      <c r="Z61" s="392">
        <f t="shared" si="6"/>
        <v>250004.90000000002</v>
      </c>
    </row>
    <row r="62" spans="1:26" s="74" customFormat="1" ht="12" customHeight="1">
      <c r="A62" s="651"/>
      <c r="B62" s="661"/>
      <c r="C62" s="653"/>
      <c r="D62" s="653"/>
      <c r="E62" s="653"/>
      <c r="F62" s="653"/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653"/>
      <c r="R62" s="653"/>
      <c r="S62" s="653"/>
      <c r="T62" s="653"/>
      <c r="U62" s="653"/>
      <c r="V62" s="653"/>
      <c r="W62" s="653"/>
      <c r="X62" s="653"/>
      <c r="Y62" s="653"/>
      <c r="Z62" s="654"/>
    </row>
    <row r="63" spans="1:26" s="74" customFormat="1" ht="15" customHeight="1" thickBot="1">
      <c r="A63" s="1064" t="s">
        <v>613</v>
      </c>
      <c r="B63" s="1065"/>
      <c r="C63" s="394">
        <v>0</v>
      </c>
      <c r="D63" s="394">
        <v>0</v>
      </c>
      <c r="E63" s="394">
        <v>0</v>
      </c>
      <c r="F63" s="394">
        <v>0</v>
      </c>
      <c r="G63" s="394">
        <v>0</v>
      </c>
      <c r="H63" s="394">
        <v>0</v>
      </c>
      <c r="I63" s="394">
        <v>0</v>
      </c>
      <c r="J63" s="394">
        <v>0</v>
      </c>
      <c r="K63" s="394">
        <v>0</v>
      </c>
      <c r="L63" s="394">
        <v>0</v>
      </c>
      <c r="M63" s="394">
        <v>0</v>
      </c>
      <c r="N63" s="394">
        <v>0</v>
      </c>
      <c r="O63" s="394">
        <v>0</v>
      </c>
      <c r="P63" s="394">
        <v>0</v>
      </c>
      <c r="Q63" s="394">
        <v>0</v>
      </c>
      <c r="R63" s="394">
        <v>0</v>
      </c>
      <c r="S63" s="394">
        <v>0</v>
      </c>
      <c r="T63" s="394">
        <v>0</v>
      </c>
      <c r="U63" s="394">
        <v>0</v>
      </c>
      <c r="V63" s="394">
        <v>0</v>
      </c>
      <c r="W63" s="394">
        <v>0</v>
      </c>
      <c r="X63" s="394">
        <v>0</v>
      </c>
      <c r="Y63" s="412">
        <v>0</v>
      </c>
      <c r="Z63" s="408">
        <v>0</v>
      </c>
    </row>
    <row r="64" s="74" customFormat="1" ht="11.25">
      <c r="B64" s="792"/>
    </row>
    <row r="65" spans="2:4" s="74" customFormat="1" ht="11.25">
      <c r="B65" s="792"/>
      <c r="C65" s="166"/>
      <c r="D65" s="166"/>
    </row>
    <row r="66" spans="2:5" s="74" customFormat="1" ht="11.25" hidden="1">
      <c r="B66" s="792"/>
      <c r="C66" s="166">
        <f>C59+C61+C63</f>
        <v>418740.63300000003</v>
      </c>
      <c r="D66" s="166">
        <f aca="true" t="shared" si="7" ref="D66">D59+D61+D63</f>
        <v>1182257.787</v>
      </c>
      <c r="E66" s="166"/>
    </row>
    <row r="67" ht="12.75" hidden="1">
      <c r="C67" s="390">
        <f>C57-C66</f>
        <v>0</v>
      </c>
    </row>
    <row r="68" ht="12.75">
      <c r="F68" s="787"/>
    </row>
    <row r="69" spans="6:10" ht="12.75">
      <c r="F69" s="787"/>
      <c r="J69" s="643"/>
    </row>
    <row r="70" spans="4:10" ht="12.75">
      <c r="D70" s="171">
        <f>D57-C57</f>
        <v>763517.154</v>
      </c>
      <c r="F70" s="787"/>
      <c r="J70" s="171"/>
    </row>
    <row r="71" ht="12.75">
      <c r="J71" s="171"/>
    </row>
    <row r="72" ht="12.75">
      <c r="J72" s="171"/>
    </row>
  </sheetData>
  <mergeCells count="22">
    <mergeCell ref="C6:D8"/>
    <mergeCell ref="E7:F8"/>
    <mergeCell ref="A4:Z4"/>
    <mergeCell ref="A6:B9"/>
    <mergeCell ref="A63:B63"/>
    <mergeCell ref="A10:B10"/>
    <mergeCell ref="A57:B57"/>
    <mergeCell ref="A59:B59"/>
    <mergeCell ref="A61:B61"/>
    <mergeCell ref="O6:T6"/>
    <mergeCell ref="U7:V8"/>
    <mergeCell ref="Y7:Z8"/>
    <mergeCell ref="U6:Z6"/>
    <mergeCell ref="E6:N6"/>
    <mergeCell ref="G7:H8"/>
    <mergeCell ref="I7:J8"/>
    <mergeCell ref="W7:X8"/>
    <mergeCell ref="K7:L8"/>
    <mergeCell ref="M7:N8"/>
    <mergeCell ref="O7:P8"/>
    <mergeCell ref="Q7:R8"/>
    <mergeCell ref="S7:T8"/>
  </mergeCells>
  <printOptions/>
  <pageMargins left="0.15748031496062992" right="0.15748031496062992" top="0.9448818897637796" bottom="0.15748031496062992" header="0.15748031496062992" footer="0.1574803149606299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2"/>
  <sheetViews>
    <sheetView workbookViewId="0" topLeftCell="A22">
      <selection activeCell="J11" sqref="J11"/>
    </sheetView>
  </sheetViews>
  <sheetFormatPr defaultColWidth="9.00390625" defaultRowHeight="12.75"/>
  <cols>
    <col min="1" max="1" width="10.375" style="519" customWidth="1"/>
    <col min="2" max="2" width="40.875" style="519" customWidth="1"/>
    <col min="3" max="4" width="10.625" style="519" customWidth="1"/>
    <col min="5" max="5" width="9.375" style="519" bestFit="1" customWidth="1"/>
    <col min="6" max="6" width="9.375" style="519" customWidth="1"/>
    <col min="7" max="8" width="8.625" style="519" customWidth="1"/>
    <col min="9" max="12" width="9.375" style="519" customWidth="1"/>
    <col min="13" max="13" width="8.625" style="519" customWidth="1"/>
    <col min="14" max="14" width="9.875" style="519" customWidth="1"/>
    <col min="15" max="15" width="8.625" style="519" customWidth="1"/>
    <col min="16" max="16" width="9.375" style="519" bestFit="1" customWidth="1"/>
    <col min="17" max="18" width="9.375" style="519" customWidth="1"/>
    <col min="19" max="19" width="10.625" style="519" bestFit="1" customWidth="1"/>
    <col min="20" max="20" width="10.625" style="519" customWidth="1"/>
    <col min="21" max="21" width="7.875" style="519" bestFit="1" customWidth="1"/>
    <col min="22" max="22" width="8.375" style="519" customWidth="1"/>
    <col min="23" max="24" width="9.375" style="519" bestFit="1" customWidth="1"/>
    <col min="25" max="25" width="8.625" style="519" bestFit="1" customWidth="1"/>
    <col min="26" max="26" width="8.625" style="519" customWidth="1"/>
    <col min="27" max="27" width="9.375" style="519" bestFit="1" customWidth="1"/>
    <col min="28" max="28" width="10.625" style="519" customWidth="1"/>
    <col min="29" max="29" width="9.375" style="519" bestFit="1" customWidth="1"/>
    <col min="30" max="30" width="9.375" style="519" customWidth="1"/>
    <col min="31" max="31" width="8.875" style="519" customWidth="1"/>
    <col min="32" max="36" width="7.875" style="519" customWidth="1"/>
    <col min="37" max="37" width="7.375" style="519" customWidth="1"/>
    <col min="38" max="39" width="7.875" style="519" customWidth="1"/>
    <col min="40" max="41" width="8.625" style="519" customWidth="1"/>
    <col min="42" max="16384" width="9.125" style="519" customWidth="1"/>
  </cols>
  <sheetData>
    <row r="1" spans="9:14" ht="12.75">
      <c r="I1" s="521" t="s">
        <v>611</v>
      </c>
      <c r="J1" s="650" t="str">
        <f>'bev-int'!B1</f>
        <v>melléklet a 12/2020.(IX.17.) önkormányzati rendelethez</v>
      </c>
      <c r="K1" s="650" t="str">
        <f>'bev-int'!B1</f>
        <v>melléklet a 12/2020.(IX.17.) önkormányzati rendelethez</v>
      </c>
      <c r="L1" s="650"/>
      <c r="M1" s="650"/>
      <c r="N1" s="650"/>
    </row>
    <row r="3" spans="1:41" ht="12.75">
      <c r="A3" s="1010" t="s">
        <v>787</v>
      </c>
      <c r="B3" s="1080"/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1080"/>
      <c r="T3" s="1080"/>
      <c r="U3" s="1080"/>
      <c r="V3" s="1080"/>
      <c r="W3" s="1080"/>
      <c r="X3" s="1080"/>
      <c r="Y3" s="1080"/>
      <c r="Z3" s="1080"/>
      <c r="AA3" s="1080"/>
      <c r="AB3" s="1080"/>
      <c r="AC3" s="1080"/>
      <c r="AD3" s="1080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</row>
    <row r="4" spans="2:40" ht="12.75"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</row>
    <row r="5" spans="2:40" ht="12.75"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 t="s">
        <v>59</v>
      </c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</row>
    <row r="6" spans="1:30" s="525" customFormat="1" ht="12.75" customHeight="1">
      <c r="A6" s="1081" t="s">
        <v>44</v>
      </c>
      <c r="B6" s="1081"/>
      <c r="C6" s="1081" t="s">
        <v>240</v>
      </c>
      <c r="D6" s="1081"/>
      <c r="E6" s="1084" t="s">
        <v>241</v>
      </c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 t="s">
        <v>116</v>
      </c>
      <c r="R6" s="1084"/>
      <c r="S6" s="1084"/>
      <c r="T6" s="1084"/>
      <c r="U6" s="1084"/>
      <c r="V6" s="1084"/>
      <c r="W6" s="1084"/>
      <c r="X6" s="1084"/>
      <c r="Y6" s="1084" t="s">
        <v>64</v>
      </c>
      <c r="Z6" s="1084"/>
      <c r="AA6" s="1084"/>
      <c r="AB6" s="1084"/>
      <c r="AC6" s="1082" t="s">
        <v>911</v>
      </c>
      <c r="AD6" s="1083"/>
    </row>
    <row r="7" spans="1:30" s="525" customFormat="1" ht="12.75" customHeight="1">
      <c r="A7" s="1081"/>
      <c r="B7" s="1081"/>
      <c r="C7" s="1081"/>
      <c r="D7" s="1081"/>
      <c r="E7" s="1083" t="s">
        <v>50</v>
      </c>
      <c r="F7" s="1083"/>
      <c r="G7" s="1083" t="s">
        <v>242</v>
      </c>
      <c r="H7" s="1083"/>
      <c r="I7" s="1083" t="s">
        <v>243</v>
      </c>
      <c r="J7" s="1083"/>
      <c r="K7" s="1083" t="s">
        <v>244</v>
      </c>
      <c r="L7" s="1083"/>
      <c r="M7" s="1083" t="s">
        <v>245</v>
      </c>
      <c r="N7" s="1083"/>
      <c r="O7" s="1083" t="s">
        <v>246</v>
      </c>
      <c r="P7" s="1083"/>
      <c r="Q7" s="1081" t="s">
        <v>247</v>
      </c>
      <c r="R7" s="1081"/>
      <c r="S7" s="1081" t="s">
        <v>248</v>
      </c>
      <c r="T7" s="1081"/>
      <c r="U7" s="1083" t="s">
        <v>28</v>
      </c>
      <c r="V7" s="1083"/>
      <c r="W7" s="1085" t="s">
        <v>249</v>
      </c>
      <c r="X7" s="1085"/>
      <c r="Y7" s="1086" t="s">
        <v>728</v>
      </c>
      <c r="Z7" s="1085"/>
      <c r="AA7" s="1083" t="s">
        <v>250</v>
      </c>
      <c r="AB7" s="1083"/>
      <c r="AC7" s="1083"/>
      <c r="AD7" s="1083"/>
    </row>
    <row r="8" spans="1:30" s="525" customFormat="1" ht="51" customHeight="1">
      <c r="A8" s="1081"/>
      <c r="B8" s="1081"/>
      <c r="C8" s="1081"/>
      <c r="D8" s="1081"/>
      <c r="E8" s="1083"/>
      <c r="F8" s="1083"/>
      <c r="G8" s="1083"/>
      <c r="H8" s="1083"/>
      <c r="I8" s="1083"/>
      <c r="J8" s="1083"/>
      <c r="K8" s="1083"/>
      <c r="L8" s="1083"/>
      <c r="M8" s="1083"/>
      <c r="N8" s="1083"/>
      <c r="O8" s="1083"/>
      <c r="P8" s="1083"/>
      <c r="Q8" s="1081"/>
      <c r="R8" s="1081"/>
      <c r="S8" s="1081"/>
      <c r="T8" s="1081"/>
      <c r="U8" s="1083"/>
      <c r="V8" s="1083"/>
      <c r="W8" s="1085"/>
      <c r="X8" s="1085"/>
      <c r="Y8" s="1085"/>
      <c r="Z8" s="1085"/>
      <c r="AA8" s="1083"/>
      <c r="AB8" s="1083"/>
      <c r="AC8" s="1083"/>
      <c r="AD8" s="1083"/>
    </row>
    <row r="9" spans="1:30" s="526" customFormat="1" ht="18.75" customHeight="1">
      <c r="A9" s="1081"/>
      <c r="B9" s="1081"/>
      <c r="C9" s="656" t="s">
        <v>616</v>
      </c>
      <c r="D9" s="656" t="s">
        <v>617</v>
      </c>
      <c r="E9" s="656" t="s">
        <v>616</v>
      </c>
      <c r="F9" s="656" t="s">
        <v>617</v>
      </c>
      <c r="G9" s="656" t="s">
        <v>616</v>
      </c>
      <c r="H9" s="656" t="s">
        <v>617</v>
      </c>
      <c r="I9" s="656" t="s">
        <v>616</v>
      </c>
      <c r="J9" s="656" t="s">
        <v>617</v>
      </c>
      <c r="K9" s="656" t="s">
        <v>616</v>
      </c>
      <c r="L9" s="656" t="s">
        <v>617</v>
      </c>
      <c r="M9" s="656" t="s">
        <v>616</v>
      </c>
      <c r="N9" s="656" t="s">
        <v>617</v>
      </c>
      <c r="O9" s="656" t="s">
        <v>616</v>
      </c>
      <c r="P9" s="656" t="s">
        <v>617</v>
      </c>
      <c r="Q9" s="656" t="s">
        <v>616</v>
      </c>
      <c r="R9" s="656" t="s">
        <v>617</v>
      </c>
      <c r="S9" s="656" t="s">
        <v>616</v>
      </c>
      <c r="T9" s="656" t="s">
        <v>617</v>
      </c>
      <c r="U9" s="656" t="s">
        <v>616</v>
      </c>
      <c r="V9" s="656" t="s">
        <v>617</v>
      </c>
      <c r="W9" s="656" t="s">
        <v>616</v>
      </c>
      <c r="X9" s="656" t="s">
        <v>617</v>
      </c>
      <c r="Y9" s="656" t="s">
        <v>616</v>
      </c>
      <c r="Z9" s="656" t="s">
        <v>617</v>
      </c>
      <c r="AA9" s="656" t="s">
        <v>616</v>
      </c>
      <c r="AB9" s="656" t="s">
        <v>617</v>
      </c>
      <c r="AC9" s="656" t="s">
        <v>616</v>
      </c>
      <c r="AD9" s="656" t="s">
        <v>617</v>
      </c>
    </row>
    <row r="10" spans="1:35" s="525" customFormat="1" ht="15" customHeight="1">
      <c r="A10" s="657" t="s">
        <v>252</v>
      </c>
      <c r="B10" s="658" t="s">
        <v>251</v>
      </c>
      <c r="C10" s="531">
        <f>E10+G10+I10+K10+M10+O10+Q10+S10+U10+W10+Y10+AA10+AC10</f>
        <v>46957.915</v>
      </c>
      <c r="D10" s="531">
        <f>F10+H10+J10+L10+N10+P10+R10+T10+V10+X10+Z10+AB10+AD10</f>
        <v>95750.293</v>
      </c>
      <c r="E10" s="529">
        <v>18018.636</v>
      </c>
      <c r="F10" s="529">
        <f>18018.636+167.031+138.188</f>
        <v>18323.854999999996</v>
      </c>
      <c r="G10" s="529">
        <v>3235.611</v>
      </c>
      <c r="H10" s="529">
        <f>3235.611+87.255</f>
        <v>3322.866</v>
      </c>
      <c r="I10" s="529">
        <v>19264.092</v>
      </c>
      <c r="J10" s="529">
        <f>19264.092+300+700+840+1277.1</f>
        <v>22381.192</v>
      </c>
      <c r="K10" s="529">
        <v>3449.1</v>
      </c>
      <c r="L10" s="659">
        <v>3449.1</v>
      </c>
      <c r="M10" s="529"/>
      <c r="N10" s="529"/>
      <c r="O10" s="529">
        <v>2355.476</v>
      </c>
      <c r="P10" s="529">
        <f>2355.476+20286.741-50-1185.737-2568.2</f>
        <v>18838.28</v>
      </c>
      <c r="Q10" s="529"/>
      <c r="R10" s="529"/>
      <c r="S10" s="529">
        <v>635</v>
      </c>
      <c r="T10" s="529">
        <v>635</v>
      </c>
      <c r="U10" s="529"/>
      <c r="V10" s="529"/>
      <c r="W10" s="529">
        <v>0</v>
      </c>
      <c r="X10" s="529">
        <f>30000-1200</f>
        <v>28800</v>
      </c>
      <c r="Y10" s="529"/>
      <c r="Z10" s="529"/>
      <c r="AA10" s="529"/>
      <c r="AB10" s="529"/>
      <c r="AC10" s="529"/>
      <c r="AD10" s="529"/>
      <c r="AE10" s="527"/>
      <c r="AF10" s="528"/>
      <c r="AG10" s="528"/>
      <c r="AH10" s="528"/>
      <c r="AI10" s="528"/>
    </row>
    <row r="11" spans="1:35" s="525" customFormat="1" ht="15" customHeight="1">
      <c r="A11" s="657" t="s">
        <v>252</v>
      </c>
      <c r="B11" s="658" t="s">
        <v>253</v>
      </c>
      <c r="C11" s="531">
        <f aca="true" t="shared" si="0" ref="C11:C42">E11+G11+I11+K11+M11+O11+Q11+S11+U11+W11+Y11+AA11+AC11</f>
        <v>101.6</v>
      </c>
      <c r="D11" s="531">
        <f aca="true" t="shared" si="1" ref="D11:D42">F11+H11+J11+L11+N11+P11+R11+T11+V11+X11+Z11+AB11+AD11</f>
        <v>101.6</v>
      </c>
      <c r="E11" s="529"/>
      <c r="F11" s="529"/>
      <c r="G11" s="529"/>
      <c r="H11" s="529"/>
      <c r="I11" s="529">
        <v>101.6</v>
      </c>
      <c r="J11" s="529">
        <v>101.6</v>
      </c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29"/>
      <c r="AD11" s="529"/>
      <c r="AE11" s="527"/>
      <c r="AF11" s="528"/>
      <c r="AG11" s="528"/>
      <c r="AH11" s="528"/>
      <c r="AI11" s="528"/>
    </row>
    <row r="12" spans="1:35" s="525" customFormat="1" ht="14.25" customHeight="1">
      <c r="A12" s="657" t="s">
        <v>252</v>
      </c>
      <c r="B12" s="658" t="s">
        <v>254</v>
      </c>
      <c r="C12" s="531">
        <f t="shared" si="0"/>
        <v>330.2</v>
      </c>
      <c r="D12" s="531">
        <f t="shared" si="1"/>
        <v>330.2</v>
      </c>
      <c r="E12" s="529"/>
      <c r="F12" s="529"/>
      <c r="G12" s="529"/>
      <c r="H12" s="529"/>
      <c r="I12" s="529">
        <v>330.2</v>
      </c>
      <c r="J12" s="529">
        <v>330.2</v>
      </c>
      <c r="K12" s="529"/>
      <c r="L12" s="529"/>
      <c r="M12" s="529"/>
      <c r="N12" s="529"/>
      <c r="O12" s="529"/>
      <c r="P12" s="529"/>
      <c r="Q12" s="529">
        <v>0</v>
      </c>
      <c r="R12" s="529">
        <v>0</v>
      </c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7"/>
      <c r="AF12" s="528"/>
      <c r="AG12" s="528"/>
      <c r="AH12" s="528"/>
      <c r="AI12" s="528"/>
    </row>
    <row r="13" spans="1:35" s="525" customFormat="1" ht="15" customHeight="1" hidden="1">
      <c r="A13" s="657" t="s">
        <v>560</v>
      </c>
      <c r="B13" s="658"/>
      <c r="C13" s="531">
        <f t="shared" si="0"/>
        <v>0</v>
      </c>
      <c r="D13" s="531">
        <f t="shared" si="1"/>
        <v>0</v>
      </c>
      <c r="E13" s="530"/>
      <c r="F13" s="530"/>
      <c r="G13" s="530"/>
      <c r="H13" s="530"/>
      <c r="I13" s="529"/>
      <c r="J13" s="529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29"/>
      <c r="AB13" s="529"/>
      <c r="AC13" s="529"/>
      <c r="AD13" s="529"/>
      <c r="AE13" s="527"/>
      <c r="AF13" s="528"/>
      <c r="AG13" s="528"/>
      <c r="AH13" s="528"/>
      <c r="AI13" s="528"/>
    </row>
    <row r="14" spans="1:35" s="525" customFormat="1" ht="15" customHeight="1" hidden="1">
      <c r="A14" s="657" t="s">
        <v>252</v>
      </c>
      <c r="B14" s="105"/>
      <c r="C14" s="531">
        <f t="shared" si="0"/>
        <v>0</v>
      </c>
      <c r="D14" s="531">
        <f t="shared" si="1"/>
        <v>0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7"/>
      <c r="AF14" s="528"/>
      <c r="AG14" s="528"/>
      <c r="AH14" s="528"/>
      <c r="AI14" s="528"/>
    </row>
    <row r="15" spans="1:35" s="525" customFormat="1" ht="24" customHeight="1">
      <c r="A15" s="657" t="s">
        <v>252</v>
      </c>
      <c r="B15" s="821" t="s">
        <v>836</v>
      </c>
      <c r="C15" s="531">
        <f t="shared" si="0"/>
        <v>58122.184</v>
      </c>
      <c r="D15" s="531">
        <f t="shared" si="1"/>
        <v>6782.427000000001</v>
      </c>
      <c r="E15" s="530"/>
      <c r="F15" s="530"/>
      <c r="G15" s="530"/>
      <c r="H15" s="530"/>
      <c r="I15" s="530"/>
      <c r="J15" s="530"/>
      <c r="K15" s="530">
        <v>51983</v>
      </c>
      <c r="L15" s="530">
        <v>643.243</v>
      </c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>
        <v>6139.184</v>
      </c>
      <c r="Z15" s="530">
        <v>6139.184</v>
      </c>
      <c r="AA15" s="529"/>
      <c r="AB15" s="529"/>
      <c r="AC15" s="529"/>
      <c r="AD15" s="529"/>
      <c r="AE15" s="527"/>
      <c r="AF15" s="528"/>
      <c r="AG15" s="528"/>
      <c r="AH15" s="528"/>
      <c r="AI15" s="528"/>
    </row>
    <row r="16" spans="1:35" s="525" customFormat="1" ht="15" customHeight="1">
      <c r="A16" s="657" t="s">
        <v>252</v>
      </c>
      <c r="B16" s="658" t="s">
        <v>257</v>
      </c>
      <c r="C16" s="531">
        <f t="shared" si="0"/>
        <v>0</v>
      </c>
      <c r="D16" s="531">
        <f t="shared" si="1"/>
        <v>0</v>
      </c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29"/>
      <c r="AB16" s="529"/>
      <c r="AC16" s="529"/>
      <c r="AD16" s="529"/>
      <c r="AE16" s="527"/>
      <c r="AF16" s="528"/>
      <c r="AG16" s="528"/>
      <c r="AH16" s="528"/>
      <c r="AI16" s="528"/>
    </row>
    <row r="17" spans="1:35" s="525" customFormat="1" ht="15" customHeight="1">
      <c r="A17" s="660" t="s">
        <v>252</v>
      </c>
      <c r="B17" s="648" t="s">
        <v>772</v>
      </c>
      <c r="C17" s="531">
        <f t="shared" si="0"/>
        <v>2502.24</v>
      </c>
      <c r="D17" s="531">
        <f t="shared" si="1"/>
        <v>12998.567</v>
      </c>
      <c r="E17" s="529">
        <v>2300.91</v>
      </c>
      <c r="F17" s="529">
        <f>2300.91+6603.93+2201.31+59.479</f>
        <v>11165.628999999999</v>
      </c>
      <c r="G17" s="529">
        <v>201.33</v>
      </c>
      <c r="H17" s="529">
        <f>201.33+577.854+192.618</f>
        <v>971.8020000000001</v>
      </c>
      <c r="I17" s="529"/>
      <c r="J17" s="529">
        <f>678.06+183.076</f>
        <v>861.136</v>
      </c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7"/>
      <c r="AF17" s="528"/>
      <c r="AG17" s="528"/>
      <c r="AH17" s="528"/>
      <c r="AI17" s="528"/>
    </row>
    <row r="18" spans="1:35" s="525" customFormat="1" ht="15" customHeight="1">
      <c r="A18" s="657" t="s">
        <v>252</v>
      </c>
      <c r="B18" s="658" t="s">
        <v>258</v>
      </c>
      <c r="C18" s="531">
        <f t="shared" si="0"/>
        <v>2780.749</v>
      </c>
      <c r="D18" s="531">
        <f t="shared" si="1"/>
        <v>2780.749</v>
      </c>
      <c r="E18" s="529"/>
      <c r="F18" s="529"/>
      <c r="G18" s="529"/>
      <c r="H18" s="529"/>
      <c r="I18" s="529">
        <v>2780.749</v>
      </c>
      <c r="J18" s="529">
        <v>2780.749</v>
      </c>
      <c r="K18" s="529"/>
      <c r="L18" s="529"/>
      <c r="M18" s="531"/>
      <c r="N18" s="531"/>
      <c r="O18" s="531"/>
      <c r="P18" s="531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7"/>
      <c r="AF18" s="528"/>
      <c r="AG18" s="528"/>
      <c r="AH18" s="528"/>
      <c r="AI18" s="528"/>
    </row>
    <row r="19" spans="1:31" s="525" customFormat="1" ht="15" customHeight="1">
      <c r="A19" s="657" t="s">
        <v>252</v>
      </c>
      <c r="B19" s="658" t="s">
        <v>259</v>
      </c>
      <c r="C19" s="531">
        <f t="shared" si="0"/>
        <v>10042.227</v>
      </c>
      <c r="D19" s="531">
        <f t="shared" si="1"/>
        <v>10042.227</v>
      </c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>
        <v>10042.227</v>
      </c>
      <c r="R19" s="529">
        <v>10042.227</v>
      </c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32"/>
    </row>
    <row r="20" spans="1:35" s="525" customFormat="1" ht="15" customHeight="1">
      <c r="A20" s="657" t="s">
        <v>252</v>
      </c>
      <c r="B20" s="658" t="s">
        <v>260</v>
      </c>
      <c r="C20" s="531">
        <f t="shared" si="0"/>
        <v>3988.88</v>
      </c>
      <c r="D20" s="531">
        <f t="shared" si="1"/>
        <v>3988.88</v>
      </c>
      <c r="E20" s="530">
        <v>600</v>
      </c>
      <c r="F20" s="530">
        <v>600</v>
      </c>
      <c r="G20" s="530">
        <v>94.5</v>
      </c>
      <c r="H20" s="530">
        <v>94.5</v>
      </c>
      <c r="I20" s="530">
        <v>2024.38</v>
      </c>
      <c r="J20" s="530">
        <v>2024.38</v>
      </c>
      <c r="K20" s="530"/>
      <c r="L20" s="530"/>
      <c r="M20" s="530"/>
      <c r="N20" s="530"/>
      <c r="O20" s="530"/>
      <c r="P20" s="530"/>
      <c r="Q20" s="530"/>
      <c r="R20" s="530"/>
      <c r="S20" s="530">
        <v>1270</v>
      </c>
      <c r="T20" s="530">
        <v>1270</v>
      </c>
      <c r="U20" s="530"/>
      <c r="V20" s="530"/>
      <c r="W20" s="530"/>
      <c r="X20" s="530"/>
      <c r="Y20" s="530"/>
      <c r="Z20" s="530"/>
      <c r="AA20" s="529"/>
      <c r="AB20" s="529"/>
      <c r="AC20" s="529"/>
      <c r="AD20" s="529"/>
      <c r="AE20" s="527"/>
      <c r="AF20" s="528"/>
      <c r="AG20" s="528"/>
      <c r="AH20" s="528"/>
      <c r="AI20" s="528"/>
    </row>
    <row r="21" spans="1:35" s="525" customFormat="1" ht="15" customHeight="1" hidden="1">
      <c r="A21" s="657" t="s">
        <v>252</v>
      </c>
      <c r="B21" s="658"/>
      <c r="C21" s="531">
        <f aca="true" t="shared" si="2" ref="C21">E21+G21+I21+K21+M21+O21+Q21+S21+U21+W21+Y21+AA21+AC21</f>
        <v>0</v>
      </c>
      <c r="D21" s="531">
        <f aca="true" t="shared" si="3" ref="D21">F21+H21+J21+L21+N21+P21+R21+T21+V21+X21+Z21+AB21+AD21</f>
        <v>0</v>
      </c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29"/>
      <c r="AB21" s="529"/>
      <c r="AC21" s="529"/>
      <c r="AD21" s="529"/>
      <c r="AE21" s="527"/>
      <c r="AF21" s="528"/>
      <c r="AG21" s="528"/>
      <c r="AH21" s="528"/>
      <c r="AI21" s="528"/>
    </row>
    <row r="22" spans="1:35" s="525" customFormat="1" ht="15" customHeight="1">
      <c r="A22" s="657" t="s">
        <v>252</v>
      </c>
      <c r="B22" s="658" t="s">
        <v>272</v>
      </c>
      <c r="C22" s="531">
        <f t="shared" si="0"/>
        <v>8952.15</v>
      </c>
      <c r="D22" s="531">
        <f t="shared" si="1"/>
        <v>8978.706</v>
      </c>
      <c r="E22" s="530"/>
      <c r="F22" s="530"/>
      <c r="G22" s="530"/>
      <c r="H22" s="530"/>
      <c r="I22" s="530">
        <v>8952.15</v>
      </c>
      <c r="J22" s="530">
        <f>8952.15+26.556</f>
        <v>8978.706</v>
      </c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29"/>
      <c r="AB22" s="529"/>
      <c r="AC22" s="529"/>
      <c r="AD22" s="529"/>
      <c r="AE22" s="527"/>
      <c r="AF22" s="528"/>
      <c r="AG22" s="528"/>
      <c r="AH22" s="528"/>
      <c r="AI22" s="528"/>
    </row>
    <row r="23" spans="1:35" s="525" customFormat="1" ht="15" customHeight="1">
      <c r="A23" s="657" t="s">
        <v>252</v>
      </c>
      <c r="B23" s="658" t="s">
        <v>273</v>
      </c>
      <c r="C23" s="531">
        <f t="shared" si="0"/>
        <v>189.23</v>
      </c>
      <c r="D23" s="531">
        <f t="shared" si="1"/>
        <v>189.23</v>
      </c>
      <c r="E23" s="530"/>
      <c r="F23" s="530"/>
      <c r="G23" s="530"/>
      <c r="H23" s="530"/>
      <c r="I23" s="530">
        <v>189.23</v>
      </c>
      <c r="J23" s="530">
        <v>189.23</v>
      </c>
      <c r="K23" s="796"/>
      <c r="L23" s="796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29"/>
      <c r="AB23" s="529"/>
      <c r="AC23" s="529"/>
      <c r="AD23" s="529"/>
      <c r="AE23" s="527"/>
      <c r="AF23" s="528"/>
      <c r="AG23" s="528"/>
      <c r="AH23" s="528"/>
      <c r="AI23" s="528"/>
    </row>
    <row r="24" spans="1:35" s="525" customFormat="1" ht="15" customHeight="1">
      <c r="A24" s="657" t="s">
        <v>252</v>
      </c>
      <c r="B24" s="105" t="s">
        <v>271</v>
      </c>
      <c r="C24" s="531">
        <f t="shared" si="0"/>
        <v>0</v>
      </c>
      <c r="D24" s="531">
        <f t="shared" si="1"/>
        <v>400</v>
      </c>
      <c r="E24" s="530"/>
      <c r="F24" s="530"/>
      <c r="G24" s="530"/>
      <c r="H24" s="530"/>
      <c r="I24" s="530"/>
      <c r="J24" s="530">
        <v>400</v>
      </c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29"/>
      <c r="AB24" s="529"/>
      <c r="AC24" s="529"/>
      <c r="AD24" s="529"/>
      <c r="AE24" s="527"/>
      <c r="AF24" s="528"/>
      <c r="AG24" s="528"/>
      <c r="AH24" s="528"/>
      <c r="AI24" s="528"/>
    </row>
    <row r="25" spans="1:35" s="525" customFormat="1" ht="15" customHeight="1">
      <c r="A25" s="657" t="s">
        <v>252</v>
      </c>
      <c r="B25" s="105" t="s">
        <v>853</v>
      </c>
      <c r="C25" s="531">
        <f aca="true" t="shared" si="4" ref="C25">E25+G25+I25+K25+M25+O25+Q25+S25+U25+W25+Y25+AA25+AC25</f>
        <v>1492.8</v>
      </c>
      <c r="D25" s="531">
        <f aca="true" t="shared" si="5" ref="D25">F25+H25+J25+L25+N25+P25+R25+T25+V25+X25+Z25+AB25+AD25</f>
        <v>1894.9</v>
      </c>
      <c r="E25" s="530"/>
      <c r="F25" s="530"/>
      <c r="G25" s="530"/>
      <c r="H25" s="530"/>
      <c r="I25" s="530"/>
      <c r="J25" s="530"/>
      <c r="K25" s="530">
        <v>1492.8</v>
      </c>
      <c r="L25" s="530">
        <f>1492.8+402.1</f>
        <v>1894.9</v>
      </c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530"/>
      <c r="Y25" s="530"/>
      <c r="Z25" s="530"/>
      <c r="AA25" s="529"/>
      <c r="AB25" s="529"/>
      <c r="AC25" s="529"/>
      <c r="AD25" s="529"/>
      <c r="AE25" s="527"/>
      <c r="AF25" s="528"/>
      <c r="AG25" s="528"/>
      <c r="AH25" s="528"/>
      <c r="AI25" s="528"/>
    </row>
    <row r="26" spans="1:35" s="525" customFormat="1" ht="15" customHeight="1">
      <c r="A26" s="657" t="s">
        <v>252</v>
      </c>
      <c r="B26" s="658" t="s">
        <v>277</v>
      </c>
      <c r="C26" s="531">
        <f t="shared" si="0"/>
        <v>41.646</v>
      </c>
      <c r="D26" s="531">
        <f t="shared" si="1"/>
        <v>41.646</v>
      </c>
      <c r="E26" s="530"/>
      <c r="F26" s="530"/>
      <c r="G26" s="530"/>
      <c r="H26" s="530"/>
      <c r="I26" s="530"/>
      <c r="J26" s="530"/>
      <c r="K26" s="796">
        <v>41.646</v>
      </c>
      <c r="L26" s="796">
        <v>41.646</v>
      </c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529"/>
      <c r="AB26" s="529"/>
      <c r="AC26" s="529"/>
      <c r="AD26" s="529"/>
      <c r="AE26" s="527"/>
      <c r="AF26" s="528"/>
      <c r="AG26" s="528"/>
      <c r="AH26" s="528"/>
      <c r="AI26" s="528"/>
    </row>
    <row r="27" spans="1:35" s="525" customFormat="1" ht="15" customHeight="1">
      <c r="A27" s="657" t="s">
        <v>252</v>
      </c>
      <c r="B27" s="658" t="s">
        <v>278</v>
      </c>
      <c r="C27" s="531">
        <f t="shared" si="0"/>
        <v>3248.8</v>
      </c>
      <c r="D27" s="531">
        <f t="shared" si="1"/>
        <v>3836.3</v>
      </c>
      <c r="E27" s="530">
        <v>1680</v>
      </c>
      <c r="F27" s="530">
        <f>1780+500</f>
        <v>2280</v>
      </c>
      <c r="G27" s="530">
        <v>264.6</v>
      </c>
      <c r="H27" s="530">
        <f>264.6+87.5</f>
        <v>352.1</v>
      </c>
      <c r="I27" s="797">
        <v>1304.2</v>
      </c>
      <c r="J27" s="797">
        <f>1304.2-100</f>
        <v>1204.2</v>
      </c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29"/>
      <c r="AB27" s="529"/>
      <c r="AC27" s="529"/>
      <c r="AD27" s="529"/>
      <c r="AE27" s="527"/>
      <c r="AF27" s="528"/>
      <c r="AG27" s="528"/>
      <c r="AH27" s="528"/>
      <c r="AI27" s="528"/>
    </row>
    <row r="28" spans="1:35" s="525" customFormat="1" ht="15" customHeight="1">
      <c r="A28" s="657" t="s">
        <v>252</v>
      </c>
      <c r="B28" s="658" t="s">
        <v>279</v>
      </c>
      <c r="C28" s="531">
        <f t="shared" si="0"/>
        <v>0</v>
      </c>
      <c r="D28" s="531">
        <f t="shared" si="1"/>
        <v>171.7</v>
      </c>
      <c r="E28" s="530"/>
      <c r="F28" s="530"/>
      <c r="G28" s="530"/>
      <c r="H28" s="530"/>
      <c r="I28" s="530"/>
      <c r="J28" s="530">
        <v>171.7</v>
      </c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29"/>
      <c r="AB28" s="529"/>
      <c r="AC28" s="529"/>
      <c r="AD28" s="529"/>
      <c r="AE28" s="527"/>
      <c r="AF28" s="528"/>
      <c r="AG28" s="528"/>
      <c r="AH28" s="528"/>
      <c r="AI28" s="528"/>
    </row>
    <row r="29" spans="1:35" s="525" customFormat="1" ht="27.75" customHeight="1">
      <c r="A29" s="653" t="s">
        <v>252</v>
      </c>
      <c r="B29" s="807" t="s">
        <v>835</v>
      </c>
      <c r="C29" s="531">
        <f t="shared" si="0"/>
        <v>2381.845</v>
      </c>
      <c r="D29" s="531">
        <f t="shared" si="1"/>
        <v>2381.845</v>
      </c>
      <c r="E29" s="530"/>
      <c r="F29" s="530"/>
      <c r="G29" s="530"/>
      <c r="H29" s="530"/>
      <c r="I29" s="530"/>
      <c r="J29" s="530"/>
      <c r="K29" s="796">
        <v>2381.845</v>
      </c>
      <c r="L29" s="796">
        <v>2381.845</v>
      </c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29"/>
      <c r="AB29" s="529"/>
      <c r="AC29" s="529"/>
      <c r="AD29" s="529"/>
      <c r="AE29" s="527"/>
      <c r="AF29" s="528"/>
      <c r="AG29" s="528"/>
      <c r="AH29" s="528"/>
      <c r="AI29" s="528"/>
    </row>
    <row r="30" spans="1:35" s="525" customFormat="1" ht="15" customHeight="1">
      <c r="A30" s="657" t="s">
        <v>252</v>
      </c>
      <c r="B30" s="807" t="s">
        <v>884</v>
      </c>
      <c r="C30" s="531">
        <f t="shared" si="0"/>
        <v>0</v>
      </c>
      <c r="D30" s="531">
        <f t="shared" si="1"/>
        <v>2580.25</v>
      </c>
      <c r="E30" s="530"/>
      <c r="F30" s="530">
        <v>40.25</v>
      </c>
      <c r="G30" s="530"/>
      <c r="H30" s="530"/>
      <c r="I30" s="530"/>
      <c r="J30" s="530">
        <f>635+1270+635</f>
        <v>2540</v>
      </c>
      <c r="K30" s="796"/>
      <c r="L30" s="796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29"/>
      <c r="AB30" s="529"/>
      <c r="AC30" s="529"/>
      <c r="AD30" s="529"/>
      <c r="AE30" s="527"/>
      <c r="AF30" s="528"/>
      <c r="AG30" s="528"/>
      <c r="AH30" s="528"/>
      <c r="AI30" s="528"/>
    </row>
    <row r="31" spans="1:35" s="525" customFormat="1" ht="15" customHeight="1" hidden="1">
      <c r="A31" s="661" t="s">
        <v>252</v>
      </c>
      <c r="B31" s="105"/>
      <c r="C31" s="531">
        <f t="shared" si="0"/>
        <v>0</v>
      </c>
      <c r="D31" s="531">
        <f t="shared" si="1"/>
        <v>0</v>
      </c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29"/>
      <c r="AB31" s="529"/>
      <c r="AC31" s="529"/>
      <c r="AD31" s="529"/>
      <c r="AE31" s="527"/>
      <c r="AF31" s="528"/>
      <c r="AG31" s="528"/>
      <c r="AH31" s="528"/>
      <c r="AI31" s="528"/>
    </row>
    <row r="32" spans="1:35" s="525" customFormat="1" ht="15" customHeight="1">
      <c r="A32" s="657" t="s">
        <v>252</v>
      </c>
      <c r="B32" s="658" t="s">
        <v>6</v>
      </c>
      <c r="C32" s="531">
        <f t="shared" si="0"/>
        <v>9304.915</v>
      </c>
      <c r="D32" s="531">
        <f t="shared" si="1"/>
        <v>9799.335</v>
      </c>
      <c r="E32" s="530">
        <v>3107</v>
      </c>
      <c r="F32" s="530">
        <f>3107+114.4</f>
        <v>3221.4</v>
      </c>
      <c r="G32" s="530">
        <v>564.125</v>
      </c>
      <c r="H32" s="530">
        <f>564.125+20.02</f>
        <v>584.145</v>
      </c>
      <c r="I32" s="530">
        <v>5125.79</v>
      </c>
      <c r="J32" s="530">
        <f>5125.79+360</f>
        <v>5485.79</v>
      </c>
      <c r="K32" s="530"/>
      <c r="L32" s="530"/>
      <c r="M32" s="530"/>
      <c r="N32" s="530"/>
      <c r="O32" s="530"/>
      <c r="P32" s="530"/>
      <c r="Q32" s="530"/>
      <c r="R32" s="530"/>
      <c r="S32" s="530">
        <v>508</v>
      </c>
      <c r="T32" s="530">
        <v>508</v>
      </c>
      <c r="U32" s="530"/>
      <c r="V32" s="530"/>
      <c r="W32" s="530"/>
      <c r="X32" s="530"/>
      <c r="Y32" s="530"/>
      <c r="Z32" s="530"/>
      <c r="AA32" s="529"/>
      <c r="AB32" s="529"/>
      <c r="AC32" s="529"/>
      <c r="AD32" s="529"/>
      <c r="AE32" s="527"/>
      <c r="AF32" s="528"/>
      <c r="AG32" s="528"/>
      <c r="AH32" s="528"/>
      <c r="AI32" s="528"/>
    </row>
    <row r="33" spans="1:31" s="528" customFormat="1" ht="15" customHeight="1">
      <c r="A33" s="657" t="s">
        <v>560</v>
      </c>
      <c r="B33" s="105" t="s">
        <v>773</v>
      </c>
      <c r="C33" s="531">
        <f t="shared" si="0"/>
        <v>4869.353999999999</v>
      </c>
      <c r="D33" s="531">
        <f t="shared" si="1"/>
        <v>6069.353999999999</v>
      </c>
      <c r="E33" s="529"/>
      <c r="F33" s="529"/>
      <c r="G33" s="529"/>
      <c r="H33" s="529"/>
      <c r="I33" s="529"/>
      <c r="J33" s="529"/>
      <c r="K33" s="529">
        <v>1400</v>
      </c>
      <c r="L33" s="529">
        <v>1400</v>
      </c>
      <c r="M33" s="529"/>
      <c r="N33" s="529"/>
      <c r="O33" s="529"/>
      <c r="P33" s="529"/>
      <c r="Q33" s="529"/>
      <c r="R33" s="529"/>
      <c r="S33" s="529"/>
      <c r="T33" s="529"/>
      <c r="U33" s="529">
        <v>3469.354</v>
      </c>
      <c r="V33" s="529">
        <f>3469.354+1200</f>
        <v>4669.353999999999</v>
      </c>
      <c r="W33" s="529"/>
      <c r="X33" s="529"/>
      <c r="Y33" s="529"/>
      <c r="Z33" s="529"/>
      <c r="AA33" s="529"/>
      <c r="AB33" s="529"/>
      <c r="AC33" s="529"/>
      <c r="AD33" s="529"/>
      <c r="AE33" s="527"/>
    </row>
    <row r="34" spans="1:35" s="525" customFormat="1" ht="15" customHeight="1">
      <c r="A34" s="661" t="s">
        <v>560</v>
      </c>
      <c r="B34" s="105" t="s">
        <v>909</v>
      </c>
      <c r="C34" s="531">
        <f t="shared" si="0"/>
        <v>0</v>
      </c>
      <c r="D34" s="531">
        <f t="shared" si="1"/>
        <v>150</v>
      </c>
      <c r="E34" s="530"/>
      <c r="F34" s="530"/>
      <c r="G34" s="530"/>
      <c r="H34" s="530"/>
      <c r="I34" s="530"/>
      <c r="J34" s="530"/>
      <c r="K34" s="530"/>
      <c r="L34" s="530">
        <v>150</v>
      </c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29"/>
      <c r="AB34" s="529"/>
      <c r="AC34" s="529"/>
      <c r="AD34" s="529"/>
      <c r="AE34" s="527"/>
      <c r="AF34" s="528"/>
      <c r="AG34" s="528"/>
      <c r="AH34" s="528"/>
      <c r="AI34" s="528"/>
    </row>
    <row r="35" spans="1:35" s="525" customFormat="1" ht="15" customHeight="1" hidden="1">
      <c r="A35" s="657" t="s">
        <v>560</v>
      </c>
      <c r="B35" s="658"/>
      <c r="C35" s="531">
        <f t="shared" si="0"/>
        <v>0</v>
      </c>
      <c r="D35" s="531">
        <f t="shared" si="1"/>
        <v>0</v>
      </c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29"/>
      <c r="AB35" s="529"/>
      <c r="AC35" s="529"/>
      <c r="AD35" s="529"/>
      <c r="AE35" s="527"/>
      <c r="AF35" s="528"/>
      <c r="AG35" s="528"/>
      <c r="AH35" s="528"/>
      <c r="AI35" s="528"/>
    </row>
    <row r="36" spans="1:35" s="525" customFormat="1" ht="15" customHeight="1" hidden="1">
      <c r="A36" s="657" t="s">
        <v>252</v>
      </c>
      <c r="B36" s="658"/>
      <c r="C36" s="531">
        <f t="shared" si="0"/>
        <v>0</v>
      </c>
      <c r="D36" s="531">
        <f t="shared" si="1"/>
        <v>0</v>
      </c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29"/>
      <c r="AB36" s="529"/>
      <c r="AC36" s="529"/>
      <c r="AD36" s="529"/>
      <c r="AE36" s="527"/>
      <c r="AF36" s="528"/>
      <c r="AG36" s="528"/>
      <c r="AH36" s="528"/>
      <c r="AI36" s="528"/>
    </row>
    <row r="37" spans="1:35" s="525" customFormat="1" ht="15" customHeight="1" hidden="1">
      <c r="A37" s="661" t="s">
        <v>252</v>
      </c>
      <c r="B37" s="648"/>
      <c r="C37" s="531">
        <f aca="true" t="shared" si="6" ref="C37">E37+G37+I37+K37+M37+O37+Q37+S37+U37+W37+Y37+AA37+AC37</f>
        <v>0</v>
      </c>
      <c r="D37" s="531">
        <f aca="true" t="shared" si="7" ref="D37">F37+H37+J37+L37+N37+P37+R37+T37+V37+X37+Z37+AB37+AD37</f>
        <v>0</v>
      </c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29"/>
      <c r="AB37" s="529"/>
      <c r="AC37" s="529"/>
      <c r="AD37" s="529"/>
      <c r="AE37" s="527"/>
      <c r="AF37" s="528"/>
      <c r="AG37" s="528"/>
      <c r="AH37" s="528"/>
      <c r="AI37" s="528"/>
    </row>
    <row r="38" spans="1:35" s="525" customFormat="1" ht="15" customHeight="1" hidden="1">
      <c r="A38" s="661" t="s">
        <v>252</v>
      </c>
      <c r="B38" s="648"/>
      <c r="C38" s="531">
        <f t="shared" si="0"/>
        <v>0</v>
      </c>
      <c r="D38" s="531">
        <f t="shared" si="1"/>
        <v>0</v>
      </c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29"/>
      <c r="AB38" s="529"/>
      <c r="AC38" s="529"/>
      <c r="AD38" s="529"/>
      <c r="AE38" s="527"/>
      <c r="AF38" s="528"/>
      <c r="AG38" s="528"/>
      <c r="AH38" s="528"/>
      <c r="AI38" s="528"/>
    </row>
    <row r="39" spans="1:35" s="525" customFormat="1" ht="15" customHeight="1" hidden="1">
      <c r="A39" s="657" t="s">
        <v>252</v>
      </c>
      <c r="B39" s="652"/>
      <c r="C39" s="531">
        <f aca="true" t="shared" si="8" ref="C39">E39+G39+I39+K39+M39+O39+Q39+S39+U39+W39+Y39+AA39+AC39</f>
        <v>0</v>
      </c>
      <c r="D39" s="531">
        <f aca="true" t="shared" si="9" ref="D39">F39+H39+J39+L39+N39+P39+R39+T39+V39+X39+Z39+AB39+AD39</f>
        <v>0</v>
      </c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29"/>
      <c r="AB39" s="529"/>
      <c r="AC39" s="529"/>
      <c r="AD39" s="529"/>
      <c r="AE39" s="527"/>
      <c r="AF39" s="528"/>
      <c r="AG39" s="528"/>
      <c r="AH39" s="528"/>
      <c r="AI39" s="528"/>
    </row>
    <row r="40" spans="1:35" s="525" customFormat="1" ht="15" customHeight="1">
      <c r="A40" s="657" t="s">
        <v>252</v>
      </c>
      <c r="B40" s="658" t="s">
        <v>115</v>
      </c>
      <c r="C40" s="531">
        <f t="shared" si="0"/>
        <v>10211.097</v>
      </c>
      <c r="D40" s="531">
        <f t="shared" si="1"/>
        <v>12751.097</v>
      </c>
      <c r="E40" s="530">
        <v>1380</v>
      </c>
      <c r="F40" s="530">
        <v>1380</v>
      </c>
      <c r="G40" s="530">
        <v>217.35</v>
      </c>
      <c r="H40" s="530">
        <v>217.35</v>
      </c>
      <c r="I40" s="530">
        <v>8613.747</v>
      </c>
      <c r="J40" s="530">
        <f>8613.747+2540</f>
        <v>11153.747</v>
      </c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29"/>
      <c r="AB40" s="529"/>
      <c r="AC40" s="529"/>
      <c r="AD40" s="529"/>
      <c r="AE40" s="527"/>
      <c r="AF40" s="528"/>
      <c r="AG40" s="528"/>
      <c r="AH40" s="528"/>
      <c r="AI40" s="528"/>
    </row>
    <row r="41" spans="1:35" s="525" customFormat="1" ht="15" customHeight="1">
      <c r="A41" s="661" t="s">
        <v>560</v>
      </c>
      <c r="B41" s="648" t="s">
        <v>265</v>
      </c>
      <c r="C41" s="531">
        <f aca="true" t="shared" si="10" ref="C41">E41+G41+I41+K41+M41+O41+Q41+S41+U41+W41+Y41+AA41+AC41</f>
        <v>360</v>
      </c>
      <c r="D41" s="531">
        <f aca="true" t="shared" si="11" ref="D41">F41+H41+J41+L41+N41+P41+R41+T41+V41+X41+Z41+AB41+AD41</f>
        <v>360</v>
      </c>
      <c r="E41" s="530"/>
      <c r="F41" s="530"/>
      <c r="G41" s="530"/>
      <c r="H41" s="530"/>
      <c r="I41" s="530"/>
      <c r="J41" s="530"/>
      <c r="K41" s="530">
        <v>360</v>
      </c>
      <c r="L41" s="530">
        <v>360</v>
      </c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29"/>
      <c r="AB41" s="529"/>
      <c r="AC41" s="529"/>
      <c r="AD41" s="529"/>
      <c r="AE41" s="527"/>
      <c r="AF41" s="528"/>
      <c r="AG41" s="528"/>
      <c r="AH41" s="528"/>
      <c r="AI41" s="528"/>
    </row>
    <row r="42" spans="1:35" s="525" customFormat="1" ht="15" customHeight="1">
      <c r="A42" s="657" t="s">
        <v>252</v>
      </c>
      <c r="B42" s="658" t="s">
        <v>7</v>
      </c>
      <c r="C42" s="531">
        <f t="shared" si="0"/>
        <v>10270</v>
      </c>
      <c r="D42" s="531">
        <f t="shared" si="1"/>
        <v>10270</v>
      </c>
      <c r="E42" s="530"/>
      <c r="F42" s="530"/>
      <c r="G42" s="530"/>
      <c r="H42" s="530"/>
      <c r="I42" s="530"/>
      <c r="J42" s="530"/>
      <c r="K42" s="530"/>
      <c r="L42" s="530"/>
      <c r="M42" s="530">
        <v>10270</v>
      </c>
      <c r="N42" s="530">
        <v>10270</v>
      </c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29"/>
      <c r="AB42" s="529"/>
      <c r="AC42" s="529"/>
      <c r="AD42" s="529"/>
      <c r="AE42" s="527"/>
      <c r="AF42" s="528"/>
      <c r="AG42" s="528"/>
      <c r="AH42" s="528"/>
      <c r="AI42" s="528"/>
    </row>
    <row r="43" spans="1:35" s="525" customFormat="1" ht="15" customHeight="1" hidden="1">
      <c r="A43" s="661" t="s">
        <v>560</v>
      </c>
      <c r="B43" s="658" t="s">
        <v>7</v>
      </c>
      <c r="C43" s="531">
        <f aca="true" t="shared" si="12" ref="C43">E43+G43+I43+K43+M43+O43+Q43+S43+U43+W43+Y43+AA43+AC43</f>
        <v>0</v>
      </c>
      <c r="D43" s="531">
        <f aca="true" t="shared" si="13" ref="D43">F43+H43+J43+L43+N43+P43+R43+T43+V43+X43+Z43+AB43+AD43</f>
        <v>0</v>
      </c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29"/>
      <c r="AB43" s="529"/>
      <c r="AC43" s="529"/>
      <c r="AD43" s="529"/>
      <c r="AE43" s="527"/>
      <c r="AF43" s="528"/>
      <c r="AG43" s="528"/>
      <c r="AH43" s="528"/>
      <c r="AI43" s="528"/>
    </row>
    <row r="44" spans="1:35" s="525" customFormat="1" ht="15" customHeight="1">
      <c r="A44" s="661" t="s">
        <v>252</v>
      </c>
      <c r="B44" s="105" t="s">
        <v>885</v>
      </c>
      <c r="C44" s="531">
        <f aca="true" t="shared" si="14" ref="C44:C47">E44+G44+I44+K44+M44+O44+Q44+S44+U44+W44+Y44+AA44+AC44</f>
        <v>0</v>
      </c>
      <c r="D44" s="531">
        <f aca="true" t="shared" si="15" ref="D44:D47">F44+H44+J44+L44+N44+P44+R44+T44+V44+X44+Z44+AB44+AD44</f>
        <v>740.5</v>
      </c>
      <c r="E44" s="530"/>
      <c r="F44" s="530"/>
      <c r="G44" s="530"/>
      <c r="H44" s="530"/>
      <c r="I44" s="530"/>
      <c r="J44" s="530">
        <f>474.235+38.978</f>
        <v>513.213</v>
      </c>
      <c r="K44" s="530"/>
      <c r="L44" s="530">
        <v>196.287</v>
      </c>
      <c r="M44" s="530"/>
      <c r="N44" s="530"/>
      <c r="O44" s="530"/>
      <c r="P44" s="530"/>
      <c r="Q44" s="530"/>
      <c r="R44" s="530"/>
      <c r="S44" s="530"/>
      <c r="T44" s="530">
        <v>31</v>
      </c>
      <c r="U44" s="530"/>
      <c r="V44" s="530"/>
      <c r="W44" s="530"/>
      <c r="X44" s="530"/>
      <c r="Y44" s="530"/>
      <c r="Z44" s="530"/>
      <c r="AA44" s="529"/>
      <c r="AB44" s="529"/>
      <c r="AC44" s="529"/>
      <c r="AD44" s="529"/>
      <c r="AE44" s="527"/>
      <c r="AF44" s="528"/>
      <c r="AG44" s="528"/>
      <c r="AH44" s="528"/>
      <c r="AI44" s="528"/>
    </row>
    <row r="45" spans="1:35" s="525" customFormat="1" ht="15" customHeight="1">
      <c r="A45" s="661" t="s">
        <v>252</v>
      </c>
      <c r="B45" s="953" t="s">
        <v>832</v>
      </c>
      <c r="C45" s="531">
        <f t="shared" si="14"/>
        <v>40583.905</v>
      </c>
      <c r="D45" s="531">
        <f t="shared" si="15"/>
        <v>60578.902</v>
      </c>
      <c r="E45" s="530"/>
      <c r="F45" s="530"/>
      <c r="G45" s="530"/>
      <c r="H45" s="530"/>
      <c r="I45" s="530"/>
      <c r="J45" s="530">
        <f>1073.256+97.2+289.776+2.063+0.557+360+466.363</f>
        <v>2289.215</v>
      </c>
      <c r="K45" s="530"/>
      <c r="L45" s="530"/>
      <c r="M45" s="530"/>
      <c r="N45" s="530"/>
      <c r="O45" s="530"/>
      <c r="P45" s="530"/>
      <c r="Q45" s="530">
        <v>40583.905</v>
      </c>
      <c r="R45" s="530">
        <f>40583.905-360-97.2-1073.256-289.776+19526.014</f>
        <v>58289.687000000005</v>
      </c>
      <c r="S45" s="530"/>
      <c r="T45" s="530"/>
      <c r="U45" s="530"/>
      <c r="V45" s="530"/>
      <c r="W45" s="530"/>
      <c r="X45" s="530"/>
      <c r="Y45" s="530"/>
      <c r="Z45" s="530"/>
      <c r="AA45" s="529"/>
      <c r="AB45" s="529"/>
      <c r="AC45" s="529"/>
      <c r="AD45" s="529"/>
      <c r="AE45" s="527"/>
      <c r="AF45" s="528"/>
      <c r="AG45" s="528"/>
      <c r="AH45" s="528"/>
      <c r="AI45" s="528"/>
    </row>
    <row r="46" spans="1:35" s="525" customFormat="1" ht="15" customHeight="1">
      <c r="A46" s="661" t="s">
        <v>252</v>
      </c>
      <c r="B46" s="954" t="s">
        <v>833</v>
      </c>
      <c r="C46" s="531">
        <f t="shared" si="14"/>
        <v>43708.942</v>
      </c>
      <c r="D46" s="531">
        <f t="shared" si="15"/>
        <v>46906.745</v>
      </c>
      <c r="E46" s="530"/>
      <c r="F46" s="530"/>
      <c r="G46" s="530"/>
      <c r="H46" s="530"/>
      <c r="I46" s="530"/>
      <c r="J46" s="530">
        <f>1120+302.4+2.063+0.557</f>
        <v>1425.0200000000002</v>
      </c>
      <c r="K46" s="530"/>
      <c r="L46" s="530"/>
      <c r="M46" s="530"/>
      <c r="N46" s="530"/>
      <c r="O46" s="530"/>
      <c r="P46" s="530"/>
      <c r="Q46" s="530">
        <v>43708.942</v>
      </c>
      <c r="R46" s="530">
        <f>43708.942+1395.892+376.891</f>
        <v>45481.725000000006</v>
      </c>
      <c r="S46" s="530"/>
      <c r="T46" s="530"/>
      <c r="U46" s="530"/>
      <c r="V46" s="530"/>
      <c r="W46" s="530"/>
      <c r="X46" s="530"/>
      <c r="Y46" s="530"/>
      <c r="Z46" s="530"/>
      <c r="AA46" s="529"/>
      <c r="AB46" s="529"/>
      <c r="AC46" s="529"/>
      <c r="AD46" s="529"/>
      <c r="AE46" s="527"/>
      <c r="AF46" s="528"/>
      <c r="AG46" s="528"/>
      <c r="AH46" s="528"/>
      <c r="AI46" s="528"/>
    </row>
    <row r="47" spans="1:35" s="525" customFormat="1" ht="15" customHeight="1">
      <c r="A47" s="661" t="s">
        <v>252</v>
      </c>
      <c r="B47" s="954" t="s">
        <v>834</v>
      </c>
      <c r="C47" s="531">
        <f t="shared" si="14"/>
        <v>90000</v>
      </c>
      <c r="D47" s="531">
        <f t="shared" si="15"/>
        <v>90000</v>
      </c>
      <c r="E47" s="530"/>
      <c r="F47" s="530"/>
      <c r="G47" s="530"/>
      <c r="H47" s="530"/>
      <c r="I47" s="530"/>
      <c r="J47" s="530"/>
      <c r="K47" s="530">
        <v>90000</v>
      </c>
      <c r="L47" s="530">
        <v>0</v>
      </c>
      <c r="M47" s="530"/>
      <c r="N47" s="530"/>
      <c r="O47" s="530"/>
      <c r="P47" s="530"/>
      <c r="Q47" s="530"/>
      <c r="R47" s="530"/>
      <c r="S47" s="530"/>
      <c r="T47" s="530"/>
      <c r="U47" s="530"/>
      <c r="V47" s="530">
        <v>90000</v>
      </c>
      <c r="W47" s="530"/>
      <c r="X47" s="530"/>
      <c r="Y47" s="530"/>
      <c r="Z47" s="530"/>
      <c r="AA47" s="529"/>
      <c r="AB47" s="529"/>
      <c r="AC47" s="529"/>
      <c r="AD47" s="529"/>
      <c r="AE47" s="527"/>
      <c r="AF47" s="528"/>
      <c r="AG47" s="528"/>
      <c r="AH47" s="528"/>
      <c r="AI47" s="528"/>
    </row>
    <row r="48" spans="1:35" s="525" customFormat="1" ht="15" customHeight="1" hidden="1">
      <c r="A48" s="661" t="s">
        <v>252</v>
      </c>
      <c r="B48" s="105"/>
      <c r="C48" s="531">
        <f aca="true" t="shared" si="16" ref="C48:C54">E48+G48+I48+K48+M48+O48+Q48+S48+U48+W48+Y48+AA48+AC48</f>
        <v>0</v>
      </c>
      <c r="D48" s="531">
        <f aca="true" t="shared" si="17" ref="D48:D54">F48+H48+J48+L48+N48+P48+R48+T48+V48+X48+Z48+AB48+AD48</f>
        <v>0</v>
      </c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29"/>
      <c r="AB48" s="529"/>
      <c r="AC48" s="529"/>
      <c r="AD48" s="529"/>
      <c r="AE48" s="527"/>
      <c r="AF48" s="528"/>
      <c r="AG48" s="528"/>
      <c r="AH48" s="528"/>
      <c r="AI48" s="528"/>
    </row>
    <row r="49" spans="1:35" s="525" customFormat="1" ht="15" customHeight="1">
      <c r="A49" s="661" t="s">
        <v>252</v>
      </c>
      <c r="B49" s="105" t="s">
        <v>876</v>
      </c>
      <c r="C49" s="531">
        <f t="shared" si="16"/>
        <v>0</v>
      </c>
      <c r="D49" s="531">
        <f t="shared" si="17"/>
        <v>298336.39999999997</v>
      </c>
      <c r="E49" s="530"/>
      <c r="F49" s="530"/>
      <c r="G49" s="530"/>
      <c r="H49" s="530"/>
      <c r="I49" s="530"/>
      <c r="J49" s="530">
        <f>4700+300+500+43.094+0.836+1790+483.3+1269+135</f>
        <v>9221.23</v>
      </c>
      <c r="K49" s="530"/>
      <c r="L49" s="530"/>
      <c r="M49" s="530"/>
      <c r="N49" s="530"/>
      <c r="O49" s="530"/>
      <c r="P49" s="530"/>
      <c r="Q49" s="530"/>
      <c r="R49" s="530"/>
      <c r="S49" s="530"/>
      <c r="T49" s="530">
        <v>289115.17</v>
      </c>
      <c r="U49" s="530"/>
      <c r="V49" s="530"/>
      <c r="W49" s="530"/>
      <c r="X49" s="530"/>
      <c r="Y49" s="530"/>
      <c r="Z49" s="530"/>
      <c r="AA49" s="529"/>
      <c r="AB49" s="529"/>
      <c r="AC49" s="529"/>
      <c r="AD49" s="529"/>
      <c r="AE49" s="527"/>
      <c r="AF49" s="528"/>
      <c r="AG49" s="528"/>
      <c r="AH49" s="528"/>
      <c r="AI49" s="528"/>
    </row>
    <row r="50" spans="1:35" s="525" customFormat="1" ht="15" customHeight="1">
      <c r="A50" s="661" t="s">
        <v>252</v>
      </c>
      <c r="B50" s="105" t="s">
        <v>894</v>
      </c>
      <c r="C50" s="531">
        <f t="shared" si="16"/>
        <v>0</v>
      </c>
      <c r="D50" s="531">
        <f t="shared" si="17"/>
        <v>169096.755</v>
      </c>
      <c r="E50" s="530"/>
      <c r="F50" s="530"/>
      <c r="G50" s="530"/>
      <c r="H50" s="530"/>
      <c r="I50" s="530"/>
      <c r="J50" s="530">
        <f>70+254</f>
        <v>324</v>
      </c>
      <c r="K50" s="530"/>
      <c r="L50" s="530"/>
      <c r="M50" s="530"/>
      <c r="N50" s="530"/>
      <c r="O50" s="530"/>
      <c r="P50" s="530"/>
      <c r="Q50" s="530"/>
      <c r="R50" s="530">
        <v>168772.755</v>
      </c>
      <c r="S50" s="530"/>
      <c r="T50" s="530"/>
      <c r="U50" s="530"/>
      <c r="V50" s="530"/>
      <c r="W50" s="530"/>
      <c r="X50" s="530"/>
      <c r="Y50" s="530"/>
      <c r="Z50" s="530"/>
      <c r="AA50" s="529"/>
      <c r="AB50" s="529"/>
      <c r="AC50" s="529"/>
      <c r="AD50" s="529"/>
      <c r="AE50" s="527"/>
      <c r="AF50" s="528"/>
      <c r="AG50" s="528"/>
      <c r="AH50" s="528"/>
      <c r="AI50" s="528"/>
    </row>
    <row r="51" spans="1:35" s="525" customFormat="1" ht="15" customHeight="1">
      <c r="A51" s="661" t="s">
        <v>252</v>
      </c>
      <c r="B51" s="105" t="s">
        <v>895</v>
      </c>
      <c r="C51" s="531">
        <f>E51+G51+I51+K51+M51+O51+Q51+S51+U51+W51+Y51+AA51+AC51</f>
        <v>0</v>
      </c>
      <c r="D51" s="531">
        <f t="shared" si="17"/>
        <v>3562.35</v>
      </c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>
        <v>3562.35</v>
      </c>
      <c r="U51" s="530"/>
      <c r="V51" s="530"/>
      <c r="W51" s="530"/>
      <c r="X51" s="530"/>
      <c r="Y51" s="530"/>
      <c r="Z51" s="530"/>
      <c r="AA51" s="529"/>
      <c r="AB51" s="529"/>
      <c r="AC51" s="529"/>
      <c r="AD51" s="529"/>
      <c r="AE51" s="527"/>
      <c r="AF51" s="528"/>
      <c r="AG51" s="528"/>
      <c r="AH51" s="528"/>
      <c r="AI51" s="528"/>
    </row>
    <row r="52" spans="1:35" s="525" customFormat="1" ht="15" customHeight="1">
      <c r="A52" s="661" t="s">
        <v>252</v>
      </c>
      <c r="B52" s="105" t="s">
        <v>896</v>
      </c>
      <c r="C52" s="531">
        <f t="shared" si="16"/>
        <v>0</v>
      </c>
      <c r="D52" s="531">
        <f t="shared" si="17"/>
        <v>3040.394</v>
      </c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>
        <v>3040.394</v>
      </c>
      <c r="S52" s="530"/>
      <c r="T52" s="530"/>
      <c r="U52" s="530"/>
      <c r="V52" s="530"/>
      <c r="W52" s="530"/>
      <c r="X52" s="530"/>
      <c r="Y52" s="530"/>
      <c r="Z52" s="530"/>
      <c r="AA52" s="529"/>
      <c r="AB52" s="529"/>
      <c r="AC52" s="529"/>
      <c r="AD52" s="529"/>
      <c r="AE52" s="527"/>
      <c r="AF52" s="528"/>
      <c r="AG52" s="528"/>
      <c r="AH52" s="528"/>
      <c r="AI52" s="528"/>
    </row>
    <row r="53" spans="1:35" s="525" customFormat="1" ht="15" customHeight="1" hidden="1">
      <c r="A53" s="661" t="s">
        <v>252</v>
      </c>
      <c r="B53" s="105"/>
      <c r="C53" s="531">
        <f t="shared" si="16"/>
        <v>0</v>
      </c>
      <c r="D53" s="531">
        <f>F53+H53+J53+L53+N53+P53+R53+T53+V53+X53+Z53+AB53+AD53</f>
        <v>0</v>
      </c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29"/>
      <c r="AB53" s="529"/>
      <c r="AC53" s="529"/>
      <c r="AD53" s="529"/>
      <c r="AE53" s="527"/>
      <c r="AF53" s="528"/>
      <c r="AG53" s="528"/>
      <c r="AH53" s="528"/>
      <c r="AI53" s="528"/>
    </row>
    <row r="54" spans="1:35" s="525" customFormat="1" ht="15" customHeight="1" hidden="1">
      <c r="A54" s="661" t="s">
        <v>252</v>
      </c>
      <c r="B54" s="105"/>
      <c r="C54" s="531">
        <f t="shared" si="16"/>
        <v>0</v>
      </c>
      <c r="D54" s="531">
        <f t="shared" si="17"/>
        <v>0</v>
      </c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29"/>
      <c r="AB54" s="529"/>
      <c r="AC54" s="529"/>
      <c r="AD54" s="529"/>
      <c r="AE54" s="527"/>
      <c r="AF54" s="528"/>
      <c r="AG54" s="528"/>
      <c r="AH54" s="528"/>
      <c r="AI54" s="528"/>
    </row>
    <row r="55" spans="1:35" s="525" customFormat="1" ht="15" customHeight="1">
      <c r="A55" s="661" t="s">
        <v>252</v>
      </c>
      <c r="B55" s="105" t="s">
        <v>831</v>
      </c>
      <c r="C55" s="531">
        <f aca="true" t="shared" si="18" ref="C55:C61">E55+G55+I55+K55+M55+O55+Q55+S55+U55+W55+Y55+AA55+AC55</f>
        <v>68299.954</v>
      </c>
      <c r="D55" s="531">
        <f aca="true" t="shared" si="19" ref="D55:D61">F55+H55+J55+L55+N55+P55+R55+T55+V55+X55+Z55+AB55+AD55</f>
        <v>67341.535</v>
      </c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29">
        <v>68299.954</v>
      </c>
      <c r="AB55" s="529">
        <f>68299.954-958.419</f>
        <v>67341.535</v>
      </c>
      <c r="AC55" s="529"/>
      <c r="AD55" s="529"/>
      <c r="AE55" s="527"/>
      <c r="AF55" s="528"/>
      <c r="AG55" s="528"/>
      <c r="AH55" s="528"/>
      <c r="AI55" s="528"/>
    </row>
    <row r="56" spans="1:35" s="525" customFormat="1" ht="15" customHeight="1">
      <c r="A56" s="661" t="s">
        <v>560</v>
      </c>
      <c r="B56" s="105" t="s">
        <v>912</v>
      </c>
      <c r="C56" s="531">
        <f t="shared" si="18"/>
        <v>0</v>
      </c>
      <c r="D56" s="531">
        <f t="shared" si="19"/>
        <v>250004.90000000002</v>
      </c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30"/>
      <c r="P56" s="530"/>
      <c r="Q56" s="530"/>
      <c r="R56" s="530"/>
      <c r="S56" s="530"/>
      <c r="T56" s="530"/>
      <c r="U56" s="530"/>
      <c r="V56" s="530"/>
      <c r="W56" s="530"/>
      <c r="X56" s="530"/>
      <c r="Y56" s="530"/>
      <c r="Z56" s="530"/>
      <c r="AA56" s="529"/>
      <c r="AB56" s="529"/>
      <c r="AC56" s="529"/>
      <c r="AD56" s="529">
        <f>130002.6+120002.3</f>
        <v>250004.90000000002</v>
      </c>
      <c r="AE56" s="527"/>
      <c r="AF56" s="528"/>
      <c r="AG56" s="528"/>
      <c r="AH56" s="528"/>
      <c r="AI56" s="528"/>
    </row>
    <row r="57" spans="1:35" s="525" customFormat="1" ht="15" customHeight="1" hidden="1">
      <c r="A57" s="661" t="s">
        <v>252</v>
      </c>
      <c r="B57" s="105"/>
      <c r="C57" s="531">
        <f t="shared" si="18"/>
        <v>0</v>
      </c>
      <c r="D57" s="531">
        <f t="shared" si="19"/>
        <v>0</v>
      </c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530"/>
      <c r="P57" s="530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29"/>
      <c r="AB57" s="529"/>
      <c r="AC57" s="529"/>
      <c r="AD57" s="529"/>
      <c r="AE57" s="527"/>
      <c r="AF57" s="528"/>
      <c r="AG57" s="528"/>
      <c r="AH57" s="528"/>
      <c r="AI57" s="528"/>
    </row>
    <row r="58" spans="1:35" s="525" customFormat="1" ht="15" customHeight="1" hidden="1">
      <c r="A58" s="661" t="s">
        <v>252</v>
      </c>
      <c r="B58" s="105"/>
      <c r="C58" s="531">
        <f t="shared" si="18"/>
        <v>0</v>
      </c>
      <c r="D58" s="531">
        <f t="shared" si="19"/>
        <v>0</v>
      </c>
      <c r="E58" s="530"/>
      <c r="F58" s="530"/>
      <c r="G58" s="530"/>
      <c r="H58" s="530"/>
      <c r="I58" s="530"/>
      <c r="J58" s="530"/>
      <c r="K58" s="530"/>
      <c r="L58" s="530"/>
      <c r="M58" s="530"/>
      <c r="N58" s="530"/>
      <c r="O58" s="530"/>
      <c r="P58" s="530"/>
      <c r="Q58" s="530"/>
      <c r="R58" s="530"/>
      <c r="S58" s="530"/>
      <c r="T58" s="530"/>
      <c r="U58" s="530"/>
      <c r="V58" s="530"/>
      <c r="W58" s="530"/>
      <c r="X58" s="530"/>
      <c r="Y58" s="530"/>
      <c r="Z58" s="530"/>
      <c r="AA58" s="529"/>
      <c r="AB58" s="529"/>
      <c r="AC58" s="529"/>
      <c r="AD58" s="529"/>
      <c r="AE58" s="527"/>
      <c r="AF58" s="528"/>
      <c r="AG58" s="528"/>
      <c r="AH58" s="528"/>
      <c r="AI58" s="528"/>
    </row>
    <row r="59" spans="1:35" s="525" customFormat="1" ht="15" customHeight="1" hidden="1">
      <c r="A59" s="661" t="s">
        <v>252</v>
      </c>
      <c r="B59" s="105"/>
      <c r="C59" s="531">
        <f t="shared" si="18"/>
        <v>0</v>
      </c>
      <c r="D59" s="531">
        <f t="shared" si="19"/>
        <v>0</v>
      </c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0"/>
      <c r="X59" s="530"/>
      <c r="Y59" s="530"/>
      <c r="Z59" s="530"/>
      <c r="AA59" s="529"/>
      <c r="AB59" s="529"/>
      <c r="AC59" s="529"/>
      <c r="AD59" s="529"/>
      <c r="AE59" s="527"/>
      <c r="AF59" s="528"/>
      <c r="AG59" s="528"/>
      <c r="AH59" s="528"/>
      <c r="AI59" s="528"/>
    </row>
    <row r="60" spans="1:35" s="525" customFormat="1" ht="15" customHeight="1" hidden="1">
      <c r="A60" s="661" t="s">
        <v>252</v>
      </c>
      <c r="B60" s="105"/>
      <c r="C60" s="531">
        <f t="shared" si="18"/>
        <v>0</v>
      </c>
      <c r="D60" s="531">
        <f t="shared" si="19"/>
        <v>0</v>
      </c>
      <c r="E60" s="530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530"/>
      <c r="AA60" s="529"/>
      <c r="AB60" s="529"/>
      <c r="AC60" s="529"/>
      <c r="AD60" s="529"/>
      <c r="AE60" s="527"/>
      <c r="AF60" s="528"/>
      <c r="AG60" s="528"/>
      <c r="AH60" s="528"/>
      <c r="AI60" s="528"/>
    </row>
    <row r="61" spans="1:35" s="525" customFormat="1" ht="15" customHeight="1" hidden="1">
      <c r="A61" s="657"/>
      <c r="B61" s="662"/>
      <c r="C61" s="531">
        <f t="shared" si="18"/>
        <v>0</v>
      </c>
      <c r="D61" s="531">
        <f t="shared" si="19"/>
        <v>0</v>
      </c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530"/>
      <c r="Y61" s="530"/>
      <c r="Z61" s="530"/>
      <c r="AA61" s="529"/>
      <c r="AB61" s="529"/>
      <c r="AC61" s="529"/>
      <c r="AD61" s="529"/>
      <c r="AE61" s="527"/>
      <c r="AF61" s="528"/>
      <c r="AG61" s="528"/>
      <c r="AH61" s="528"/>
      <c r="AI61" s="528"/>
    </row>
    <row r="62" spans="1:35" s="525" customFormat="1" ht="8.25" customHeight="1">
      <c r="A62" s="657"/>
      <c r="B62" s="662"/>
      <c r="C62" s="531"/>
      <c r="D62" s="531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29"/>
      <c r="AB62" s="529"/>
      <c r="AC62" s="529"/>
      <c r="AD62" s="529"/>
      <c r="AE62" s="527"/>
      <c r="AF62" s="528"/>
      <c r="AG62" s="528"/>
      <c r="AH62" s="528"/>
      <c r="AI62" s="528"/>
    </row>
    <row r="63" spans="1:35" s="525" customFormat="1" ht="15" customHeight="1">
      <c r="A63" s="660"/>
      <c r="B63" s="798" t="s">
        <v>58</v>
      </c>
      <c r="C63" s="531">
        <f>E63+G63+I63+K63+M63+O63+Q63+S63+U63+W63+Y63+AA63+AC63</f>
        <v>418740.63300000003</v>
      </c>
      <c r="D63" s="531">
        <f>F63+H63+J63+L63+N63+P63+R63+T63+V63+X63+Z63+AB63+AD63</f>
        <v>1182257.787</v>
      </c>
      <c r="E63" s="534">
        <f aca="true" t="shared" si="20" ref="E63:AD63">SUM(E10:E61)</f>
        <v>27086.546</v>
      </c>
      <c r="F63" s="534">
        <f t="shared" si="20"/>
        <v>37011.134</v>
      </c>
      <c r="G63" s="534">
        <f t="shared" si="20"/>
        <v>4577.516</v>
      </c>
      <c r="H63" s="534">
        <f t="shared" si="20"/>
        <v>5542.763000000001</v>
      </c>
      <c r="I63" s="534">
        <f t="shared" si="20"/>
        <v>48686.138000000006</v>
      </c>
      <c r="J63" s="534">
        <f t="shared" si="20"/>
        <v>72375.30799999999</v>
      </c>
      <c r="K63" s="534">
        <f t="shared" si="20"/>
        <v>151108.391</v>
      </c>
      <c r="L63" s="534">
        <f t="shared" si="20"/>
        <v>10517.021</v>
      </c>
      <c r="M63" s="534">
        <f t="shared" si="20"/>
        <v>10270</v>
      </c>
      <c r="N63" s="534">
        <f t="shared" si="20"/>
        <v>10270</v>
      </c>
      <c r="O63" s="534">
        <f t="shared" si="20"/>
        <v>2355.476</v>
      </c>
      <c r="P63" s="534">
        <f t="shared" si="20"/>
        <v>18838.28</v>
      </c>
      <c r="Q63" s="534">
        <f t="shared" si="20"/>
        <v>94335.074</v>
      </c>
      <c r="R63" s="534">
        <f t="shared" si="20"/>
        <v>285626.788</v>
      </c>
      <c r="S63" s="534">
        <f t="shared" si="20"/>
        <v>2413</v>
      </c>
      <c r="T63" s="534">
        <f t="shared" si="20"/>
        <v>295121.51999999996</v>
      </c>
      <c r="U63" s="534">
        <f t="shared" si="20"/>
        <v>3469.354</v>
      </c>
      <c r="V63" s="534">
        <f t="shared" si="20"/>
        <v>94669.35399999999</v>
      </c>
      <c r="W63" s="534">
        <f t="shared" si="20"/>
        <v>0</v>
      </c>
      <c r="X63" s="534">
        <f t="shared" si="20"/>
        <v>28800</v>
      </c>
      <c r="Y63" s="534">
        <f t="shared" si="20"/>
        <v>6139.184</v>
      </c>
      <c r="Z63" s="534">
        <f t="shared" si="20"/>
        <v>6139.184</v>
      </c>
      <c r="AA63" s="534">
        <f t="shared" si="20"/>
        <v>68299.954</v>
      </c>
      <c r="AB63" s="534">
        <f t="shared" si="20"/>
        <v>67341.535</v>
      </c>
      <c r="AC63" s="534">
        <f t="shared" si="20"/>
        <v>0</v>
      </c>
      <c r="AD63" s="534">
        <f t="shared" si="20"/>
        <v>250004.90000000002</v>
      </c>
      <c r="AE63" s="527"/>
      <c r="AF63" s="528"/>
      <c r="AG63" s="528"/>
      <c r="AH63" s="528"/>
      <c r="AI63" s="528"/>
    </row>
    <row r="64" spans="1:35" s="525" customFormat="1" ht="6.75" customHeight="1">
      <c r="A64" s="660"/>
      <c r="B64" s="533"/>
      <c r="C64" s="531"/>
      <c r="D64" s="531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534"/>
      <c r="AA64" s="534"/>
      <c r="AB64" s="534"/>
      <c r="AC64" s="529"/>
      <c r="AD64" s="529"/>
      <c r="AE64" s="527"/>
      <c r="AF64" s="528"/>
      <c r="AG64" s="528"/>
      <c r="AH64" s="528"/>
      <c r="AI64" s="528"/>
    </row>
    <row r="65" spans="1:35" s="525" customFormat="1" ht="15" customHeight="1">
      <c r="A65" s="660"/>
      <c r="B65" s="798" t="s">
        <v>774</v>
      </c>
      <c r="C65" s="534">
        <f>C63-C67-C69</f>
        <v>413511.27900000004</v>
      </c>
      <c r="D65" s="534">
        <f aca="true" t="shared" si="21" ref="D65:AD65">D63-D67-D69</f>
        <v>925673.533</v>
      </c>
      <c r="E65" s="534">
        <f t="shared" si="21"/>
        <v>27086.546</v>
      </c>
      <c r="F65" s="534">
        <f t="shared" si="21"/>
        <v>37011.134</v>
      </c>
      <c r="G65" s="534">
        <f t="shared" si="21"/>
        <v>4577.516</v>
      </c>
      <c r="H65" s="534">
        <f t="shared" si="21"/>
        <v>5542.763000000001</v>
      </c>
      <c r="I65" s="534">
        <f t="shared" si="21"/>
        <v>48686.138000000006</v>
      </c>
      <c r="J65" s="534">
        <f t="shared" si="21"/>
        <v>72375.30799999999</v>
      </c>
      <c r="K65" s="534">
        <f t="shared" si="21"/>
        <v>149348.391</v>
      </c>
      <c r="L65" s="534">
        <f t="shared" si="21"/>
        <v>8607.021</v>
      </c>
      <c r="M65" s="534">
        <f t="shared" si="21"/>
        <v>10270</v>
      </c>
      <c r="N65" s="534">
        <f t="shared" si="21"/>
        <v>10270</v>
      </c>
      <c r="O65" s="534">
        <f t="shared" si="21"/>
        <v>2355.476</v>
      </c>
      <c r="P65" s="534">
        <f t="shared" si="21"/>
        <v>18838.28</v>
      </c>
      <c r="Q65" s="534">
        <f t="shared" si="21"/>
        <v>94335.074</v>
      </c>
      <c r="R65" s="534">
        <f t="shared" si="21"/>
        <v>285626.788</v>
      </c>
      <c r="S65" s="534">
        <f t="shared" si="21"/>
        <v>2413</v>
      </c>
      <c r="T65" s="534">
        <f t="shared" si="21"/>
        <v>295121.51999999996</v>
      </c>
      <c r="U65" s="534">
        <f t="shared" si="21"/>
        <v>0</v>
      </c>
      <c r="V65" s="534">
        <f t="shared" si="21"/>
        <v>90000</v>
      </c>
      <c r="W65" s="534">
        <f t="shared" si="21"/>
        <v>0</v>
      </c>
      <c r="X65" s="534">
        <f t="shared" si="21"/>
        <v>28800</v>
      </c>
      <c r="Y65" s="534">
        <f t="shared" si="21"/>
        <v>6139.184</v>
      </c>
      <c r="Z65" s="534">
        <f t="shared" si="21"/>
        <v>6139.184</v>
      </c>
      <c r="AA65" s="534">
        <f t="shared" si="21"/>
        <v>68299.954</v>
      </c>
      <c r="AB65" s="534">
        <f t="shared" si="21"/>
        <v>67341.535</v>
      </c>
      <c r="AC65" s="534">
        <f t="shared" si="21"/>
        <v>0</v>
      </c>
      <c r="AD65" s="534">
        <f t="shared" si="21"/>
        <v>0</v>
      </c>
      <c r="AE65" s="527"/>
      <c r="AF65" s="528"/>
      <c r="AG65" s="528"/>
      <c r="AH65" s="528"/>
      <c r="AI65" s="528"/>
    </row>
    <row r="66" spans="1:35" s="525" customFormat="1" ht="6.75" customHeight="1">
      <c r="A66" s="660"/>
      <c r="B66" s="533"/>
      <c r="C66" s="531"/>
      <c r="D66" s="531"/>
      <c r="E66" s="531"/>
      <c r="F66" s="531"/>
      <c r="G66" s="531"/>
      <c r="H66" s="531"/>
      <c r="I66" s="531"/>
      <c r="J66" s="531"/>
      <c r="K66" s="531"/>
      <c r="L66" s="531"/>
      <c r="M66" s="531"/>
      <c r="N66" s="531"/>
      <c r="O66" s="531"/>
      <c r="P66" s="531"/>
      <c r="Q66" s="531"/>
      <c r="R66" s="531"/>
      <c r="S66" s="531"/>
      <c r="T66" s="531"/>
      <c r="U66" s="531"/>
      <c r="V66" s="531"/>
      <c r="W66" s="531"/>
      <c r="X66" s="531"/>
      <c r="Y66" s="531"/>
      <c r="Z66" s="531"/>
      <c r="AA66" s="531"/>
      <c r="AB66" s="531"/>
      <c r="AC66" s="531"/>
      <c r="AD66" s="531"/>
      <c r="AE66" s="527"/>
      <c r="AF66" s="528"/>
      <c r="AG66" s="528"/>
      <c r="AH66" s="528"/>
      <c r="AI66" s="528"/>
    </row>
    <row r="67" spans="1:35" s="525" customFormat="1" ht="15" customHeight="1">
      <c r="A67" s="660"/>
      <c r="B67" s="798" t="s">
        <v>775</v>
      </c>
      <c r="C67" s="534">
        <f>C43+C41+C33+C13+C34+C56</f>
        <v>5229.353999999999</v>
      </c>
      <c r="D67" s="534">
        <f aca="true" t="shared" si="22" ref="D67:AD67">D43+D41+D33+D13+D34+D56</f>
        <v>256584.25400000002</v>
      </c>
      <c r="E67" s="534">
        <f t="shared" si="22"/>
        <v>0</v>
      </c>
      <c r="F67" s="534">
        <f t="shared" si="22"/>
        <v>0</v>
      </c>
      <c r="G67" s="534">
        <f t="shared" si="22"/>
        <v>0</v>
      </c>
      <c r="H67" s="534">
        <f t="shared" si="22"/>
        <v>0</v>
      </c>
      <c r="I67" s="534">
        <f t="shared" si="22"/>
        <v>0</v>
      </c>
      <c r="J67" s="534">
        <f t="shared" si="22"/>
        <v>0</v>
      </c>
      <c r="K67" s="534">
        <f t="shared" si="22"/>
        <v>1760</v>
      </c>
      <c r="L67" s="534">
        <f t="shared" si="22"/>
        <v>1910</v>
      </c>
      <c r="M67" s="534">
        <f t="shared" si="22"/>
        <v>0</v>
      </c>
      <c r="N67" s="534">
        <f t="shared" si="22"/>
        <v>0</v>
      </c>
      <c r="O67" s="534">
        <f t="shared" si="22"/>
        <v>0</v>
      </c>
      <c r="P67" s="534">
        <f t="shared" si="22"/>
        <v>0</v>
      </c>
      <c r="Q67" s="534">
        <f t="shared" si="22"/>
        <v>0</v>
      </c>
      <c r="R67" s="534">
        <f t="shared" si="22"/>
        <v>0</v>
      </c>
      <c r="S67" s="534">
        <f t="shared" si="22"/>
        <v>0</v>
      </c>
      <c r="T67" s="534">
        <f t="shared" si="22"/>
        <v>0</v>
      </c>
      <c r="U67" s="534">
        <f t="shared" si="22"/>
        <v>3469.354</v>
      </c>
      <c r="V67" s="534">
        <f t="shared" si="22"/>
        <v>4669.353999999999</v>
      </c>
      <c r="W67" s="534">
        <f t="shared" si="22"/>
        <v>0</v>
      </c>
      <c r="X67" s="534">
        <f t="shared" si="22"/>
        <v>0</v>
      </c>
      <c r="Y67" s="534">
        <f t="shared" si="22"/>
        <v>0</v>
      </c>
      <c r="Z67" s="534">
        <f t="shared" si="22"/>
        <v>0</v>
      </c>
      <c r="AA67" s="534">
        <f t="shared" si="22"/>
        <v>0</v>
      </c>
      <c r="AB67" s="534">
        <f t="shared" si="22"/>
        <v>0</v>
      </c>
      <c r="AC67" s="534">
        <f t="shared" si="22"/>
        <v>0</v>
      </c>
      <c r="AD67" s="534">
        <f t="shared" si="22"/>
        <v>250004.90000000002</v>
      </c>
      <c r="AE67" s="527"/>
      <c r="AF67" s="528"/>
      <c r="AG67" s="528"/>
      <c r="AH67" s="528"/>
      <c r="AI67" s="528"/>
    </row>
    <row r="68" spans="1:31" s="538" customFormat="1" ht="6" customHeight="1">
      <c r="A68" s="535"/>
      <c r="B68" s="535"/>
      <c r="C68" s="536"/>
      <c r="D68" s="536"/>
      <c r="E68" s="536"/>
      <c r="F68" s="536"/>
      <c r="G68" s="536"/>
      <c r="H68" s="536"/>
      <c r="I68" s="536"/>
      <c r="J68" s="536"/>
      <c r="K68" s="536"/>
      <c r="L68" s="536"/>
      <c r="M68" s="536"/>
      <c r="N68" s="536"/>
      <c r="O68" s="536"/>
      <c r="P68" s="536"/>
      <c r="Q68" s="536"/>
      <c r="R68" s="536"/>
      <c r="S68" s="536"/>
      <c r="T68" s="536"/>
      <c r="U68" s="536"/>
      <c r="V68" s="536"/>
      <c r="W68" s="536"/>
      <c r="X68" s="536"/>
      <c r="Y68" s="536"/>
      <c r="Z68" s="536"/>
      <c r="AA68" s="536"/>
      <c r="AB68" s="536"/>
      <c r="AC68" s="536"/>
      <c r="AD68" s="536"/>
      <c r="AE68" s="537"/>
    </row>
    <row r="69" spans="1:31" s="538" customFormat="1" ht="15" customHeight="1">
      <c r="A69" s="535"/>
      <c r="B69" s="798" t="s">
        <v>776</v>
      </c>
      <c r="C69" s="534">
        <v>0</v>
      </c>
      <c r="D69" s="534">
        <v>0</v>
      </c>
      <c r="E69" s="534">
        <v>0</v>
      </c>
      <c r="F69" s="534">
        <v>0</v>
      </c>
      <c r="G69" s="534">
        <v>0</v>
      </c>
      <c r="H69" s="534">
        <v>0</v>
      </c>
      <c r="I69" s="534">
        <v>0</v>
      </c>
      <c r="J69" s="534">
        <v>0</v>
      </c>
      <c r="K69" s="534">
        <v>0</v>
      </c>
      <c r="L69" s="534">
        <v>0</v>
      </c>
      <c r="M69" s="534">
        <v>0</v>
      </c>
      <c r="N69" s="534">
        <v>0</v>
      </c>
      <c r="O69" s="534">
        <v>0</v>
      </c>
      <c r="P69" s="534">
        <v>0</v>
      </c>
      <c r="Q69" s="534">
        <v>0</v>
      </c>
      <c r="R69" s="534">
        <v>0</v>
      </c>
      <c r="S69" s="534">
        <v>0</v>
      </c>
      <c r="T69" s="534">
        <v>0</v>
      </c>
      <c r="U69" s="534">
        <v>0</v>
      </c>
      <c r="V69" s="534">
        <v>0</v>
      </c>
      <c r="W69" s="534">
        <v>0</v>
      </c>
      <c r="X69" s="534">
        <v>0</v>
      </c>
      <c r="Y69" s="534">
        <v>0</v>
      </c>
      <c r="Z69" s="534">
        <v>0</v>
      </c>
      <c r="AA69" s="534">
        <v>0</v>
      </c>
      <c r="AB69" s="534">
        <v>0</v>
      </c>
      <c r="AC69" s="534">
        <v>0</v>
      </c>
      <c r="AD69" s="534">
        <v>0</v>
      </c>
      <c r="AE69" s="537"/>
    </row>
    <row r="70" spans="1:31" s="538" customFormat="1" ht="15" customHeight="1" hidden="1">
      <c r="A70" s="535"/>
      <c r="B70" s="535"/>
      <c r="C70" s="663">
        <f>C65+C67</f>
        <v>418740.63300000003</v>
      </c>
      <c r="D70" s="663">
        <f>D65+D67</f>
        <v>1182257.787</v>
      </c>
      <c r="E70" s="663">
        <f aca="true" t="shared" si="23" ref="E70">E65+E67</f>
        <v>27086.546</v>
      </c>
      <c r="F70" s="663">
        <f aca="true" t="shared" si="24" ref="F70:AD70">F65+F67</f>
        <v>37011.134</v>
      </c>
      <c r="G70" s="663">
        <f aca="true" t="shared" si="25" ref="G70">G65+G67</f>
        <v>4577.516</v>
      </c>
      <c r="H70" s="663">
        <f t="shared" si="24"/>
        <v>5542.763000000001</v>
      </c>
      <c r="I70" s="663">
        <f aca="true" t="shared" si="26" ref="I70">I65+I67</f>
        <v>48686.138000000006</v>
      </c>
      <c r="J70" s="663">
        <f t="shared" si="24"/>
        <v>72375.30799999999</v>
      </c>
      <c r="K70" s="663">
        <f aca="true" t="shared" si="27" ref="K70">K65+K67</f>
        <v>151108.391</v>
      </c>
      <c r="L70" s="663">
        <f t="shared" si="24"/>
        <v>10517.021</v>
      </c>
      <c r="M70" s="663">
        <f aca="true" t="shared" si="28" ref="M70">M65+M67</f>
        <v>10270</v>
      </c>
      <c r="N70" s="663">
        <f t="shared" si="24"/>
        <v>10270</v>
      </c>
      <c r="O70" s="663">
        <f aca="true" t="shared" si="29" ref="O70">O65+O67</f>
        <v>2355.476</v>
      </c>
      <c r="P70" s="663">
        <f t="shared" si="24"/>
        <v>18838.28</v>
      </c>
      <c r="Q70" s="663">
        <f aca="true" t="shared" si="30" ref="Q70">Q65+Q67</f>
        <v>94335.074</v>
      </c>
      <c r="R70" s="663">
        <f t="shared" si="24"/>
        <v>285626.788</v>
      </c>
      <c r="S70" s="663">
        <f aca="true" t="shared" si="31" ref="S70">S65+S67</f>
        <v>2413</v>
      </c>
      <c r="T70" s="663">
        <f t="shared" si="24"/>
        <v>295121.51999999996</v>
      </c>
      <c r="U70" s="663">
        <f aca="true" t="shared" si="32" ref="U70">U65+U67</f>
        <v>3469.354</v>
      </c>
      <c r="V70" s="663">
        <f t="shared" si="24"/>
        <v>94669.35399999999</v>
      </c>
      <c r="W70" s="663">
        <f aca="true" t="shared" si="33" ref="W70">W65+W67</f>
        <v>0</v>
      </c>
      <c r="X70" s="663">
        <f t="shared" si="24"/>
        <v>28800</v>
      </c>
      <c r="Y70" s="663">
        <f aca="true" t="shared" si="34" ref="Y70">Y65+Y67</f>
        <v>6139.184</v>
      </c>
      <c r="Z70" s="663">
        <f t="shared" si="24"/>
        <v>6139.184</v>
      </c>
      <c r="AA70" s="663">
        <f aca="true" t="shared" si="35" ref="AA70">AA65+AA67</f>
        <v>68299.954</v>
      </c>
      <c r="AB70" s="663">
        <f t="shared" si="24"/>
        <v>67341.535</v>
      </c>
      <c r="AC70" s="663">
        <f aca="true" t="shared" si="36" ref="AC70">AC65+AC67</f>
        <v>0</v>
      </c>
      <c r="AD70" s="663">
        <f t="shared" si="24"/>
        <v>250004.90000000002</v>
      </c>
      <c r="AE70" s="537"/>
    </row>
    <row r="71" spans="3:31" s="538" customFormat="1" ht="15" customHeight="1"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/>
      <c r="P71" s="537"/>
      <c r="Q71" s="537"/>
      <c r="R71" s="537"/>
      <c r="S71" s="537"/>
      <c r="T71" s="537"/>
      <c r="U71" s="537"/>
      <c r="V71" s="537"/>
      <c r="W71" s="537"/>
      <c r="X71" s="537"/>
      <c r="Y71" s="537"/>
      <c r="Z71" s="537"/>
      <c r="AA71" s="537"/>
      <c r="AB71" s="537"/>
      <c r="AC71" s="537"/>
      <c r="AD71" s="537"/>
      <c r="AE71" s="537"/>
    </row>
    <row r="72" spans="3:31" s="520" customFormat="1" ht="15" customHeight="1"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</row>
    <row r="73" spans="3:31" s="538" customFormat="1" ht="15" customHeight="1">
      <c r="C73" s="537"/>
      <c r="D73" s="754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37"/>
      <c r="W73" s="537"/>
      <c r="X73" s="537"/>
      <c r="Y73" s="537"/>
      <c r="Z73" s="537"/>
      <c r="AA73" s="537"/>
      <c r="AB73" s="537"/>
      <c r="AC73" s="537"/>
      <c r="AD73" s="537"/>
      <c r="AE73" s="537"/>
    </row>
    <row r="74" spans="3:31" s="538" customFormat="1" ht="15" customHeight="1">
      <c r="C74" s="537"/>
      <c r="D74" s="537"/>
      <c r="E74" s="537"/>
      <c r="F74" s="647"/>
      <c r="G74" s="537"/>
      <c r="H74" s="647"/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  <c r="AA74" s="647"/>
      <c r="AB74" s="647"/>
      <c r="AC74" s="537"/>
      <c r="AD74" s="537"/>
      <c r="AE74" s="537"/>
    </row>
    <row r="75" spans="3:31" s="538" customFormat="1" ht="15" customHeight="1">
      <c r="C75" s="537"/>
      <c r="D75" s="537"/>
      <c r="E75" s="537"/>
      <c r="F75" s="537"/>
      <c r="G75" s="537"/>
      <c r="H75" s="537"/>
      <c r="I75" s="537"/>
      <c r="J75" s="537"/>
      <c r="K75" s="537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37"/>
      <c r="W75" s="537"/>
      <c r="X75" s="537"/>
      <c r="Y75" s="537"/>
      <c r="Z75" s="537"/>
      <c r="AA75" s="537"/>
      <c r="AB75" s="537"/>
      <c r="AC75" s="537"/>
      <c r="AD75" s="537"/>
      <c r="AE75" s="537"/>
    </row>
    <row r="76" spans="3:31" s="538" customFormat="1" ht="15" customHeight="1">
      <c r="C76" s="537"/>
      <c r="D76" s="537"/>
      <c r="E76" s="537"/>
      <c r="F76" s="537"/>
      <c r="G76" s="537"/>
      <c r="H76" s="537"/>
      <c r="I76" s="537"/>
      <c r="J76" s="537"/>
      <c r="K76" s="537"/>
      <c r="L76" s="537"/>
      <c r="M76" s="537"/>
      <c r="N76" s="537"/>
      <c r="O76" s="537"/>
      <c r="P76" s="754"/>
      <c r="Q76" s="537"/>
      <c r="R76" s="537"/>
      <c r="S76" s="537"/>
      <c r="T76" s="537"/>
      <c r="U76" s="537"/>
      <c r="V76" s="537"/>
      <c r="W76" s="537"/>
      <c r="X76" s="537"/>
      <c r="Y76" s="537"/>
      <c r="Z76" s="537"/>
      <c r="AA76" s="537"/>
      <c r="AB76" s="537"/>
      <c r="AC76" s="537"/>
      <c r="AD76" s="537"/>
      <c r="AE76" s="537"/>
    </row>
    <row r="77" spans="3:31" s="538" customFormat="1" ht="15" customHeight="1">
      <c r="C77" s="537"/>
      <c r="D77" s="537"/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37"/>
      <c r="W77" s="537"/>
      <c r="X77" s="537"/>
      <c r="Y77" s="537"/>
      <c r="Z77" s="537"/>
      <c r="AA77" s="537"/>
      <c r="AB77" s="537"/>
      <c r="AC77" s="537"/>
      <c r="AD77" s="537"/>
      <c r="AE77" s="537"/>
    </row>
    <row r="78" spans="3:31" s="538" customFormat="1" ht="15" customHeight="1">
      <c r="C78" s="537"/>
      <c r="D78" s="537"/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7"/>
      <c r="V78" s="537"/>
      <c r="W78" s="537"/>
      <c r="X78" s="537"/>
      <c r="Y78" s="537"/>
      <c r="Z78" s="537"/>
      <c r="AA78" s="537"/>
      <c r="AB78" s="537"/>
      <c r="AC78" s="537"/>
      <c r="AD78" s="537"/>
      <c r="AE78" s="537"/>
    </row>
    <row r="79" spans="3:31" s="538" customFormat="1" ht="15" customHeight="1">
      <c r="C79" s="537"/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  <c r="AA79" s="537"/>
      <c r="AB79" s="537"/>
      <c r="AC79" s="537"/>
      <c r="AD79" s="537"/>
      <c r="AE79" s="537"/>
    </row>
    <row r="80" spans="3:31" s="538" customFormat="1" ht="15" customHeight="1"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  <c r="AB80" s="537"/>
      <c r="AC80" s="537"/>
      <c r="AD80" s="537"/>
      <c r="AE80" s="537"/>
    </row>
    <row r="81" spans="3:31" s="538" customFormat="1" ht="15" customHeight="1">
      <c r="C81" s="537"/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  <c r="AA81" s="537"/>
      <c r="AB81" s="537"/>
      <c r="AC81" s="537"/>
      <c r="AD81" s="537"/>
      <c r="AE81" s="537"/>
    </row>
    <row r="82" spans="3:31" s="538" customFormat="1" ht="15" customHeight="1">
      <c r="C82" s="537"/>
      <c r="D82" s="537"/>
      <c r="E82" s="537"/>
      <c r="F82" s="537"/>
      <c r="G82" s="537"/>
      <c r="H82" s="537"/>
      <c r="I82" s="537"/>
      <c r="J82" s="537"/>
      <c r="K82" s="537"/>
      <c r="L82" s="537"/>
      <c r="M82" s="537"/>
      <c r="N82" s="537"/>
      <c r="O82" s="537"/>
      <c r="P82" s="537"/>
      <c r="Q82" s="537"/>
      <c r="R82" s="537"/>
      <c r="S82" s="537"/>
      <c r="T82" s="537"/>
      <c r="U82" s="537"/>
      <c r="V82" s="537"/>
      <c r="W82" s="537"/>
      <c r="X82" s="537"/>
      <c r="Y82" s="537"/>
      <c r="Z82" s="537"/>
      <c r="AA82" s="537"/>
      <c r="AB82" s="537"/>
      <c r="AC82" s="537"/>
      <c r="AD82" s="537"/>
      <c r="AE82" s="537"/>
    </row>
    <row r="83" spans="3:31" s="538" customFormat="1" ht="15" customHeight="1">
      <c r="C83" s="537"/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  <c r="AA83" s="537"/>
      <c r="AB83" s="537"/>
      <c r="AC83" s="537"/>
      <c r="AD83" s="537"/>
      <c r="AE83" s="537"/>
    </row>
    <row r="84" spans="3:31" s="538" customFormat="1" ht="15" customHeight="1">
      <c r="C84" s="537"/>
      <c r="D84" s="537"/>
      <c r="E84" s="537"/>
      <c r="F84" s="537"/>
      <c r="G84" s="537"/>
      <c r="H84" s="537"/>
      <c r="I84" s="537"/>
      <c r="J84" s="537"/>
      <c r="K84" s="537"/>
      <c r="L84" s="537"/>
      <c r="M84" s="537"/>
      <c r="N84" s="537"/>
      <c r="O84" s="537"/>
      <c r="P84" s="537"/>
      <c r="Q84" s="537"/>
      <c r="R84" s="537"/>
      <c r="S84" s="537"/>
      <c r="T84" s="537"/>
      <c r="U84" s="537"/>
      <c r="V84" s="537"/>
      <c r="W84" s="537"/>
      <c r="X84" s="537"/>
      <c r="Y84" s="537"/>
      <c r="Z84" s="537"/>
      <c r="AA84" s="537"/>
      <c r="AB84" s="537"/>
      <c r="AC84" s="537"/>
      <c r="AD84" s="537"/>
      <c r="AE84" s="537"/>
    </row>
    <row r="85" spans="3:31" s="538" customFormat="1" ht="15" customHeight="1">
      <c r="C85" s="537"/>
      <c r="D85" s="53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  <c r="AB85" s="537"/>
      <c r="AC85" s="537"/>
      <c r="AD85" s="537"/>
      <c r="AE85" s="537"/>
    </row>
    <row r="86" spans="3:31" s="538" customFormat="1" ht="15" customHeight="1">
      <c r="C86" s="537"/>
      <c r="D86" s="537"/>
      <c r="E86" s="537"/>
      <c r="F86" s="537"/>
      <c r="G86" s="537"/>
      <c r="H86" s="537"/>
      <c r="I86" s="537"/>
      <c r="J86" s="537"/>
      <c r="K86" s="537"/>
      <c r="L86" s="537"/>
      <c r="M86" s="537"/>
      <c r="N86" s="537"/>
      <c r="O86" s="537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7"/>
      <c r="AA86" s="537"/>
      <c r="AB86" s="537"/>
      <c r="AC86" s="537"/>
      <c r="AD86" s="537"/>
      <c r="AE86" s="537"/>
    </row>
    <row r="87" spans="3:31" s="538" customFormat="1" ht="15" customHeight="1">
      <c r="C87" s="537"/>
      <c r="D87" s="537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37"/>
      <c r="W87" s="537"/>
      <c r="X87" s="537"/>
      <c r="Y87" s="537"/>
      <c r="Z87" s="537"/>
      <c r="AA87" s="537"/>
      <c r="AB87" s="537"/>
      <c r="AC87" s="537"/>
      <c r="AD87" s="537"/>
      <c r="AE87" s="537"/>
    </row>
    <row r="88" spans="3:31" s="538" customFormat="1" ht="15" customHeight="1">
      <c r="C88" s="537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</row>
    <row r="89" spans="3:31" s="538" customFormat="1" ht="15" customHeight="1">
      <c r="C89" s="537"/>
      <c r="D89" s="537"/>
      <c r="E89" s="537"/>
      <c r="F89" s="537"/>
      <c r="G89" s="537"/>
      <c r="H89" s="537"/>
      <c r="I89" s="537"/>
      <c r="J89" s="537"/>
      <c r="K89" s="537"/>
      <c r="L89" s="537"/>
      <c r="M89" s="537"/>
      <c r="N89" s="537"/>
      <c r="O89" s="537"/>
      <c r="P89" s="537"/>
      <c r="Q89" s="537"/>
      <c r="R89" s="537"/>
      <c r="S89" s="537"/>
      <c r="T89" s="537"/>
      <c r="U89" s="537"/>
      <c r="V89" s="537"/>
      <c r="W89" s="537"/>
      <c r="X89" s="537"/>
      <c r="Y89" s="537"/>
      <c r="Z89" s="537"/>
      <c r="AA89" s="537"/>
      <c r="AB89" s="537"/>
      <c r="AC89" s="537"/>
      <c r="AD89" s="537"/>
      <c r="AE89" s="537"/>
    </row>
    <row r="90" spans="3:31" s="538" customFormat="1" ht="15" customHeight="1">
      <c r="C90" s="537"/>
      <c r="D90" s="537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537"/>
      <c r="U90" s="537"/>
      <c r="V90" s="537"/>
      <c r="W90" s="537"/>
      <c r="X90" s="537"/>
      <c r="Y90" s="537"/>
      <c r="Z90" s="537"/>
      <c r="AA90" s="537"/>
      <c r="AB90" s="537"/>
      <c r="AC90" s="537"/>
      <c r="AD90" s="537"/>
      <c r="AE90" s="537"/>
    </row>
    <row r="91" spans="3:31" s="538" customFormat="1" ht="15" customHeight="1">
      <c r="C91" s="537"/>
      <c r="D91" s="537"/>
      <c r="E91" s="537"/>
      <c r="F91" s="537"/>
      <c r="G91" s="537"/>
      <c r="H91" s="537"/>
      <c r="I91" s="537"/>
      <c r="J91" s="537"/>
      <c r="K91" s="537"/>
      <c r="L91" s="537"/>
      <c r="M91" s="537"/>
      <c r="N91" s="537"/>
      <c r="O91" s="537"/>
      <c r="P91" s="537"/>
      <c r="Q91" s="537"/>
      <c r="R91" s="537"/>
      <c r="S91" s="537"/>
      <c r="T91" s="537"/>
      <c r="U91" s="537"/>
      <c r="V91" s="537"/>
      <c r="W91" s="537"/>
      <c r="X91" s="537"/>
      <c r="Y91" s="537"/>
      <c r="Z91" s="537"/>
      <c r="AA91" s="537"/>
      <c r="AB91" s="537"/>
      <c r="AC91" s="537"/>
      <c r="AD91" s="537"/>
      <c r="AE91" s="537"/>
    </row>
    <row r="92" spans="3:31" s="538" customFormat="1" ht="15" customHeight="1">
      <c r="C92" s="537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7"/>
      <c r="P92" s="537"/>
      <c r="Q92" s="537"/>
      <c r="R92" s="537"/>
      <c r="S92" s="537"/>
      <c r="T92" s="537"/>
      <c r="U92" s="537"/>
      <c r="V92" s="537"/>
      <c r="W92" s="537"/>
      <c r="X92" s="537"/>
      <c r="Y92" s="537"/>
      <c r="Z92" s="537"/>
      <c r="AA92" s="537"/>
      <c r="AB92" s="537"/>
      <c r="AC92" s="537"/>
      <c r="AD92" s="537"/>
      <c r="AE92" s="537"/>
    </row>
    <row r="93" spans="3:31" s="538" customFormat="1" ht="15" customHeight="1">
      <c r="C93" s="537"/>
      <c r="D93" s="537"/>
      <c r="E93" s="537"/>
      <c r="F93" s="537"/>
      <c r="G93" s="537"/>
      <c r="H93" s="537"/>
      <c r="I93" s="537"/>
      <c r="J93" s="537"/>
      <c r="K93" s="537"/>
      <c r="L93" s="537"/>
      <c r="M93" s="537"/>
      <c r="N93" s="537"/>
      <c r="O93" s="537"/>
      <c r="P93" s="537"/>
      <c r="Q93" s="537"/>
      <c r="R93" s="537"/>
      <c r="S93" s="537"/>
      <c r="T93" s="537"/>
      <c r="U93" s="537"/>
      <c r="V93" s="537"/>
      <c r="W93" s="537"/>
      <c r="X93" s="537"/>
      <c r="Y93" s="537"/>
      <c r="Z93" s="537"/>
      <c r="AA93" s="537"/>
      <c r="AB93" s="537"/>
      <c r="AC93" s="537"/>
      <c r="AD93" s="537"/>
      <c r="AE93" s="537"/>
    </row>
    <row r="94" spans="3:31" s="538" customFormat="1" ht="15" customHeight="1">
      <c r="C94" s="537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7"/>
      <c r="Z94" s="537"/>
      <c r="AA94" s="537"/>
      <c r="AB94" s="537"/>
      <c r="AC94" s="537"/>
      <c r="AD94" s="537"/>
      <c r="AE94" s="537"/>
    </row>
    <row r="95" spans="3:31" s="538" customFormat="1" ht="15" customHeight="1">
      <c r="C95" s="537"/>
      <c r="D95" s="537"/>
      <c r="E95" s="537"/>
      <c r="F95" s="537"/>
      <c r="G95" s="537"/>
      <c r="H95" s="537"/>
      <c r="I95" s="537"/>
      <c r="J95" s="537"/>
      <c r="K95" s="537"/>
      <c r="L95" s="537"/>
      <c r="M95" s="537"/>
      <c r="N95" s="537"/>
      <c r="O95" s="537"/>
      <c r="P95" s="537"/>
      <c r="Q95" s="537"/>
      <c r="R95" s="537"/>
      <c r="S95" s="537"/>
      <c r="T95" s="537"/>
      <c r="U95" s="537"/>
      <c r="V95" s="537"/>
      <c r="W95" s="537"/>
      <c r="X95" s="537"/>
      <c r="Y95" s="537"/>
      <c r="Z95" s="537"/>
      <c r="AA95" s="537"/>
      <c r="AB95" s="537"/>
      <c r="AC95" s="537"/>
      <c r="AD95" s="537"/>
      <c r="AE95" s="537"/>
    </row>
    <row r="96" spans="3:31" s="538" customFormat="1" ht="12" customHeight="1">
      <c r="C96" s="537"/>
      <c r="D96" s="537"/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37"/>
      <c r="S96" s="537"/>
      <c r="T96" s="537"/>
      <c r="U96" s="537"/>
      <c r="V96" s="537"/>
      <c r="W96" s="537"/>
      <c r="X96" s="537"/>
      <c r="Y96" s="537"/>
      <c r="Z96" s="537"/>
      <c r="AA96" s="537"/>
      <c r="AB96" s="537"/>
      <c r="AC96" s="537"/>
      <c r="AD96" s="537"/>
      <c r="AE96" s="537"/>
    </row>
    <row r="97" spans="3:31" s="538" customFormat="1" ht="12" customHeight="1">
      <c r="C97" s="537"/>
      <c r="D97" s="537"/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537"/>
      <c r="U97" s="537"/>
      <c r="V97" s="537"/>
      <c r="W97" s="537"/>
      <c r="X97" s="537"/>
      <c r="Y97" s="537"/>
      <c r="Z97" s="537"/>
      <c r="AA97" s="537"/>
      <c r="AB97" s="537"/>
      <c r="AC97" s="537"/>
      <c r="AD97" s="537"/>
      <c r="AE97" s="537"/>
    </row>
    <row r="98" spans="3:31" s="538" customFormat="1" ht="12" customHeight="1">
      <c r="C98" s="537"/>
      <c r="D98" s="537"/>
      <c r="E98" s="537"/>
      <c r="F98" s="537"/>
      <c r="G98" s="537"/>
      <c r="H98" s="537"/>
      <c r="I98" s="537"/>
      <c r="J98" s="537"/>
      <c r="K98" s="537"/>
      <c r="L98" s="537"/>
      <c r="M98" s="537"/>
      <c r="N98" s="537"/>
      <c r="O98" s="537"/>
      <c r="P98" s="537"/>
      <c r="Q98" s="537"/>
      <c r="R98" s="537"/>
      <c r="S98" s="537"/>
      <c r="T98" s="537"/>
      <c r="U98" s="537"/>
      <c r="V98" s="537"/>
      <c r="W98" s="537"/>
      <c r="X98" s="537"/>
      <c r="Y98" s="537"/>
      <c r="Z98" s="537"/>
      <c r="AA98" s="537"/>
      <c r="AB98" s="537"/>
      <c r="AC98" s="537"/>
      <c r="AD98" s="537"/>
      <c r="AE98" s="537"/>
    </row>
    <row r="99" spans="3:31" s="538" customFormat="1" ht="12" customHeight="1">
      <c r="C99" s="537"/>
      <c r="D99" s="537"/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537"/>
      <c r="P99" s="537"/>
      <c r="Q99" s="537"/>
      <c r="R99" s="537"/>
      <c r="S99" s="537"/>
      <c r="T99" s="537"/>
      <c r="U99" s="537"/>
      <c r="V99" s="537"/>
      <c r="W99" s="537"/>
      <c r="X99" s="537"/>
      <c r="Y99" s="537"/>
      <c r="Z99" s="537"/>
      <c r="AA99" s="537"/>
      <c r="AB99" s="537"/>
      <c r="AC99" s="537"/>
      <c r="AD99" s="537"/>
      <c r="AE99" s="537"/>
    </row>
    <row r="100" spans="3:31" s="538" customFormat="1" ht="12" customHeight="1">
      <c r="C100" s="537"/>
      <c r="D100" s="537"/>
      <c r="E100" s="537"/>
      <c r="F100" s="537"/>
      <c r="G100" s="537"/>
      <c r="H100" s="537"/>
      <c r="I100" s="537"/>
      <c r="J100" s="537"/>
      <c r="K100" s="537"/>
      <c r="L100" s="537"/>
      <c r="M100" s="537"/>
      <c r="N100" s="537"/>
      <c r="O100" s="537"/>
      <c r="P100" s="537"/>
      <c r="Q100" s="537"/>
      <c r="R100" s="537"/>
      <c r="S100" s="537"/>
      <c r="T100" s="537"/>
      <c r="U100" s="537"/>
      <c r="V100" s="537"/>
      <c r="W100" s="537"/>
      <c r="X100" s="537"/>
      <c r="Y100" s="537"/>
      <c r="Z100" s="537"/>
      <c r="AA100" s="537"/>
      <c r="AB100" s="537"/>
      <c r="AC100" s="537"/>
      <c r="AD100" s="537"/>
      <c r="AE100" s="537"/>
    </row>
    <row r="101" spans="3:31" s="538" customFormat="1" ht="12" customHeight="1">
      <c r="C101" s="537"/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537"/>
      <c r="U101" s="537"/>
      <c r="V101" s="537"/>
      <c r="W101" s="537"/>
      <c r="X101" s="537"/>
      <c r="Y101" s="537"/>
      <c r="Z101" s="537"/>
      <c r="AA101" s="537"/>
      <c r="AB101" s="537"/>
      <c r="AC101" s="537"/>
      <c r="AD101" s="537"/>
      <c r="AE101" s="537"/>
    </row>
    <row r="102" spans="3:31" s="538" customFormat="1" ht="12" customHeight="1">
      <c r="C102" s="537"/>
      <c r="D102" s="537"/>
      <c r="E102" s="537"/>
      <c r="F102" s="537"/>
      <c r="G102" s="537"/>
      <c r="H102" s="537"/>
      <c r="I102" s="537"/>
      <c r="J102" s="537"/>
      <c r="K102" s="537"/>
      <c r="L102" s="537"/>
      <c r="M102" s="537"/>
      <c r="N102" s="537"/>
      <c r="O102" s="537"/>
      <c r="P102" s="537"/>
      <c r="Q102" s="537"/>
      <c r="R102" s="537"/>
      <c r="S102" s="537"/>
      <c r="T102" s="537"/>
      <c r="U102" s="537"/>
      <c r="V102" s="537"/>
      <c r="W102" s="537"/>
      <c r="X102" s="537"/>
      <c r="Y102" s="537"/>
      <c r="Z102" s="537"/>
      <c r="AA102" s="537"/>
      <c r="AB102" s="537"/>
      <c r="AC102" s="537"/>
      <c r="AD102" s="537"/>
      <c r="AE102" s="537"/>
    </row>
    <row r="103" spans="3:31" s="538" customFormat="1" ht="12" customHeight="1">
      <c r="C103" s="537"/>
      <c r="D103" s="537"/>
      <c r="E103" s="537"/>
      <c r="F103" s="537"/>
      <c r="G103" s="537"/>
      <c r="H103" s="537"/>
      <c r="I103" s="537"/>
      <c r="J103" s="537"/>
      <c r="K103" s="537"/>
      <c r="L103" s="537"/>
      <c r="M103" s="537"/>
      <c r="N103" s="537"/>
      <c r="O103" s="537"/>
      <c r="P103" s="537"/>
      <c r="Q103" s="537"/>
      <c r="R103" s="537"/>
      <c r="S103" s="537"/>
      <c r="T103" s="537"/>
      <c r="U103" s="537"/>
      <c r="V103" s="537"/>
      <c r="W103" s="537"/>
      <c r="X103" s="537"/>
      <c r="Y103" s="537"/>
      <c r="Z103" s="537"/>
      <c r="AA103" s="537"/>
      <c r="AB103" s="537"/>
      <c r="AC103" s="537"/>
      <c r="AD103" s="537"/>
      <c r="AE103" s="537"/>
    </row>
    <row r="104" spans="3:31" s="538" customFormat="1" ht="12" customHeight="1">
      <c r="C104" s="537"/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  <c r="AA104" s="537"/>
      <c r="AB104" s="537"/>
      <c r="AC104" s="537"/>
      <c r="AD104" s="537"/>
      <c r="AE104" s="537"/>
    </row>
    <row r="105" spans="3:31" s="538" customFormat="1" ht="12" customHeight="1">
      <c r="C105" s="537"/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537"/>
      <c r="U105" s="537"/>
      <c r="V105" s="537"/>
      <c r="W105" s="537"/>
      <c r="X105" s="537"/>
      <c r="Y105" s="537"/>
      <c r="Z105" s="537"/>
      <c r="AA105" s="537"/>
      <c r="AB105" s="537"/>
      <c r="AC105" s="537"/>
      <c r="AD105" s="537"/>
      <c r="AE105" s="537"/>
    </row>
    <row r="106" spans="3:31" s="538" customFormat="1" ht="12" customHeight="1">
      <c r="C106" s="537"/>
      <c r="D106" s="537"/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7"/>
      <c r="P106" s="537"/>
      <c r="Q106" s="537"/>
      <c r="R106" s="537"/>
      <c r="S106" s="537"/>
      <c r="T106" s="537"/>
      <c r="U106" s="537"/>
      <c r="V106" s="537"/>
      <c r="W106" s="537"/>
      <c r="X106" s="537"/>
      <c r="Y106" s="537"/>
      <c r="Z106" s="537"/>
      <c r="AA106" s="537"/>
      <c r="AB106" s="537"/>
      <c r="AC106" s="537"/>
      <c r="AD106" s="537"/>
      <c r="AE106" s="537"/>
    </row>
    <row r="107" spans="3:31" s="538" customFormat="1" ht="12" customHeight="1">
      <c r="C107" s="537"/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  <c r="P107" s="537"/>
      <c r="Q107" s="537"/>
      <c r="R107" s="537"/>
      <c r="S107" s="537"/>
      <c r="T107" s="537"/>
      <c r="U107" s="537"/>
      <c r="V107" s="537"/>
      <c r="W107" s="537"/>
      <c r="X107" s="537"/>
      <c r="Y107" s="537"/>
      <c r="Z107" s="537"/>
      <c r="AA107" s="537"/>
      <c r="AB107" s="537"/>
      <c r="AC107" s="537"/>
      <c r="AD107" s="537"/>
      <c r="AE107" s="537"/>
    </row>
    <row r="108" spans="3:31" s="538" customFormat="1" ht="12" customHeight="1">
      <c r="C108" s="537"/>
      <c r="D108" s="537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37"/>
      <c r="P108" s="537"/>
      <c r="Q108" s="537"/>
      <c r="R108" s="537"/>
      <c r="S108" s="537"/>
      <c r="T108" s="537"/>
      <c r="U108" s="537"/>
      <c r="V108" s="537"/>
      <c r="W108" s="537"/>
      <c r="X108" s="537"/>
      <c r="Y108" s="537"/>
      <c r="Z108" s="537"/>
      <c r="AA108" s="537"/>
      <c r="AB108" s="537"/>
      <c r="AC108" s="537"/>
      <c r="AD108" s="537"/>
      <c r="AE108" s="537"/>
    </row>
    <row r="109" spans="3:31" s="538" customFormat="1" ht="12" customHeight="1">
      <c r="C109" s="537"/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  <c r="AA109" s="537"/>
      <c r="AB109" s="537"/>
      <c r="AC109" s="537"/>
      <c r="AD109" s="537"/>
      <c r="AE109" s="537"/>
    </row>
    <row r="110" spans="3:31" s="538" customFormat="1" ht="12" customHeight="1">
      <c r="C110" s="537"/>
      <c r="D110" s="537"/>
      <c r="E110" s="537"/>
      <c r="F110" s="537"/>
      <c r="G110" s="537"/>
      <c r="H110" s="537"/>
      <c r="I110" s="537"/>
      <c r="J110" s="537"/>
      <c r="K110" s="537"/>
      <c r="L110" s="537"/>
      <c r="M110" s="537"/>
      <c r="N110" s="537"/>
      <c r="O110" s="537"/>
      <c r="P110" s="537"/>
      <c r="Q110" s="537"/>
      <c r="R110" s="537"/>
      <c r="S110" s="537"/>
      <c r="T110" s="537"/>
      <c r="U110" s="537"/>
      <c r="V110" s="537"/>
      <c r="W110" s="537"/>
      <c r="X110" s="537"/>
      <c r="Y110" s="537"/>
      <c r="Z110" s="537"/>
      <c r="AA110" s="537"/>
      <c r="AB110" s="537"/>
      <c r="AC110" s="537"/>
      <c r="AD110" s="537"/>
      <c r="AE110" s="537"/>
    </row>
    <row r="111" spans="3:31" s="538" customFormat="1" ht="12" customHeight="1">
      <c r="C111" s="537"/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  <c r="Q111" s="537"/>
      <c r="R111" s="537"/>
      <c r="S111" s="537"/>
      <c r="T111" s="537"/>
      <c r="U111" s="537"/>
      <c r="V111" s="537"/>
      <c r="W111" s="537"/>
      <c r="X111" s="537"/>
      <c r="Y111" s="537"/>
      <c r="Z111" s="537"/>
      <c r="AA111" s="537"/>
      <c r="AB111" s="537"/>
      <c r="AC111" s="537"/>
      <c r="AD111" s="537"/>
      <c r="AE111" s="537"/>
    </row>
    <row r="112" spans="3:31" s="538" customFormat="1" ht="12" customHeight="1">
      <c r="C112" s="537"/>
      <c r="D112" s="537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  <c r="Q112" s="537"/>
      <c r="R112" s="537"/>
      <c r="S112" s="537"/>
      <c r="T112" s="537"/>
      <c r="U112" s="537"/>
      <c r="V112" s="537"/>
      <c r="W112" s="537"/>
      <c r="X112" s="537"/>
      <c r="Y112" s="537"/>
      <c r="Z112" s="537"/>
      <c r="AA112" s="537"/>
      <c r="AB112" s="537"/>
      <c r="AC112" s="537"/>
      <c r="AD112" s="537"/>
      <c r="AE112" s="537"/>
    </row>
    <row r="113" spans="3:31" s="538" customFormat="1" ht="12" customHeight="1">
      <c r="C113" s="537"/>
      <c r="D113" s="537"/>
      <c r="E113" s="537"/>
      <c r="F113" s="537"/>
      <c r="G113" s="537"/>
      <c r="H113" s="537"/>
      <c r="I113" s="537"/>
      <c r="J113" s="537"/>
      <c r="K113" s="537"/>
      <c r="L113" s="537"/>
      <c r="M113" s="537"/>
      <c r="N113" s="537"/>
      <c r="O113" s="537"/>
      <c r="P113" s="537"/>
      <c r="Q113" s="537"/>
      <c r="R113" s="537"/>
      <c r="S113" s="537"/>
      <c r="T113" s="537"/>
      <c r="U113" s="537"/>
      <c r="V113" s="537"/>
      <c r="W113" s="537"/>
      <c r="X113" s="537"/>
      <c r="Y113" s="537"/>
      <c r="Z113" s="537"/>
      <c r="AA113" s="537"/>
      <c r="AB113" s="537"/>
      <c r="AC113" s="537"/>
      <c r="AD113" s="537"/>
      <c r="AE113" s="537"/>
    </row>
    <row r="114" spans="3:31" s="538" customFormat="1" ht="12" customHeight="1">
      <c r="C114" s="537"/>
      <c r="D114" s="537"/>
      <c r="E114" s="537"/>
      <c r="F114" s="537"/>
      <c r="G114" s="537"/>
      <c r="H114" s="537"/>
      <c r="I114" s="537"/>
      <c r="J114" s="537"/>
      <c r="K114" s="537"/>
      <c r="L114" s="537"/>
      <c r="M114" s="537"/>
      <c r="N114" s="537"/>
      <c r="O114" s="537"/>
      <c r="P114" s="537"/>
      <c r="Q114" s="537"/>
      <c r="R114" s="537"/>
      <c r="S114" s="537"/>
      <c r="T114" s="537"/>
      <c r="U114" s="537"/>
      <c r="V114" s="537"/>
      <c r="W114" s="537"/>
      <c r="X114" s="537"/>
      <c r="Y114" s="537"/>
      <c r="Z114" s="537"/>
      <c r="AA114" s="537"/>
      <c r="AB114" s="537"/>
      <c r="AC114" s="537"/>
      <c r="AD114" s="537"/>
      <c r="AE114" s="537"/>
    </row>
    <row r="115" spans="3:31" s="538" customFormat="1" ht="12" customHeight="1">
      <c r="C115" s="537"/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  <c r="Q115" s="537"/>
      <c r="R115" s="537"/>
      <c r="S115" s="537"/>
      <c r="T115" s="537"/>
      <c r="U115" s="537"/>
      <c r="V115" s="537"/>
      <c r="W115" s="537"/>
      <c r="X115" s="537"/>
      <c r="Y115" s="537"/>
      <c r="Z115" s="537"/>
      <c r="AA115" s="537"/>
      <c r="AB115" s="537"/>
      <c r="AC115" s="537"/>
      <c r="AD115" s="537"/>
      <c r="AE115" s="537"/>
    </row>
    <row r="116" spans="3:31" s="538" customFormat="1" ht="12" customHeight="1">
      <c r="C116" s="537"/>
      <c r="D116" s="537"/>
      <c r="E116" s="537"/>
      <c r="F116" s="537"/>
      <c r="G116" s="537"/>
      <c r="H116" s="537"/>
      <c r="I116" s="537"/>
      <c r="J116" s="537"/>
      <c r="K116" s="537"/>
      <c r="L116" s="537"/>
      <c r="M116" s="537"/>
      <c r="N116" s="537"/>
      <c r="O116" s="537"/>
      <c r="P116" s="537"/>
      <c r="Q116" s="537"/>
      <c r="R116" s="537"/>
      <c r="S116" s="537"/>
      <c r="T116" s="537"/>
      <c r="U116" s="537"/>
      <c r="V116" s="537"/>
      <c r="W116" s="537"/>
      <c r="X116" s="537"/>
      <c r="Y116" s="537"/>
      <c r="Z116" s="537"/>
      <c r="AA116" s="537"/>
      <c r="AB116" s="537"/>
      <c r="AC116" s="537"/>
      <c r="AD116" s="537"/>
      <c r="AE116" s="537"/>
    </row>
    <row r="117" spans="3:31" s="538" customFormat="1" ht="12" customHeight="1">
      <c r="C117" s="537"/>
      <c r="D117" s="537"/>
      <c r="E117" s="537"/>
      <c r="F117" s="537"/>
      <c r="G117" s="537"/>
      <c r="H117" s="537"/>
      <c r="I117" s="537"/>
      <c r="J117" s="537"/>
      <c r="K117" s="537"/>
      <c r="L117" s="537"/>
      <c r="M117" s="537"/>
      <c r="N117" s="537"/>
      <c r="O117" s="537"/>
      <c r="P117" s="537"/>
      <c r="Q117" s="537"/>
      <c r="R117" s="537"/>
      <c r="S117" s="537"/>
      <c r="T117" s="537"/>
      <c r="U117" s="537"/>
      <c r="V117" s="537"/>
      <c r="W117" s="537"/>
      <c r="X117" s="537"/>
      <c r="Y117" s="537"/>
      <c r="Z117" s="537"/>
      <c r="AA117" s="537"/>
      <c r="AB117" s="537"/>
      <c r="AC117" s="537"/>
      <c r="AD117" s="537"/>
      <c r="AE117" s="537"/>
    </row>
    <row r="118" spans="3:31" s="538" customFormat="1" ht="12" customHeight="1">
      <c r="C118" s="537"/>
      <c r="D118" s="537"/>
      <c r="E118" s="537"/>
      <c r="F118" s="537"/>
      <c r="G118" s="537"/>
      <c r="H118" s="537"/>
      <c r="I118" s="537"/>
      <c r="J118" s="537"/>
      <c r="K118" s="537"/>
      <c r="L118" s="537"/>
      <c r="M118" s="537"/>
      <c r="N118" s="537"/>
      <c r="O118" s="537"/>
      <c r="P118" s="537"/>
      <c r="Q118" s="537"/>
      <c r="R118" s="537"/>
      <c r="S118" s="537"/>
      <c r="T118" s="537"/>
      <c r="U118" s="537"/>
      <c r="V118" s="537"/>
      <c r="W118" s="537"/>
      <c r="X118" s="537"/>
      <c r="Y118" s="537"/>
      <c r="Z118" s="537"/>
      <c r="AA118" s="537"/>
      <c r="AB118" s="537"/>
      <c r="AC118" s="537"/>
      <c r="AD118" s="537"/>
      <c r="AE118" s="537"/>
    </row>
    <row r="119" spans="3:31" s="538" customFormat="1" ht="12" customHeight="1">
      <c r="C119" s="537"/>
      <c r="D119" s="537"/>
      <c r="E119" s="537"/>
      <c r="F119" s="537"/>
      <c r="G119" s="537"/>
      <c r="H119" s="537"/>
      <c r="I119" s="537"/>
      <c r="J119" s="537"/>
      <c r="K119" s="537"/>
      <c r="L119" s="537"/>
      <c r="M119" s="537"/>
      <c r="N119" s="537"/>
      <c r="O119" s="537"/>
      <c r="P119" s="537"/>
      <c r="Q119" s="537"/>
      <c r="R119" s="537"/>
      <c r="S119" s="537"/>
      <c r="T119" s="537"/>
      <c r="U119" s="537"/>
      <c r="V119" s="537"/>
      <c r="W119" s="537"/>
      <c r="X119" s="537"/>
      <c r="Y119" s="537"/>
      <c r="Z119" s="537"/>
      <c r="AA119" s="537"/>
      <c r="AB119" s="537"/>
      <c r="AC119" s="537"/>
      <c r="AD119" s="537"/>
      <c r="AE119" s="537"/>
    </row>
    <row r="120" spans="3:31" s="538" customFormat="1" ht="12" customHeight="1">
      <c r="C120" s="537"/>
      <c r="D120" s="537"/>
      <c r="E120" s="537"/>
      <c r="F120" s="537"/>
      <c r="G120" s="537"/>
      <c r="H120" s="537"/>
      <c r="I120" s="537"/>
      <c r="J120" s="537"/>
      <c r="K120" s="537"/>
      <c r="L120" s="537"/>
      <c r="M120" s="537"/>
      <c r="N120" s="537"/>
      <c r="O120" s="537"/>
      <c r="P120" s="537"/>
      <c r="Q120" s="537"/>
      <c r="R120" s="537"/>
      <c r="S120" s="537"/>
      <c r="T120" s="537"/>
      <c r="U120" s="537"/>
      <c r="V120" s="537"/>
      <c r="W120" s="537"/>
      <c r="X120" s="537"/>
      <c r="Y120" s="537"/>
      <c r="Z120" s="537"/>
      <c r="AA120" s="537"/>
      <c r="AB120" s="537"/>
      <c r="AC120" s="537"/>
      <c r="AD120" s="537"/>
      <c r="AE120" s="537"/>
    </row>
    <row r="121" spans="3:31" s="538" customFormat="1" ht="12" customHeight="1">
      <c r="C121" s="537"/>
      <c r="D121" s="537"/>
      <c r="E121" s="537"/>
      <c r="F121" s="537"/>
      <c r="G121" s="537"/>
      <c r="H121" s="537"/>
      <c r="I121" s="537"/>
      <c r="J121" s="537"/>
      <c r="K121" s="537"/>
      <c r="L121" s="537"/>
      <c r="M121" s="537"/>
      <c r="N121" s="537"/>
      <c r="O121" s="537"/>
      <c r="P121" s="537"/>
      <c r="Q121" s="537"/>
      <c r="R121" s="537"/>
      <c r="S121" s="537"/>
      <c r="T121" s="537"/>
      <c r="U121" s="537"/>
      <c r="V121" s="537"/>
      <c r="W121" s="537"/>
      <c r="X121" s="537"/>
      <c r="Y121" s="537"/>
      <c r="Z121" s="537"/>
      <c r="AA121" s="537"/>
      <c r="AB121" s="537"/>
      <c r="AC121" s="537"/>
      <c r="AD121" s="537"/>
      <c r="AE121" s="537"/>
    </row>
    <row r="122" spans="3:31" s="520" customFormat="1" ht="11.25">
      <c r="C122" s="539"/>
      <c r="D122" s="539"/>
      <c r="E122" s="539"/>
      <c r="F122" s="539"/>
      <c r="G122" s="539"/>
      <c r="H122" s="539"/>
      <c r="I122" s="539"/>
      <c r="J122" s="539"/>
      <c r="K122" s="539"/>
      <c r="L122" s="539"/>
      <c r="M122" s="539"/>
      <c r="N122" s="539"/>
      <c r="O122" s="539"/>
      <c r="P122" s="539"/>
      <c r="Q122" s="539"/>
      <c r="R122" s="539"/>
      <c r="S122" s="539"/>
      <c r="T122" s="539"/>
      <c r="U122" s="539"/>
      <c r="V122" s="539"/>
      <c r="W122" s="539"/>
      <c r="X122" s="539"/>
      <c r="Y122" s="539"/>
      <c r="Z122" s="539"/>
      <c r="AA122" s="539"/>
      <c r="AB122" s="539"/>
      <c r="AC122" s="539"/>
      <c r="AD122" s="539"/>
      <c r="AE122" s="539"/>
    </row>
    <row r="123" s="520" customFormat="1" ht="11.25"/>
    <row r="124" s="540" customFormat="1" ht="12"/>
    <row r="125" s="540" customFormat="1" ht="12"/>
    <row r="126" s="540" customFormat="1" ht="12"/>
    <row r="127" s="540" customFormat="1" ht="12"/>
  </sheetData>
  <mergeCells count="19">
    <mergeCell ref="E7:F8"/>
    <mergeCell ref="G7:H8"/>
    <mergeCell ref="I7:J8"/>
    <mergeCell ref="A3:AD3"/>
    <mergeCell ref="A6:B9"/>
    <mergeCell ref="AC6:AD8"/>
    <mergeCell ref="Q6:X6"/>
    <mergeCell ref="Y6:AB6"/>
    <mergeCell ref="E6:P6"/>
    <mergeCell ref="K7:L8"/>
    <mergeCell ref="M7:N8"/>
    <mergeCell ref="O7:P8"/>
    <mergeCell ref="Q7:R8"/>
    <mergeCell ref="S7:T8"/>
    <mergeCell ref="U7:V8"/>
    <mergeCell ref="W7:X8"/>
    <mergeCell ref="Y7:Z8"/>
    <mergeCell ref="AA7:AB8"/>
    <mergeCell ref="C6:D8"/>
  </mergeCells>
  <printOptions horizontalCentered="1"/>
  <pageMargins left="0.15748031496062992" right="0.1968503937007874" top="0.2362204724409449" bottom="0.15748031496062992" header="0.2362204724409449" footer="0.15748031496062992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workbookViewId="0" topLeftCell="A1">
      <selection activeCell="E23" sqref="E23"/>
    </sheetView>
  </sheetViews>
  <sheetFormatPr defaultColWidth="9.00390625" defaultRowHeight="12.75"/>
  <cols>
    <col min="1" max="1" width="12.875" style="0" customWidth="1"/>
    <col min="2" max="2" width="9.125" style="0" customWidth="1"/>
    <col min="3" max="3" width="41.25390625" style="0" customWidth="1"/>
    <col min="4" max="4" width="11.25390625" style="0" bestFit="1" customWidth="1"/>
    <col min="5" max="5" width="11.25390625" style="0" customWidth="1"/>
    <col min="6" max="6" width="9.25390625" style="0" bestFit="1" customWidth="1"/>
    <col min="7" max="7" width="9.25390625" style="0" customWidth="1"/>
    <col min="8" max="8" width="9.625" style="0" bestFit="1" customWidth="1"/>
    <col min="9" max="9" width="9.625" style="0" customWidth="1"/>
    <col min="10" max="10" width="9.25390625" style="0" bestFit="1" customWidth="1"/>
    <col min="11" max="11" width="9.25390625" style="0" customWidth="1"/>
    <col min="12" max="12" width="9.25390625" style="0" bestFit="1" customWidth="1"/>
    <col min="13" max="13" width="9.25390625" style="0" customWidth="1"/>
    <col min="14" max="14" width="9.25390625" style="0" bestFit="1" customWidth="1"/>
    <col min="15" max="15" width="9.25390625" style="0" customWidth="1"/>
    <col min="16" max="16" width="9.25390625" style="0" bestFit="1" customWidth="1"/>
    <col min="17" max="17" width="9.25390625" style="0" customWidth="1"/>
    <col min="18" max="18" width="9.625" style="0" bestFit="1" customWidth="1"/>
    <col min="19" max="19" width="9.625" style="0" customWidth="1"/>
    <col min="20" max="20" width="8.75390625" style="0" customWidth="1"/>
    <col min="21" max="21" width="9.25390625" style="0" customWidth="1"/>
  </cols>
  <sheetData>
    <row r="1" spans="3:5" ht="12.75">
      <c r="C1" s="360" t="s">
        <v>847</v>
      </c>
      <c r="D1" s="157" t="str">
        <f>'bev-int'!B1</f>
        <v>melléklet a 12/2020.(IX.17.) önkormányzati rendelethez</v>
      </c>
      <c r="E1" s="157"/>
    </row>
    <row r="4" spans="2:21" ht="12.75">
      <c r="B4" s="1087" t="s">
        <v>788</v>
      </c>
      <c r="C4" s="1087"/>
      <c r="D4" s="1087"/>
      <c r="E4" s="1087"/>
      <c r="F4" s="1087"/>
      <c r="G4" s="1087"/>
      <c r="H4" s="1087"/>
      <c r="I4" s="1087"/>
      <c r="J4" s="1087"/>
      <c r="K4" s="1087"/>
      <c r="L4" s="1087"/>
      <c r="M4" s="1087"/>
      <c r="N4" s="1087"/>
      <c r="O4" s="1087"/>
      <c r="P4" s="1087"/>
      <c r="Q4" s="1087"/>
      <c r="R4" s="1087"/>
      <c r="S4" s="1087"/>
      <c r="T4" s="1087"/>
      <c r="U4" s="1087"/>
    </row>
    <row r="5" spans="2:21" ht="12.75">
      <c r="B5" s="359"/>
      <c r="C5" s="359"/>
      <c r="D5" s="396"/>
      <c r="E5" s="359"/>
      <c r="F5" s="396"/>
      <c r="G5" s="359"/>
      <c r="H5" s="396"/>
      <c r="I5" s="359"/>
      <c r="J5" s="396"/>
      <c r="K5" s="359"/>
      <c r="L5" s="396"/>
      <c r="M5" s="359"/>
      <c r="N5" s="396"/>
      <c r="O5" s="359"/>
      <c r="P5" s="396"/>
      <c r="Q5" s="359"/>
      <c r="R5" s="396"/>
      <c r="S5" s="359"/>
      <c r="T5" s="396"/>
      <c r="U5" s="359"/>
    </row>
    <row r="6" spans="2:21" ht="13.5" thickBot="1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T6" s="123" t="s">
        <v>59</v>
      </c>
      <c r="U6" s="123"/>
    </row>
    <row r="7" spans="2:21" ht="19.5" customHeight="1">
      <c r="B7" s="1060" t="s">
        <v>44</v>
      </c>
      <c r="C7" s="1054"/>
      <c r="D7" s="1053" t="s">
        <v>239</v>
      </c>
      <c r="E7" s="1054"/>
      <c r="F7" s="1074" t="s">
        <v>91</v>
      </c>
      <c r="G7" s="1075"/>
      <c r="H7" s="1075"/>
      <c r="I7" s="1075"/>
      <c r="J7" s="1075"/>
      <c r="K7" s="1076"/>
      <c r="L7" s="1074" t="s">
        <v>135</v>
      </c>
      <c r="M7" s="1075"/>
      <c r="N7" s="1075"/>
      <c r="O7" s="1075"/>
      <c r="P7" s="1075"/>
      <c r="Q7" s="1076"/>
      <c r="R7" s="1074" t="s">
        <v>68</v>
      </c>
      <c r="S7" s="1075"/>
      <c r="T7" s="1075"/>
      <c r="U7" s="1079"/>
    </row>
    <row r="8" spans="2:21" ht="13.5" customHeight="1">
      <c r="B8" s="1061"/>
      <c r="C8" s="1056"/>
      <c r="D8" s="1055"/>
      <c r="E8" s="1056"/>
      <c r="F8" s="1090" t="str">
        <f>'bev-int'!A15</f>
        <v>Működési célú támogatások ÁH belülről</v>
      </c>
      <c r="G8" s="1094"/>
      <c r="H8" s="1090" t="str">
        <f>'bev-int'!A27</f>
        <v>Működési bevételek</v>
      </c>
      <c r="I8" s="1094"/>
      <c r="J8" s="1090" t="str">
        <f>'bev-int'!A29</f>
        <v>Működési célú átvett pénzeszközök</v>
      </c>
      <c r="K8" s="1094"/>
      <c r="L8" s="1090" t="str">
        <f>'bev-int'!A21</f>
        <v>Felhalmozási célú támogatások ÁH belülről</v>
      </c>
      <c r="M8" s="1094"/>
      <c r="N8" s="1090" t="str">
        <f>'bev-int'!A28</f>
        <v>Felhalmozási bevételek</v>
      </c>
      <c r="O8" s="1094"/>
      <c r="P8" s="1090" t="str">
        <f>'bev-int'!A30</f>
        <v>Felhalmozási célú átvett pénzeszközök</v>
      </c>
      <c r="Q8" s="1094"/>
      <c r="R8" s="1088" t="str">
        <f>'bev-int'!A37</f>
        <v>Központi, irányító szervi támogatás</v>
      </c>
      <c r="S8" s="1089"/>
      <c r="T8" s="1090" t="str">
        <f>'bev-int'!A34</f>
        <v>Maradvány igénybevétele</v>
      </c>
      <c r="U8" s="1091"/>
    </row>
    <row r="9" spans="2:21" ht="19.5" customHeight="1" thickBot="1">
      <c r="B9" s="1061"/>
      <c r="C9" s="1056"/>
      <c r="D9" s="1057"/>
      <c r="E9" s="1058"/>
      <c r="F9" s="1051"/>
      <c r="G9" s="1052"/>
      <c r="H9" s="1051"/>
      <c r="I9" s="1052"/>
      <c r="J9" s="1051"/>
      <c r="K9" s="1052"/>
      <c r="L9" s="1051"/>
      <c r="M9" s="1052"/>
      <c r="N9" s="1051"/>
      <c r="O9" s="1052"/>
      <c r="P9" s="1051"/>
      <c r="Q9" s="1052"/>
      <c r="R9" s="1047"/>
      <c r="S9" s="1048"/>
      <c r="T9" s="1051"/>
      <c r="U9" s="1078"/>
    </row>
    <row r="10" spans="2:21" ht="18.75" customHeight="1" thickBot="1">
      <c r="B10" s="1061"/>
      <c r="C10" s="1056"/>
      <c r="D10" s="403" t="s">
        <v>616</v>
      </c>
      <c r="E10" s="401" t="s">
        <v>617</v>
      </c>
      <c r="F10" s="403" t="s">
        <v>616</v>
      </c>
      <c r="G10" s="401" t="s">
        <v>617</v>
      </c>
      <c r="H10" s="403" t="s">
        <v>616</v>
      </c>
      <c r="I10" s="401" t="s">
        <v>617</v>
      </c>
      <c r="J10" s="403" t="s">
        <v>616</v>
      </c>
      <c r="K10" s="401" t="s">
        <v>617</v>
      </c>
      <c r="L10" s="403" t="s">
        <v>616</v>
      </c>
      <c r="M10" s="401" t="s">
        <v>617</v>
      </c>
      <c r="N10" s="403" t="s">
        <v>616</v>
      </c>
      <c r="O10" s="401" t="s">
        <v>617</v>
      </c>
      <c r="P10" s="403" t="s">
        <v>616</v>
      </c>
      <c r="Q10" s="401" t="s">
        <v>617</v>
      </c>
      <c r="R10" s="403" t="s">
        <v>616</v>
      </c>
      <c r="S10" s="401" t="s">
        <v>617</v>
      </c>
      <c r="T10" s="403" t="s">
        <v>616</v>
      </c>
      <c r="U10" s="401" t="s">
        <v>617</v>
      </c>
    </row>
    <row r="11" spans="2:21" ht="12.75">
      <c r="B11" s="1066"/>
      <c r="C11" s="1067"/>
      <c r="D11" s="164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409"/>
      <c r="U11" s="404"/>
    </row>
    <row r="12" spans="2:21" ht="15" customHeight="1">
      <c r="B12" s="95" t="s">
        <v>252</v>
      </c>
      <c r="C12" s="84" t="s">
        <v>282</v>
      </c>
      <c r="D12" s="167">
        <f>F12+H12+J12+L12+N12+P12+R12+T12</f>
        <v>0</v>
      </c>
      <c r="E12" s="167">
        <f>G12+I12+K12+M12+O12+Q12+S12+U12</f>
        <v>0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410"/>
      <c r="U12" s="405"/>
    </row>
    <row r="13" spans="2:21" ht="15" customHeight="1">
      <c r="B13" s="95" t="s">
        <v>252</v>
      </c>
      <c r="C13" s="84" t="s">
        <v>283</v>
      </c>
      <c r="D13" s="167">
        <f aca="true" t="shared" si="0" ref="D13:D15">F13+H13+J13+L13+N13+P13+R13+T13</f>
        <v>0</v>
      </c>
      <c r="E13" s="167">
        <f aca="true" t="shared" si="1" ref="E13:E15">G13+I13+K13+M13+O13+Q13+S13+U13</f>
        <v>0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410"/>
      <c r="U13" s="405"/>
    </row>
    <row r="14" spans="2:21" ht="15" customHeight="1">
      <c r="B14" s="95" t="s">
        <v>252</v>
      </c>
      <c r="C14" s="84" t="s">
        <v>284</v>
      </c>
      <c r="D14" s="167">
        <f t="shared" si="0"/>
        <v>0</v>
      </c>
      <c r="E14" s="167">
        <f t="shared" si="1"/>
        <v>0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410"/>
      <c r="U14" s="405"/>
    </row>
    <row r="15" spans="2:21" ht="15" customHeight="1">
      <c r="B15" s="106" t="s">
        <v>252</v>
      </c>
      <c r="C15" s="84" t="s">
        <v>256</v>
      </c>
      <c r="D15" s="167">
        <f t="shared" si="0"/>
        <v>0</v>
      </c>
      <c r="E15" s="167">
        <f t="shared" si="1"/>
        <v>279.64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410"/>
      <c r="U15" s="405">
        <v>279.64</v>
      </c>
    </row>
    <row r="16" spans="2:21" ht="15" customHeight="1">
      <c r="B16" s="106" t="s">
        <v>252</v>
      </c>
      <c r="C16" s="105" t="s">
        <v>280</v>
      </c>
      <c r="D16" s="167">
        <f aca="true" t="shared" si="2" ref="D16:D17">F16+H16+J16+L16+N16+P16+R16+T16</f>
        <v>13158.987</v>
      </c>
      <c r="E16" s="167">
        <f aca="true" t="shared" si="3" ref="E16:E17">G16+I16+K16+M16+O16+Q16+S16+U16</f>
        <v>13158.987</v>
      </c>
      <c r="F16" s="168"/>
      <c r="G16" s="168"/>
      <c r="H16" s="168">
        <v>13158.987</v>
      </c>
      <c r="I16" s="168">
        <v>13158.987</v>
      </c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410"/>
      <c r="U16" s="405"/>
    </row>
    <row r="17" spans="2:21" ht="15" customHeight="1" hidden="1">
      <c r="B17" s="106" t="s">
        <v>252</v>
      </c>
      <c r="C17" s="105" t="s">
        <v>281</v>
      </c>
      <c r="D17" s="167">
        <f t="shared" si="2"/>
        <v>0</v>
      </c>
      <c r="E17" s="167">
        <f t="shared" si="3"/>
        <v>0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410"/>
      <c r="U17" s="405"/>
    </row>
    <row r="18" spans="2:21" ht="15" customHeight="1" hidden="1">
      <c r="B18" s="106" t="s">
        <v>252</v>
      </c>
      <c r="C18" s="105" t="s">
        <v>308</v>
      </c>
      <c r="D18" s="167">
        <f>F18+H18+J18+L18+N18+P18+R18+T18</f>
        <v>0</v>
      </c>
      <c r="E18" s="167">
        <f>G18+I18+K18+M18+O18+Q18+S18+U18</f>
        <v>0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410"/>
      <c r="U18" s="405"/>
    </row>
    <row r="19" spans="2:21" ht="37.5" customHeight="1" hidden="1">
      <c r="B19" s="106" t="s">
        <v>560</v>
      </c>
      <c r="C19" s="786" t="s">
        <v>753</v>
      </c>
      <c r="D19" s="167">
        <f aca="true" t="shared" si="4" ref="D19:D20">F19+H19+J19+L19+N19+P19+R19+T19</f>
        <v>0</v>
      </c>
      <c r="E19" s="167">
        <f aca="true" t="shared" si="5" ref="E19:E20">G19+I19+K19+M19+O19+Q19+S19+U19</f>
        <v>0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410"/>
      <c r="U19" s="405"/>
    </row>
    <row r="20" spans="2:21" ht="15" customHeight="1">
      <c r="B20" s="106" t="s">
        <v>252</v>
      </c>
      <c r="C20" s="84" t="s">
        <v>256</v>
      </c>
      <c r="D20" s="167">
        <f t="shared" si="4"/>
        <v>68299.954</v>
      </c>
      <c r="E20" s="167">
        <f t="shared" si="5"/>
        <v>67341.535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>
        <v>68299.954</v>
      </c>
      <c r="S20" s="168">
        <v>67341.535</v>
      </c>
      <c r="T20" s="410"/>
      <c r="U20" s="405"/>
    </row>
    <row r="21" spans="2:21" ht="15" customHeight="1" thickBot="1">
      <c r="B21" s="378"/>
      <c r="C21" s="379"/>
      <c r="D21" s="380"/>
      <c r="E21" s="380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421"/>
      <c r="U21" s="420"/>
    </row>
    <row r="22" spans="2:21" ht="15" customHeight="1" thickBot="1">
      <c r="B22" s="1092" t="s">
        <v>58</v>
      </c>
      <c r="C22" s="1093"/>
      <c r="D22" s="386">
        <f>SUM(D12:D20)</f>
        <v>81458.94099999999</v>
      </c>
      <c r="E22" s="386">
        <f>SUM(E12:E20)</f>
        <v>80780.162</v>
      </c>
      <c r="F22" s="386">
        <f aca="true" t="shared" si="6" ref="F22:U22">SUM(F12:F20)</f>
        <v>0</v>
      </c>
      <c r="G22" s="386">
        <f t="shared" si="6"/>
        <v>0</v>
      </c>
      <c r="H22" s="386">
        <f t="shared" si="6"/>
        <v>13158.987</v>
      </c>
      <c r="I22" s="386">
        <f t="shared" si="6"/>
        <v>13158.987</v>
      </c>
      <c r="J22" s="386">
        <f t="shared" si="6"/>
        <v>0</v>
      </c>
      <c r="K22" s="386">
        <f t="shared" si="6"/>
        <v>0</v>
      </c>
      <c r="L22" s="386">
        <f t="shared" si="6"/>
        <v>0</v>
      </c>
      <c r="M22" s="386">
        <f t="shared" si="6"/>
        <v>0</v>
      </c>
      <c r="N22" s="386">
        <f t="shared" si="6"/>
        <v>0</v>
      </c>
      <c r="O22" s="386">
        <f t="shared" si="6"/>
        <v>0</v>
      </c>
      <c r="P22" s="386">
        <f t="shared" si="6"/>
        <v>0</v>
      </c>
      <c r="Q22" s="386">
        <f t="shared" si="6"/>
        <v>0</v>
      </c>
      <c r="R22" s="386">
        <f t="shared" si="6"/>
        <v>68299.954</v>
      </c>
      <c r="S22" s="386">
        <f t="shared" si="6"/>
        <v>67341.535</v>
      </c>
      <c r="T22" s="386">
        <f t="shared" si="6"/>
        <v>0</v>
      </c>
      <c r="U22" s="386">
        <f t="shared" si="6"/>
        <v>279.64</v>
      </c>
    </row>
    <row r="23" spans="2:21" ht="15" customHeight="1" thickBot="1">
      <c r="B23" s="383"/>
      <c r="C23" s="384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</row>
    <row r="24" spans="2:21" ht="15" customHeight="1" thickBot="1">
      <c r="B24" s="1092" t="s">
        <v>8</v>
      </c>
      <c r="C24" s="1093"/>
      <c r="D24" s="382">
        <f>D12+D13+D14+D15+D16</f>
        <v>13158.987</v>
      </c>
      <c r="E24" s="382">
        <f>E12+E13+E14+E15+E16</f>
        <v>13438.626999999999</v>
      </c>
      <c r="F24" s="382">
        <f aca="true" t="shared" si="7" ref="F24:U24">F12+F13+F14+F16+F17+F18+F20+F15</f>
        <v>0</v>
      </c>
      <c r="G24" s="382">
        <f t="shared" si="7"/>
        <v>0</v>
      </c>
      <c r="H24" s="382">
        <f t="shared" si="7"/>
        <v>13158.987</v>
      </c>
      <c r="I24" s="382">
        <f t="shared" si="7"/>
        <v>13158.987</v>
      </c>
      <c r="J24" s="382">
        <f t="shared" si="7"/>
        <v>0</v>
      </c>
      <c r="K24" s="382">
        <f t="shared" si="7"/>
        <v>0</v>
      </c>
      <c r="L24" s="382">
        <f t="shared" si="7"/>
        <v>0</v>
      </c>
      <c r="M24" s="382">
        <f t="shared" si="7"/>
        <v>0</v>
      </c>
      <c r="N24" s="382">
        <f t="shared" si="7"/>
        <v>0</v>
      </c>
      <c r="O24" s="382">
        <f t="shared" si="7"/>
        <v>0</v>
      </c>
      <c r="P24" s="382">
        <f t="shared" si="7"/>
        <v>0</v>
      </c>
      <c r="Q24" s="382">
        <f t="shared" si="7"/>
        <v>0</v>
      </c>
      <c r="R24" s="382">
        <f t="shared" si="7"/>
        <v>68299.954</v>
      </c>
      <c r="S24" s="382">
        <f t="shared" si="7"/>
        <v>67341.535</v>
      </c>
      <c r="T24" s="382">
        <f t="shared" si="7"/>
        <v>0</v>
      </c>
      <c r="U24" s="382">
        <f t="shared" si="7"/>
        <v>279.64</v>
      </c>
    </row>
    <row r="25" spans="2:21" ht="15" customHeight="1" thickBot="1">
      <c r="B25" s="383"/>
      <c r="C25" s="388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</row>
    <row r="26" spans="2:21" ht="15" customHeight="1" thickBot="1">
      <c r="B26" s="1092" t="s">
        <v>559</v>
      </c>
      <c r="C26" s="1093"/>
      <c r="D26" s="382">
        <f>D19</f>
        <v>0</v>
      </c>
      <c r="E26" s="382">
        <f aca="true" t="shared" si="8" ref="E26:U26">E19</f>
        <v>0</v>
      </c>
      <c r="F26" s="382">
        <f t="shared" si="8"/>
        <v>0</v>
      </c>
      <c r="G26" s="382">
        <f t="shared" si="8"/>
        <v>0</v>
      </c>
      <c r="H26" s="382">
        <f t="shared" si="8"/>
        <v>0</v>
      </c>
      <c r="I26" s="382">
        <f t="shared" si="8"/>
        <v>0</v>
      </c>
      <c r="J26" s="382">
        <f t="shared" si="8"/>
        <v>0</v>
      </c>
      <c r="K26" s="382">
        <f t="shared" si="8"/>
        <v>0</v>
      </c>
      <c r="L26" s="382">
        <f t="shared" si="8"/>
        <v>0</v>
      </c>
      <c r="M26" s="382">
        <f t="shared" si="8"/>
        <v>0</v>
      </c>
      <c r="N26" s="382">
        <f t="shared" si="8"/>
        <v>0</v>
      </c>
      <c r="O26" s="382">
        <f t="shared" si="8"/>
        <v>0</v>
      </c>
      <c r="P26" s="382">
        <f t="shared" si="8"/>
        <v>0</v>
      </c>
      <c r="Q26" s="382">
        <f t="shared" si="8"/>
        <v>0</v>
      </c>
      <c r="R26" s="382">
        <f t="shared" si="8"/>
        <v>0</v>
      </c>
      <c r="S26" s="382">
        <f t="shared" si="8"/>
        <v>0</v>
      </c>
      <c r="T26" s="382">
        <f t="shared" si="8"/>
        <v>0</v>
      </c>
      <c r="U26" s="382">
        <f t="shared" si="8"/>
        <v>0</v>
      </c>
    </row>
    <row r="27" spans="2:21" ht="15" customHeight="1" thickBot="1">
      <c r="B27" s="383"/>
      <c r="C27" s="388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</row>
    <row r="28" spans="2:21" ht="15" customHeight="1" thickBot="1">
      <c r="B28" s="1092" t="s">
        <v>614</v>
      </c>
      <c r="C28" s="1093"/>
      <c r="D28" s="382">
        <v>0</v>
      </c>
      <c r="E28" s="382">
        <v>1</v>
      </c>
      <c r="F28" s="382">
        <v>0</v>
      </c>
      <c r="G28" s="382">
        <v>3</v>
      </c>
      <c r="H28" s="382">
        <v>0</v>
      </c>
      <c r="I28" s="382">
        <v>5</v>
      </c>
      <c r="J28" s="382">
        <v>0</v>
      </c>
      <c r="K28" s="382">
        <v>7</v>
      </c>
      <c r="L28" s="382">
        <v>0</v>
      </c>
      <c r="M28" s="382">
        <v>9</v>
      </c>
      <c r="N28" s="382">
        <v>0</v>
      </c>
      <c r="O28" s="382">
        <v>11</v>
      </c>
      <c r="P28" s="382">
        <v>0</v>
      </c>
      <c r="Q28" s="382">
        <v>13</v>
      </c>
      <c r="R28" s="382">
        <v>0</v>
      </c>
      <c r="S28" s="382">
        <v>15</v>
      </c>
      <c r="T28" s="382">
        <v>0</v>
      </c>
      <c r="U28" s="382">
        <v>17</v>
      </c>
    </row>
    <row r="29" spans="2:21" ht="15" customHeight="1">
      <c r="B29" s="91"/>
      <c r="C29" s="91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O29" s="171"/>
      <c r="P29" s="171"/>
      <c r="Q29" s="171"/>
      <c r="R29" s="171"/>
      <c r="S29" s="171"/>
      <c r="T29" s="171"/>
      <c r="U29" s="171"/>
    </row>
    <row r="30" spans="4:21" ht="12.75">
      <c r="D30" s="390">
        <f>D24+D26</f>
        <v>13158.987</v>
      </c>
      <c r="E30" s="390">
        <f>E24+E26</f>
        <v>13438.626999999999</v>
      </c>
      <c r="F30" s="390">
        <f aca="true" t="shared" si="9" ref="F30">F24+F26</f>
        <v>0</v>
      </c>
      <c r="G30" s="390">
        <f aca="true" t="shared" si="10" ref="G30:U30">G24+G26</f>
        <v>0</v>
      </c>
      <c r="H30" s="390">
        <f aca="true" t="shared" si="11" ref="H30">H24+H26</f>
        <v>13158.987</v>
      </c>
      <c r="I30" s="390">
        <f t="shared" si="10"/>
        <v>13158.987</v>
      </c>
      <c r="J30" s="390">
        <f aca="true" t="shared" si="12" ref="J30">J24+J26</f>
        <v>0</v>
      </c>
      <c r="K30" s="390">
        <f t="shared" si="10"/>
        <v>0</v>
      </c>
      <c r="L30" s="390">
        <f aca="true" t="shared" si="13" ref="L30">L24+L26</f>
        <v>0</v>
      </c>
      <c r="M30" s="390">
        <f t="shared" si="10"/>
        <v>0</v>
      </c>
      <c r="N30" s="390">
        <f aca="true" t="shared" si="14" ref="N30">N24+N26</f>
        <v>0</v>
      </c>
      <c r="O30" s="390">
        <f t="shared" si="10"/>
        <v>0</v>
      </c>
      <c r="P30" s="390">
        <f aca="true" t="shared" si="15" ref="P30">P24+P26</f>
        <v>0</v>
      </c>
      <c r="Q30" s="390">
        <f t="shared" si="10"/>
        <v>0</v>
      </c>
      <c r="R30" s="390">
        <f aca="true" t="shared" si="16" ref="R30">R24+R26</f>
        <v>68299.954</v>
      </c>
      <c r="S30" s="390">
        <f t="shared" si="10"/>
        <v>67341.535</v>
      </c>
      <c r="T30" s="390">
        <f aca="true" t="shared" si="17" ref="T30">T24+T26</f>
        <v>0</v>
      </c>
      <c r="U30" s="390">
        <f t="shared" si="10"/>
        <v>279.64</v>
      </c>
    </row>
  </sheetData>
  <mergeCells count="19">
    <mergeCell ref="B28:C28"/>
    <mergeCell ref="B22:C22"/>
    <mergeCell ref="B24:C24"/>
    <mergeCell ref="B26:C26"/>
    <mergeCell ref="L7:Q7"/>
    <mergeCell ref="L8:M9"/>
    <mergeCell ref="N8:O9"/>
    <mergeCell ref="P8:Q9"/>
    <mergeCell ref="D7:E9"/>
    <mergeCell ref="B7:C10"/>
    <mergeCell ref="F8:G9"/>
    <mergeCell ref="H8:I9"/>
    <mergeCell ref="J8:K9"/>
    <mergeCell ref="F7:K7"/>
    <mergeCell ref="B4:U4"/>
    <mergeCell ref="B11:C11"/>
    <mergeCell ref="R7:U7"/>
    <mergeCell ref="R8:S9"/>
    <mergeCell ref="T8:U9"/>
  </mergeCells>
  <printOptions/>
  <pageMargins left="0.15748031496062992" right="0.15748031496062992" top="0.35433070866141736" bottom="0.2362204724409449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 topLeftCell="A1">
      <selection activeCell="N19" sqref="N19"/>
    </sheetView>
  </sheetViews>
  <sheetFormatPr defaultColWidth="9.00390625" defaultRowHeight="12.75"/>
  <cols>
    <col min="1" max="1" width="7.625" style="91" customWidth="1"/>
    <col min="2" max="2" width="32.375" style="91" customWidth="1"/>
    <col min="3" max="18" width="9.375" style="91" customWidth="1"/>
    <col min="19" max="28" width="9.375" style="0" customWidth="1"/>
    <col min="29" max="38" width="10.75390625" style="0" customWidth="1"/>
  </cols>
  <sheetData>
    <row r="1" spans="1:2" ht="12.75">
      <c r="A1" s="130" t="s">
        <v>848</v>
      </c>
      <c r="B1" s="91" t="str">
        <f>'bev-int'!B1</f>
        <v>melléklet a 12/2020.(IX.17.) önkormányzati rendelethez</v>
      </c>
    </row>
    <row r="2" spans="1:18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8" ht="12.75" customHeight="1">
      <c r="A3" s="1059" t="s">
        <v>789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  <c r="R3" s="1059"/>
      <c r="S3" s="1059"/>
      <c r="T3" s="1059"/>
      <c r="U3" s="1059"/>
      <c r="V3" s="1059"/>
      <c r="W3" s="1059"/>
      <c r="X3" s="1059"/>
      <c r="Y3" s="1059"/>
      <c r="Z3" s="1059"/>
      <c r="AA3" s="1059"/>
      <c r="AB3" s="1059"/>
    </row>
    <row r="4" spans="1:18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28" ht="13.5" thickBot="1">
      <c r="A5" s="94"/>
      <c r="B5" s="94"/>
      <c r="C5" s="94"/>
      <c r="D5" s="94"/>
      <c r="E5" s="94"/>
      <c r="F5" s="771"/>
      <c r="G5" s="94"/>
      <c r="H5" s="771"/>
      <c r="I5" s="94"/>
      <c r="J5" s="94"/>
      <c r="K5" s="94"/>
      <c r="L5" s="94"/>
      <c r="M5" s="94"/>
      <c r="N5" s="94"/>
      <c r="O5" s="94"/>
      <c r="P5" s="94"/>
      <c r="Q5" s="94"/>
      <c r="R5" s="94"/>
      <c r="AA5" s="123" t="s">
        <v>59</v>
      </c>
      <c r="AB5" s="123"/>
    </row>
    <row r="6" spans="1:28" s="74" customFormat="1" ht="16.5" customHeight="1">
      <c r="A6" s="1060" t="s">
        <v>44</v>
      </c>
      <c r="B6" s="1099"/>
      <c r="C6" s="1060" t="s">
        <v>240</v>
      </c>
      <c r="D6" s="1054"/>
      <c r="E6" s="1074" t="s">
        <v>241</v>
      </c>
      <c r="F6" s="1075"/>
      <c r="G6" s="1075"/>
      <c r="H6" s="1075"/>
      <c r="I6" s="1075"/>
      <c r="J6" s="1075"/>
      <c r="K6" s="1075"/>
      <c r="L6" s="1075"/>
      <c r="M6" s="1075"/>
      <c r="N6" s="1075"/>
      <c r="O6" s="1075"/>
      <c r="P6" s="1076"/>
      <c r="Q6" s="1074" t="s">
        <v>116</v>
      </c>
      <c r="R6" s="1075"/>
      <c r="S6" s="1075"/>
      <c r="T6" s="1075"/>
      <c r="U6" s="1075"/>
      <c r="V6" s="1075"/>
      <c r="W6" s="1075"/>
      <c r="X6" s="1076"/>
      <c r="Y6" s="1074" t="s">
        <v>64</v>
      </c>
      <c r="Z6" s="1075"/>
      <c r="AA6" s="1075"/>
      <c r="AB6" s="1079"/>
    </row>
    <row r="7" spans="1:28" s="74" customFormat="1" ht="21.95" customHeight="1">
      <c r="A7" s="1061"/>
      <c r="B7" s="1100"/>
      <c r="C7" s="1061"/>
      <c r="D7" s="1056"/>
      <c r="E7" s="1090" t="s">
        <v>50</v>
      </c>
      <c r="F7" s="1094"/>
      <c r="G7" s="1090" t="s">
        <v>242</v>
      </c>
      <c r="H7" s="1094"/>
      <c r="I7" s="1090" t="s">
        <v>243</v>
      </c>
      <c r="J7" s="1094"/>
      <c r="K7" s="1090" t="s">
        <v>124</v>
      </c>
      <c r="L7" s="1094"/>
      <c r="M7" s="1090" t="s">
        <v>244</v>
      </c>
      <c r="N7" s="1094"/>
      <c r="O7" s="1090" t="s">
        <v>246</v>
      </c>
      <c r="P7" s="1094"/>
      <c r="Q7" s="1095" t="s">
        <v>247</v>
      </c>
      <c r="R7" s="1096"/>
      <c r="S7" s="1095" t="s">
        <v>248</v>
      </c>
      <c r="T7" s="1096"/>
      <c r="U7" s="1090" t="s">
        <v>28</v>
      </c>
      <c r="V7" s="1094"/>
      <c r="W7" s="1088" t="s">
        <v>249</v>
      </c>
      <c r="X7" s="1089"/>
      <c r="Y7" s="1088" t="s">
        <v>270</v>
      </c>
      <c r="Z7" s="1089"/>
      <c r="AA7" s="1090" t="s">
        <v>250</v>
      </c>
      <c r="AB7" s="1091"/>
    </row>
    <row r="8" spans="1:28" s="74" customFormat="1" ht="33.75" customHeight="1" thickBot="1">
      <c r="A8" s="1061"/>
      <c r="B8" s="1100"/>
      <c r="C8" s="1102"/>
      <c r="D8" s="1058"/>
      <c r="E8" s="1051"/>
      <c r="F8" s="1052"/>
      <c r="G8" s="1051"/>
      <c r="H8" s="1052"/>
      <c r="I8" s="1051"/>
      <c r="J8" s="1052"/>
      <c r="K8" s="1051"/>
      <c r="L8" s="1052"/>
      <c r="M8" s="1051"/>
      <c r="N8" s="1052"/>
      <c r="O8" s="1051"/>
      <c r="P8" s="1052"/>
      <c r="Q8" s="1057"/>
      <c r="R8" s="1058"/>
      <c r="S8" s="1057"/>
      <c r="T8" s="1058"/>
      <c r="U8" s="1051"/>
      <c r="V8" s="1052"/>
      <c r="W8" s="1047"/>
      <c r="X8" s="1048"/>
      <c r="Y8" s="1047"/>
      <c r="Z8" s="1048"/>
      <c r="AA8" s="1051"/>
      <c r="AB8" s="1078"/>
    </row>
    <row r="9" spans="1:28" s="123" customFormat="1" ht="18.75" customHeight="1" thickBot="1">
      <c r="A9" s="1062"/>
      <c r="B9" s="1101"/>
      <c r="C9" s="422" t="s">
        <v>616</v>
      </c>
      <c r="D9" s="415" t="s">
        <v>617</v>
      </c>
      <c r="E9" s="418" t="s">
        <v>616</v>
      </c>
      <c r="F9" s="414" t="s">
        <v>617</v>
      </c>
      <c r="G9" s="413" t="s">
        <v>616</v>
      </c>
      <c r="H9" s="414" t="s">
        <v>617</v>
      </c>
      <c r="I9" s="413" t="s">
        <v>616</v>
      </c>
      <c r="J9" s="414" t="s">
        <v>617</v>
      </c>
      <c r="K9" s="413" t="s">
        <v>616</v>
      </c>
      <c r="L9" s="414" t="s">
        <v>617</v>
      </c>
      <c r="M9" s="413" t="s">
        <v>616</v>
      </c>
      <c r="N9" s="414" t="s">
        <v>617</v>
      </c>
      <c r="O9" s="413" t="s">
        <v>616</v>
      </c>
      <c r="P9" s="415" t="s">
        <v>617</v>
      </c>
      <c r="Q9" s="422" t="s">
        <v>616</v>
      </c>
      <c r="R9" s="414" t="s">
        <v>617</v>
      </c>
      <c r="S9" s="413" t="s">
        <v>616</v>
      </c>
      <c r="T9" s="414" t="s">
        <v>617</v>
      </c>
      <c r="U9" s="413" t="s">
        <v>616</v>
      </c>
      <c r="V9" s="414" t="s">
        <v>617</v>
      </c>
      <c r="W9" s="413" t="s">
        <v>616</v>
      </c>
      <c r="X9" s="417" t="s">
        <v>617</v>
      </c>
      <c r="Y9" s="419" t="s">
        <v>616</v>
      </c>
      <c r="Z9" s="401" t="s">
        <v>617</v>
      </c>
      <c r="AA9" s="416" t="s">
        <v>616</v>
      </c>
      <c r="AB9" s="402" t="s">
        <v>617</v>
      </c>
    </row>
    <row r="10" spans="1:30" s="74" customFormat="1" ht="9.75" customHeight="1">
      <c r="A10" s="1066"/>
      <c r="B10" s="1067"/>
      <c r="C10" s="164"/>
      <c r="D10" s="164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423"/>
      <c r="AB10" s="404"/>
      <c r="AC10" s="166"/>
      <c r="AD10" s="166"/>
    </row>
    <row r="11" spans="1:30" s="74" customFormat="1" ht="18" customHeight="1">
      <c r="A11" s="95" t="s">
        <v>252</v>
      </c>
      <c r="B11" s="84" t="s">
        <v>837</v>
      </c>
      <c r="C11" s="167">
        <f>E11+G11+I11+K11+M11+O11+Q11+S11+U11+W11+Y11+AA11</f>
        <v>47018.527</v>
      </c>
      <c r="D11" s="167">
        <f>F11+H11+J11+L11+N11+P11+R11+T11+V11+X11+Z11+AB11</f>
        <v>48075.96399999999</v>
      </c>
      <c r="E11" s="168">
        <v>35845.44</v>
      </c>
      <c r="F11" s="168">
        <f>35845.44+915.53</f>
        <v>36760.97</v>
      </c>
      <c r="G11" s="168">
        <v>6450.818</v>
      </c>
      <c r="H11" s="168">
        <f>6450.818+141.907</f>
        <v>6592.725</v>
      </c>
      <c r="I11" s="168">
        <v>4557.607</v>
      </c>
      <c r="J11" s="168">
        <v>4557.607</v>
      </c>
      <c r="K11" s="168"/>
      <c r="L11" s="168"/>
      <c r="M11" s="168"/>
      <c r="N11" s="168"/>
      <c r="O11" s="168"/>
      <c r="P11" s="168"/>
      <c r="Q11" s="168"/>
      <c r="R11" s="168"/>
      <c r="S11" s="168">
        <v>164.662</v>
      </c>
      <c r="T11" s="168">
        <v>164.662</v>
      </c>
      <c r="U11" s="168"/>
      <c r="V11" s="168"/>
      <c r="W11" s="168"/>
      <c r="X11" s="168"/>
      <c r="Y11" s="168"/>
      <c r="Z11" s="168"/>
      <c r="AA11" s="410"/>
      <c r="AB11" s="405"/>
      <c r="AC11" s="166"/>
      <c r="AD11" s="166"/>
    </row>
    <row r="12" spans="1:30" s="74" customFormat="1" ht="18" customHeight="1">
      <c r="A12" s="95" t="s">
        <v>252</v>
      </c>
      <c r="B12" s="776" t="s">
        <v>283</v>
      </c>
      <c r="C12" s="167">
        <f aca="true" t="shared" si="0" ref="C12:C13">E12+G12+I12+K12+M12+O12+Q12+S12+U12+W12+Y12+AA12</f>
        <v>572.963</v>
      </c>
      <c r="D12" s="167">
        <f>F12+H12+J12+L12+N12+P12+R12+T12+V12+X12+Z12+AB12</f>
        <v>572.963</v>
      </c>
      <c r="E12" s="168">
        <v>495</v>
      </c>
      <c r="F12" s="168">
        <v>495</v>
      </c>
      <c r="G12" s="168">
        <v>77.963</v>
      </c>
      <c r="H12" s="168">
        <v>77.963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410"/>
      <c r="AB12" s="405"/>
      <c r="AC12" s="166"/>
      <c r="AD12" s="166"/>
    </row>
    <row r="13" spans="1:30" s="74" customFormat="1" ht="18" customHeight="1" hidden="1">
      <c r="A13" s="95" t="s">
        <v>252</v>
      </c>
      <c r="B13" s="776" t="s">
        <v>628</v>
      </c>
      <c r="C13" s="167">
        <f t="shared" si="0"/>
        <v>0</v>
      </c>
      <c r="D13" s="167">
        <f aca="true" t="shared" si="1" ref="D13">F13+H13+J13+L13+N13+P13+R13+T13+V13+X13+Z13+AB13</f>
        <v>0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410"/>
      <c r="AB13" s="405"/>
      <c r="AC13" s="166"/>
      <c r="AD13" s="166"/>
    </row>
    <row r="14" spans="1:30" s="74" customFormat="1" ht="18" customHeight="1">
      <c r="A14" s="106" t="s">
        <v>252</v>
      </c>
      <c r="B14" s="105" t="s">
        <v>280</v>
      </c>
      <c r="C14" s="167">
        <f>E14+G14+I14+K14+M14+O14+Q14+S14+U14+W14+Y14+AA14</f>
        <v>33867.451</v>
      </c>
      <c r="D14" s="167">
        <f>F14+H14+J14+L14+N14+P14+R14+T14+V14+X14+Z14+AB14</f>
        <v>31851.595</v>
      </c>
      <c r="E14" s="721">
        <v>13555.66</v>
      </c>
      <c r="F14" s="721">
        <v>13555.66</v>
      </c>
      <c r="G14" s="721">
        <v>2417.868</v>
      </c>
      <c r="H14" s="721">
        <v>2417.868</v>
      </c>
      <c r="I14" s="721">
        <v>14119.857</v>
      </c>
      <c r="J14" s="721">
        <f>14119.857-2015.856</f>
        <v>12104.001</v>
      </c>
      <c r="K14" s="721"/>
      <c r="L14" s="721"/>
      <c r="M14" s="721"/>
      <c r="N14" s="721"/>
      <c r="O14" s="721"/>
      <c r="P14" s="721"/>
      <c r="Q14" s="721"/>
      <c r="R14" s="721"/>
      <c r="S14" s="721">
        <v>3774.066</v>
      </c>
      <c r="T14" s="721">
        <v>3774.066</v>
      </c>
      <c r="U14" s="168"/>
      <c r="V14" s="168"/>
      <c r="W14" s="168"/>
      <c r="X14" s="168"/>
      <c r="Y14" s="168"/>
      <c r="Z14" s="168"/>
      <c r="AA14" s="410"/>
      <c r="AB14" s="405"/>
      <c r="AC14" s="166"/>
      <c r="AD14" s="166"/>
    </row>
    <row r="15" spans="1:30" s="74" customFormat="1" ht="18" customHeight="1" hidden="1">
      <c r="A15" s="106" t="s">
        <v>252</v>
      </c>
      <c r="B15" s="105" t="s">
        <v>281</v>
      </c>
      <c r="C15" s="167">
        <f>E15+G15+I15+K15+M15+O15+Q15+S15+U15+W15+Y15+AA15</f>
        <v>0</v>
      </c>
      <c r="D15" s="167">
        <f>F15+H15+J15+L15+N15+P15+R15+T15+V15+X15+Z15+AB15</f>
        <v>0</v>
      </c>
      <c r="E15" s="721"/>
      <c r="F15" s="721"/>
      <c r="G15" s="721"/>
      <c r="H15" s="721"/>
      <c r="I15" s="721"/>
      <c r="J15" s="721"/>
      <c r="K15" s="721"/>
      <c r="L15" s="721"/>
      <c r="M15" s="721"/>
      <c r="N15" s="721"/>
      <c r="O15" s="721"/>
      <c r="P15" s="721"/>
      <c r="Q15" s="721"/>
      <c r="R15" s="721"/>
      <c r="S15" s="721"/>
      <c r="T15" s="777"/>
      <c r="U15" s="168"/>
      <c r="V15" s="168"/>
      <c r="W15" s="168"/>
      <c r="X15" s="168"/>
      <c r="Y15" s="168"/>
      <c r="Z15" s="168"/>
      <c r="AA15" s="410"/>
      <c r="AB15" s="405"/>
      <c r="AC15" s="166"/>
      <c r="AD15" s="166"/>
    </row>
    <row r="16" spans="1:30" s="74" customFormat="1" ht="18" customHeight="1" hidden="1">
      <c r="A16" s="106" t="s">
        <v>252</v>
      </c>
      <c r="B16" s="105" t="s">
        <v>308</v>
      </c>
      <c r="C16" s="167">
        <f aca="true" t="shared" si="2" ref="C16:C18">E16+G16+I16+K16+M16+O16+Q16+S16+U16+W16+Y16+AA16</f>
        <v>0</v>
      </c>
      <c r="D16" s="167">
        <f aca="true" t="shared" si="3" ref="D16:D17">F16+H16+J16+L16+N16+P16+R16+T16+V16+X16+Z16+AB16</f>
        <v>0</v>
      </c>
      <c r="E16" s="721"/>
      <c r="F16" s="721"/>
      <c r="G16" s="721"/>
      <c r="H16" s="721"/>
      <c r="I16" s="721"/>
      <c r="J16" s="721"/>
      <c r="K16" s="721"/>
      <c r="L16" s="721"/>
      <c r="M16" s="721"/>
      <c r="N16" s="721"/>
      <c r="O16" s="721"/>
      <c r="P16" s="721"/>
      <c r="Q16" s="721"/>
      <c r="R16" s="721"/>
      <c r="S16" s="721"/>
      <c r="T16" s="777"/>
      <c r="U16" s="168"/>
      <c r="V16" s="168"/>
      <c r="W16" s="168"/>
      <c r="X16" s="168"/>
      <c r="Y16" s="168"/>
      <c r="Z16" s="168"/>
      <c r="AA16" s="410"/>
      <c r="AB16" s="405"/>
      <c r="AC16" s="166"/>
      <c r="AD16" s="166"/>
    </row>
    <row r="17" spans="1:30" s="74" customFormat="1" ht="18" customHeight="1" hidden="1">
      <c r="A17" s="106" t="s">
        <v>560</v>
      </c>
      <c r="B17" s="105" t="s">
        <v>615</v>
      </c>
      <c r="C17" s="167">
        <f t="shared" si="2"/>
        <v>0</v>
      </c>
      <c r="D17" s="167">
        <f t="shared" si="3"/>
        <v>0</v>
      </c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77"/>
      <c r="U17" s="168"/>
      <c r="V17" s="168"/>
      <c r="W17" s="168"/>
      <c r="X17" s="168"/>
      <c r="Y17" s="168"/>
      <c r="Z17" s="168"/>
      <c r="AA17" s="410"/>
      <c r="AB17" s="405"/>
      <c r="AC17" s="166"/>
      <c r="AD17" s="166"/>
    </row>
    <row r="18" spans="1:30" s="74" customFormat="1" ht="18" customHeight="1">
      <c r="A18" s="106" t="s">
        <v>252</v>
      </c>
      <c r="B18" s="84" t="s">
        <v>256</v>
      </c>
      <c r="C18" s="167">
        <f t="shared" si="2"/>
        <v>0</v>
      </c>
      <c r="D18" s="167">
        <f>F18+H18+J18+L18+N18+P18+R18+T18+V18+X18+Z18+AB18</f>
        <v>279.64</v>
      </c>
      <c r="E18" s="168"/>
      <c r="F18" s="168"/>
      <c r="G18" s="721"/>
      <c r="H18" s="721"/>
      <c r="I18" s="721"/>
      <c r="J18" s="721"/>
      <c r="K18" s="721"/>
      <c r="L18" s="168"/>
      <c r="M18" s="168"/>
      <c r="N18" s="168">
        <v>279.64</v>
      </c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410"/>
      <c r="AB18" s="405"/>
      <c r="AC18" s="166"/>
      <c r="AD18" s="166"/>
    </row>
    <row r="19" spans="1:30" s="74" customFormat="1" ht="18" customHeight="1">
      <c r="A19" s="95"/>
      <c r="B19" s="9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411"/>
      <c r="AB19" s="406">
        <f>SUM(AB14:AB18)</f>
        <v>0</v>
      </c>
      <c r="AC19" s="166"/>
      <c r="AD19" s="166"/>
    </row>
    <row r="20" spans="1:30" s="74" customFormat="1" ht="9" customHeight="1">
      <c r="A20" s="95"/>
      <c r="B20" s="84"/>
      <c r="C20" s="167"/>
      <c r="D20" s="167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410"/>
      <c r="AB20" s="405"/>
      <c r="AC20" s="166"/>
      <c r="AD20" s="166"/>
    </row>
    <row r="21" spans="1:30" s="74" customFormat="1" ht="18" customHeight="1">
      <c r="A21" s="1070" t="s">
        <v>58</v>
      </c>
      <c r="B21" s="1071"/>
      <c r="C21" s="167">
        <f>SUM(C11:C18)</f>
        <v>81458.941</v>
      </c>
      <c r="D21" s="167">
        <f>SUM(D11:D18)</f>
        <v>80780.162</v>
      </c>
      <c r="E21" s="167">
        <f aca="true" t="shared" si="4" ref="E21:AB21">SUM(E11:E18)</f>
        <v>49896.100000000006</v>
      </c>
      <c r="F21" s="167">
        <f t="shared" si="4"/>
        <v>50811.630000000005</v>
      </c>
      <c r="G21" s="167">
        <f t="shared" si="4"/>
        <v>8946.649</v>
      </c>
      <c r="H21" s="167">
        <f t="shared" si="4"/>
        <v>9088.556</v>
      </c>
      <c r="I21" s="167">
        <f t="shared" si="4"/>
        <v>18677.464</v>
      </c>
      <c r="J21" s="167">
        <f t="shared" si="4"/>
        <v>16661.608</v>
      </c>
      <c r="K21" s="167">
        <f t="shared" si="4"/>
        <v>0</v>
      </c>
      <c r="L21" s="167">
        <f t="shared" si="4"/>
        <v>0</v>
      </c>
      <c r="M21" s="167">
        <f t="shared" si="4"/>
        <v>0</v>
      </c>
      <c r="N21" s="167">
        <f t="shared" si="4"/>
        <v>279.64</v>
      </c>
      <c r="O21" s="167">
        <f t="shared" si="4"/>
        <v>0</v>
      </c>
      <c r="P21" s="167">
        <f t="shared" si="4"/>
        <v>0</v>
      </c>
      <c r="Q21" s="167">
        <f t="shared" si="4"/>
        <v>0</v>
      </c>
      <c r="R21" s="167">
        <f t="shared" si="4"/>
        <v>0</v>
      </c>
      <c r="S21" s="167">
        <f t="shared" si="4"/>
        <v>3938.7279999999996</v>
      </c>
      <c r="T21" s="167">
        <f t="shared" si="4"/>
        <v>3938.7279999999996</v>
      </c>
      <c r="U21" s="167">
        <f t="shared" si="4"/>
        <v>0</v>
      </c>
      <c r="V21" s="167">
        <f t="shared" si="4"/>
        <v>0</v>
      </c>
      <c r="W21" s="167">
        <f t="shared" si="4"/>
        <v>0</v>
      </c>
      <c r="X21" s="167">
        <f t="shared" si="4"/>
        <v>0</v>
      </c>
      <c r="Y21" s="167">
        <f t="shared" si="4"/>
        <v>0</v>
      </c>
      <c r="Z21" s="167">
        <f t="shared" si="4"/>
        <v>0</v>
      </c>
      <c r="AA21" s="167">
        <f t="shared" si="4"/>
        <v>0</v>
      </c>
      <c r="AB21" s="167">
        <f t="shared" si="4"/>
        <v>0</v>
      </c>
      <c r="AC21" s="166"/>
      <c r="AD21" s="166"/>
    </row>
    <row r="22" spans="1:30" s="74" customFormat="1" ht="8.25" customHeight="1">
      <c r="A22" s="95"/>
      <c r="B22" s="84"/>
      <c r="C22" s="167"/>
      <c r="D22" s="167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410"/>
      <c r="AB22" s="405"/>
      <c r="AC22" s="166"/>
      <c r="AD22" s="166"/>
    </row>
    <row r="23" spans="1:30" s="74" customFormat="1" ht="18" customHeight="1">
      <c r="A23" s="1070" t="s">
        <v>8</v>
      </c>
      <c r="B23" s="1071"/>
      <c r="C23" s="169">
        <f>C11+C12+C13+C14+C15+C16+C18</f>
        <v>81458.941</v>
      </c>
      <c r="D23" s="169">
        <f aca="true" t="shared" si="5" ref="D23:AB23">D11+D12+D13+D14+D15+D16+D18</f>
        <v>80780.162</v>
      </c>
      <c r="E23" s="169">
        <f t="shared" si="5"/>
        <v>49896.100000000006</v>
      </c>
      <c r="F23" s="169">
        <f t="shared" si="5"/>
        <v>50811.630000000005</v>
      </c>
      <c r="G23" s="169">
        <f t="shared" si="5"/>
        <v>8946.649</v>
      </c>
      <c r="H23" s="169">
        <f t="shared" si="5"/>
        <v>9088.556</v>
      </c>
      <c r="I23" s="169">
        <f t="shared" si="5"/>
        <v>18677.464</v>
      </c>
      <c r="J23" s="169">
        <f t="shared" si="5"/>
        <v>16661.608</v>
      </c>
      <c r="K23" s="169">
        <f t="shared" si="5"/>
        <v>0</v>
      </c>
      <c r="L23" s="169">
        <f t="shared" si="5"/>
        <v>0</v>
      </c>
      <c r="M23" s="169">
        <f t="shared" si="5"/>
        <v>0</v>
      </c>
      <c r="N23" s="169">
        <f t="shared" si="5"/>
        <v>279.64</v>
      </c>
      <c r="O23" s="169">
        <f t="shared" si="5"/>
        <v>0</v>
      </c>
      <c r="P23" s="169">
        <f t="shared" si="5"/>
        <v>0</v>
      </c>
      <c r="Q23" s="169">
        <f t="shared" si="5"/>
        <v>0</v>
      </c>
      <c r="R23" s="169">
        <f t="shared" si="5"/>
        <v>0</v>
      </c>
      <c r="S23" s="169">
        <f t="shared" si="5"/>
        <v>3938.7279999999996</v>
      </c>
      <c r="T23" s="169">
        <f t="shared" si="5"/>
        <v>3938.7279999999996</v>
      </c>
      <c r="U23" s="169">
        <f t="shared" si="5"/>
        <v>0</v>
      </c>
      <c r="V23" s="169">
        <f t="shared" si="5"/>
        <v>0</v>
      </c>
      <c r="W23" s="169">
        <f t="shared" si="5"/>
        <v>0</v>
      </c>
      <c r="X23" s="169">
        <f t="shared" si="5"/>
        <v>0</v>
      </c>
      <c r="Y23" s="169">
        <f t="shared" si="5"/>
        <v>0</v>
      </c>
      <c r="Z23" s="169">
        <f t="shared" si="5"/>
        <v>0</v>
      </c>
      <c r="AA23" s="169">
        <f t="shared" si="5"/>
        <v>0</v>
      </c>
      <c r="AB23" s="169">
        <f t="shared" si="5"/>
        <v>0</v>
      </c>
      <c r="AC23" s="166"/>
      <c r="AD23" s="166"/>
    </row>
    <row r="24" spans="1:30" s="74" customFormat="1" ht="9" customHeight="1">
      <c r="A24" s="95"/>
      <c r="B24" s="85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407"/>
      <c r="AC24" s="166"/>
      <c r="AD24" s="166"/>
    </row>
    <row r="25" spans="1:30" s="74" customFormat="1" ht="18" customHeight="1">
      <c r="A25" s="1070" t="s">
        <v>559</v>
      </c>
      <c r="B25" s="1071"/>
      <c r="C25" s="169">
        <f>C17</f>
        <v>0</v>
      </c>
      <c r="D25" s="169">
        <f aca="true" t="shared" si="6" ref="D25:AB25">D17</f>
        <v>0</v>
      </c>
      <c r="E25" s="169">
        <f t="shared" si="6"/>
        <v>0</v>
      </c>
      <c r="F25" s="169">
        <f t="shared" si="6"/>
        <v>0</v>
      </c>
      <c r="G25" s="169">
        <f t="shared" si="6"/>
        <v>0</v>
      </c>
      <c r="H25" s="169">
        <f t="shared" si="6"/>
        <v>0</v>
      </c>
      <c r="I25" s="169">
        <f t="shared" si="6"/>
        <v>0</v>
      </c>
      <c r="J25" s="169">
        <f t="shared" si="6"/>
        <v>0</v>
      </c>
      <c r="K25" s="169">
        <f t="shared" si="6"/>
        <v>0</v>
      </c>
      <c r="L25" s="169">
        <f t="shared" si="6"/>
        <v>0</v>
      </c>
      <c r="M25" s="169">
        <f t="shared" si="6"/>
        <v>0</v>
      </c>
      <c r="N25" s="169">
        <f t="shared" si="6"/>
        <v>0</v>
      </c>
      <c r="O25" s="169">
        <f t="shared" si="6"/>
        <v>0</v>
      </c>
      <c r="P25" s="169">
        <f t="shared" si="6"/>
        <v>0</v>
      </c>
      <c r="Q25" s="169">
        <f t="shared" si="6"/>
        <v>0</v>
      </c>
      <c r="R25" s="169">
        <f t="shared" si="6"/>
        <v>0</v>
      </c>
      <c r="S25" s="169">
        <f t="shared" si="6"/>
        <v>0</v>
      </c>
      <c r="T25" s="169">
        <f t="shared" si="6"/>
        <v>0</v>
      </c>
      <c r="U25" s="169">
        <f t="shared" si="6"/>
        <v>0</v>
      </c>
      <c r="V25" s="169">
        <f t="shared" si="6"/>
        <v>0</v>
      </c>
      <c r="W25" s="169">
        <f t="shared" si="6"/>
        <v>0</v>
      </c>
      <c r="X25" s="169">
        <f t="shared" si="6"/>
        <v>0</v>
      </c>
      <c r="Y25" s="169">
        <f t="shared" si="6"/>
        <v>0</v>
      </c>
      <c r="Z25" s="169">
        <f t="shared" si="6"/>
        <v>0</v>
      </c>
      <c r="AA25" s="169">
        <f t="shared" si="6"/>
        <v>0</v>
      </c>
      <c r="AB25" s="169">
        <f t="shared" si="6"/>
        <v>0</v>
      </c>
      <c r="AC25" s="166"/>
      <c r="AD25" s="166"/>
    </row>
    <row r="26" spans="1:30" ht="12.75">
      <c r="A26" s="95"/>
      <c r="B26" s="85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407"/>
      <c r="AC26" s="171"/>
      <c r="AD26" s="171"/>
    </row>
    <row r="27" spans="1:30" ht="13.5" thickBot="1">
      <c r="A27" s="1097" t="s">
        <v>614</v>
      </c>
      <c r="B27" s="1098"/>
      <c r="C27" s="393">
        <v>0</v>
      </c>
      <c r="D27" s="393">
        <v>0</v>
      </c>
      <c r="E27" s="393">
        <v>0</v>
      </c>
      <c r="F27" s="393">
        <v>0</v>
      </c>
      <c r="G27" s="393">
        <v>0</v>
      </c>
      <c r="H27" s="393">
        <v>0</v>
      </c>
      <c r="I27" s="393">
        <v>0</v>
      </c>
      <c r="J27" s="393">
        <v>0</v>
      </c>
      <c r="K27" s="393">
        <v>0</v>
      </c>
      <c r="L27" s="393">
        <v>0</v>
      </c>
      <c r="M27" s="393">
        <v>0</v>
      </c>
      <c r="N27" s="393">
        <v>0</v>
      </c>
      <c r="O27" s="393">
        <v>0</v>
      </c>
      <c r="P27" s="393">
        <v>0</v>
      </c>
      <c r="Q27" s="393">
        <v>0</v>
      </c>
      <c r="R27" s="393">
        <v>0</v>
      </c>
      <c r="S27" s="393">
        <v>0</v>
      </c>
      <c r="T27" s="393">
        <v>0</v>
      </c>
      <c r="U27" s="393">
        <v>0</v>
      </c>
      <c r="V27" s="393">
        <v>0</v>
      </c>
      <c r="W27" s="393">
        <v>0</v>
      </c>
      <c r="X27" s="393">
        <v>0</v>
      </c>
      <c r="Y27" s="393">
        <v>0</v>
      </c>
      <c r="Z27" s="393">
        <v>0</v>
      </c>
      <c r="AA27" s="393">
        <v>0</v>
      </c>
      <c r="AB27" s="393">
        <v>0</v>
      </c>
      <c r="AC27" s="171"/>
      <c r="AD27" s="171"/>
    </row>
    <row r="28" spans="3:28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</row>
    <row r="29" spans="3:28" ht="12.75"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</row>
  </sheetData>
  <mergeCells count="23">
    <mergeCell ref="A27:B27"/>
    <mergeCell ref="A23:B23"/>
    <mergeCell ref="A25:B25"/>
    <mergeCell ref="A3:AB3"/>
    <mergeCell ref="A21:B21"/>
    <mergeCell ref="A10:B10"/>
    <mergeCell ref="A6:B9"/>
    <mergeCell ref="C6:D8"/>
    <mergeCell ref="E7:F8"/>
    <mergeCell ref="G7:H8"/>
    <mergeCell ref="I7:J8"/>
    <mergeCell ref="E6:P6"/>
    <mergeCell ref="K7:L8"/>
    <mergeCell ref="M7:N8"/>
    <mergeCell ref="O7:P8"/>
    <mergeCell ref="U7:V8"/>
    <mergeCell ref="W7:X8"/>
    <mergeCell ref="Y7:Z8"/>
    <mergeCell ref="AA7:AB8"/>
    <mergeCell ref="Y6:AB6"/>
    <mergeCell ref="Q6:X6"/>
    <mergeCell ref="Q7:R8"/>
    <mergeCell ref="S7:T8"/>
  </mergeCells>
  <printOptions horizontalCentered="1"/>
  <pageMargins left="0.15748031496062992" right="0.15748031496062992" top="0.7874015748031497" bottom="0.31496062992125984" header="0.8661417322834646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7"/>
  <sheetViews>
    <sheetView workbookViewId="0" topLeftCell="A1">
      <selection activeCell="D31" sqref="D31"/>
    </sheetView>
  </sheetViews>
  <sheetFormatPr defaultColWidth="9.00390625" defaultRowHeight="12.75"/>
  <cols>
    <col min="1" max="1" width="20.125" style="518" customWidth="1"/>
    <col min="2" max="2" width="27.75390625" style="518" bestFit="1" customWidth="1"/>
    <col min="3" max="3" width="10.875" style="518" customWidth="1"/>
    <col min="4" max="4" width="8.75390625" style="518" customWidth="1"/>
    <col min="5" max="6" width="12.75390625" style="518" customWidth="1"/>
    <col min="7" max="7" width="8.625" style="518" customWidth="1"/>
    <col min="8" max="8" width="9.00390625" style="518" customWidth="1"/>
    <col min="9" max="9" width="9.875" style="518" customWidth="1"/>
    <col min="10" max="10" width="8.625" style="518" customWidth="1"/>
    <col min="11" max="11" width="8.75390625" style="518" customWidth="1"/>
    <col min="12" max="16384" width="9.125" style="518" customWidth="1"/>
  </cols>
  <sheetData>
    <row r="1" ht="10.5" customHeight="1"/>
    <row r="2" spans="3:4" ht="12.75">
      <c r="C2" s="298" t="s">
        <v>305</v>
      </c>
      <c r="D2" s="518" t="str">
        <f>'bev-int'!B1</f>
        <v>melléklet a 12/2020.(IX.17.) önkormányzati rendelethez</v>
      </c>
    </row>
    <row r="3" ht="12.75">
      <c r="C3" s="517"/>
    </row>
    <row r="4" ht="12.75">
      <c r="C4" s="517"/>
    </row>
    <row r="5" spans="2:6" ht="12.75">
      <c r="B5" s="1111" t="s">
        <v>790</v>
      </c>
      <c r="C5" s="1111"/>
      <c r="D5" s="1111"/>
      <c r="E5" s="1111"/>
      <c r="F5" s="1111"/>
    </row>
    <row r="6" ht="12.75">
      <c r="C6" s="517"/>
    </row>
    <row r="7" spans="2:6" ht="12.75">
      <c r="B7" s="88"/>
      <c r="C7" s="1111"/>
      <c r="D7" s="1111"/>
      <c r="E7" s="1111"/>
      <c r="F7" s="1111"/>
    </row>
    <row r="8" ht="12.75" customHeight="1" hidden="1"/>
    <row r="9" ht="5.25" customHeight="1"/>
    <row r="10" ht="5.25" customHeight="1"/>
    <row r="11" ht="18" customHeight="1" thickBot="1"/>
    <row r="12" spans="2:9" s="88" customFormat="1" ht="38.25" customHeight="1" thickBot="1">
      <c r="B12" s="1113" t="s">
        <v>71</v>
      </c>
      <c r="C12" s="1116" t="s">
        <v>215</v>
      </c>
      <c r="D12" s="1103" t="s">
        <v>765</v>
      </c>
      <c r="E12" s="1104"/>
      <c r="F12" s="1105" t="s">
        <v>325</v>
      </c>
      <c r="G12" s="1103" t="s">
        <v>858</v>
      </c>
      <c r="H12" s="1104"/>
      <c r="I12" s="1105" t="s">
        <v>325</v>
      </c>
    </row>
    <row r="13" spans="2:9" s="88" customFormat="1" ht="12.75" customHeight="1" thickBot="1">
      <c r="B13" s="1114"/>
      <c r="C13" s="1117"/>
      <c r="D13" s="1107" t="s">
        <v>72</v>
      </c>
      <c r="E13" s="1109" t="s">
        <v>73</v>
      </c>
      <c r="F13" s="1106"/>
      <c r="G13" s="1107" t="s">
        <v>72</v>
      </c>
      <c r="H13" s="1109" t="s">
        <v>73</v>
      </c>
      <c r="I13" s="1106"/>
    </row>
    <row r="14" spans="2:9" s="88" customFormat="1" ht="42.75" customHeight="1" thickBot="1">
      <c r="B14" s="1115"/>
      <c r="C14" s="1118"/>
      <c r="D14" s="1108"/>
      <c r="E14" s="1110"/>
      <c r="F14" s="1106"/>
      <c r="G14" s="1108"/>
      <c r="H14" s="1110"/>
      <c r="I14" s="1106"/>
    </row>
    <row r="15" spans="2:9" s="78" customFormat="1" ht="12">
      <c r="B15" s="909"/>
      <c r="C15" s="910"/>
      <c r="D15" s="911"/>
      <c r="E15" s="912"/>
      <c r="F15" s="913"/>
      <c r="G15" s="911"/>
      <c r="H15" s="912"/>
      <c r="I15" s="913"/>
    </row>
    <row r="16" spans="2:9" s="78" customFormat="1" ht="12">
      <c r="B16" s="678"/>
      <c r="C16" s="679"/>
      <c r="D16" s="914"/>
      <c r="E16" s="680"/>
      <c r="F16" s="681"/>
      <c r="G16" s="914"/>
      <c r="H16" s="680"/>
      <c r="I16" s="681"/>
    </row>
    <row r="17" spans="2:9" s="78" customFormat="1" ht="12">
      <c r="B17" s="682"/>
      <c r="C17" s="683"/>
      <c r="D17" s="693"/>
      <c r="E17" s="680"/>
      <c r="F17" s="681"/>
      <c r="G17" s="693"/>
      <c r="H17" s="680"/>
      <c r="I17" s="681"/>
    </row>
    <row r="18" spans="2:9" s="78" customFormat="1" ht="12">
      <c r="B18" s="678"/>
      <c r="C18" s="679"/>
      <c r="D18" s="914"/>
      <c r="E18" s="680"/>
      <c r="F18" s="681"/>
      <c r="G18" s="914"/>
      <c r="H18" s="680"/>
      <c r="I18" s="681"/>
    </row>
    <row r="19" spans="2:9" s="78" customFormat="1" ht="12">
      <c r="B19" s="682" t="s">
        <v>791</v>
      </c>
      <c r="C19" s="683"/>
      <c r="D19" s="693">
        <v>14</v>
      </c>
      <c r="E19" s="684"/>
      <c r="F19" s="685">
        <v>1</v>
      </c>
      <c r="G19" s="693">
        <v>14</v>
      </c>
      <c r="H19" s="684"/>
      <c r="I19" s="685">
        <v>1</v>
      </c>
    </row>
    <row r="20" spans="2:9" s="78" customFormat="1" ht="12">
      <c r="B20" s="822" t="s">
        <v>838</v>
      </c>
      <c r="C20" s="806"/>
      <c r="D20" s="693">
        <v>10</v>
      </c>
      <c r="E20" s="684"/>
      <c r="F20" s="685"/>
      <c r="G20" s="693">
        <v>10</v>
      </c>
      <c r="H20" s="684"/>
      <c r="I20" s="685"/>
    </row>
    <row r="21" spans="2:9" s="78" customFormat="1" ht="12">
      <c r="B21" s="678" t="s">
        <v>839</v>
      </c>
      <c r="C21" s="679"/>
      <c r="D21" s="914">
        <v>4</v>
      </c>
      <c r="E21" s="680"/>
      <c r="F21" s="686"/>
      <c r="G21" s="914">
        <v>4</v>
      </c>
      <c r="H21" s="680"/>
      <c r="I21" s="686"/>
    </row>
    <row r="22" spans="2:9" s="78" customFormat="1" ht="12">
      <c r="B22" s="678"/>
      <c r="C22" s="679"/>
      <c r="D22" s="915"/>
      <c r="E22" s="687"/>
      <c r="F22" s="681"/>
      <c r="G22" s="915"/>
      <c r="H22" s="687"/>
      <c r="I22" s="681"/>
    </row>
    <row r="23" spans="2:9" s="78" customFormat="1" ht="12">
      <c r="B23" s="682" t="s">
        <v>213</v>
      </c>
      <c r="C23" s="683"/>
      <c r="D23" s="916">
        <v>5</v>
      </c>
      <c r="E23" s="688"/>
      <c r="F23" s="917">
        <v>5</v>
      </c>
      <c r="G23" s="916">
        <f>SUM(G24:G31)</f>
        <v>14</v>
      </c>
      <c r="H23" s="688"/>
      <c r="I23" s="917">
        <v>5</v>
      </c>
    </row>
    <row r="24" spans="2:9" s="78" customFormat="1" ht="12">
      <c r="B24" s="678" t="s">
        <v>300</v>
      </c>
      <c r="C24" s="679"/>
      <c r="D24" s="918">
        <v>4</v>
      </c>
      <c r="E24" s="689"/>
      <c r="F24" s="681"/>
      <c r="G24" s="918">
        <v>4</v>
      </c>
      <c r="H24" s="689"/>
      <c r="I24" s="681"/>
    </row>
    <row r="25" spans="2:9" s="78" customFormat="1" ht="12">
      <c r="B25" s="678" t="s">
        <v>828</v>
      </c>
      <c r="C25" s="679"/>
      <c r="D25" s="914">
        <v>1</v>
      </c>
      <c r="E25" s="680"/>
      <c r="F25" s="681"/>
      <c r="G25" s="914">
        <v>1</v>
      </c>
      <c r="H25" s="680"/>
      <c r="I25" s="681"/>
    </row>
    <row r="26" spans="2:9" s="78" customFormat="1" ht="12">
      <c r="B26" s="678" t="s">
        <v>301</v>
      </c>
      <c r="C26" s="679"/>
      <c r="D26" s="914"/>
      <c r="E26" s="680"/>
      <c r="F26" s="681"/>
      <c r="G26" s="914"/>
      <c r="H26" s="680"/>
      <c r="I26" s="681"/>
    </row>
    <row r="27" spans="2:9" s="78" customFormat="1" ht="12">
      <c r="B27" s="678" t="s">
        <v>115</v>
      </c>
      <c r="C27" s="679"/>
      <c r="D27" s="914"/>
      <c r="E27" s="680"/>
      <c r="F27" s="686">
        <v>2</v>
      </c>
      <c r="G27" s="914"/>
      <c r="H27" s="680"/>
      <c r="I27" s="686">
        <v>2</v>
      </c>
    </row>
    <row r="28" spans="2:9" s="78" customFormat="1" ht="12">
      <c r="B28" s="678" t="s">
        <v>302</v>
      </c>
      <c r="C28" s="679"/>
      <c r="D28" s="914"/>
      <c r="E28" s="680"/>
      <c r="F28" s="686">
        <v>1</v>
      </c>
      <c r="G28" s="914"/>
      <c r="H28" s="680"/>
      <c r="I28" s="686">
        <v>1</v>
      </c>
    </row>
    <row r="29" spans="2:9" s="78" customFormat="1" ht="12">
      <c r="B29" s="678" t="s">
        <v>829</v>
      </c>
      <c r="C29" s="679"/>
      <c r="D29" s="914"/>
      <c r="E29" s="680"/>
      <c r="F29" s="686">
        <v>2</v>
      </c>
      <c r="G29" s="914"/>
      <c r="H29" s="680"/>
      <c r="I29" s="686">
        <v>2</v>
      </c>
    </row>
    <row r="30" spans="2:9" s="78" customFormat="1" ht="12">
      <c r="B30" s="678"/>
      <c r="C30" s="679"/>
      <c r="D30" s="914"/>
      <c r="E30" s="680"/>
      <c r="F30" s="681"/>
      <c r="G30" s="914"/>
      <c r="H30" s="680"/>
      <c r="I30" s="681"/>
    </row>
    <row r="31" spans="2:9" s="78" customFormat="1" ht="12">
      <c r="B31" s="678" t="s">
        <v>326</v>
      </c>
      <c r="C31" s="679" t="s">
        <v>857</v>
      </c>
      <c r="D31" s="914" t="s">
        <v>860</v>
      </c>
      <c r="E31" s="680"/>
      <c r="F31" s="690"/>
      <c r="G31" s="914">
        <v>9</v>
      </c>
      <c r="H31" s="680"/>
      <c r="I31" s="690"/>
    </row>
    <row r="32" spans="2:9" s="78" customFormat="1" ht="12">
      <c r="B32" s="678"/>
      <c r="C32" s="679"/>
      <c r="D32" s="914"/>
      <c r="E32" s="680"/>
      <c r="F32" s="690"/>
      <c r="G32" s="914"/>
      <c r="H32" s="680"/>
      <c r="I32" s="690"/>
    </row>
    <row r="33" spans="2:9" s="78" customFormat="1" ht="12">
      <c r="B33" s="678"/>
      <c r="C33" s="679"/>
      <c r="D33" s="914"/>
      <c r="E33" s="680"/>
      <c r="F33" s="690"/>
      <c r="G33" s="914"/>
      <c r="H33" s="680"/>
      <c r="I33" s="690"/>
    </row>
    <row r="34" spans="2:9" s="78" customFormat="1" ht="12">
      <c r="B34" s="678"/>
      <c r="C34" s="679"/>
      <c r="D34" s="914"/>
      <c r="E34" s="680"/>
      <c r="F34" s="690"/>
      <c r="G34" s="914"/>
      <c r="H34" s="680"/>
      <c r="I34" s="690"/>
    </row>
    <row r="35" spans="2:9" s="8" customFormat="1" ht="12">
      <c r="B35" s="682"/>
      <c r="C35" s="683"/>
      <c r="D35" s="693"/>
      <c r="E35" s="684"/>
      <c r="F35" s="681"/>
      <c r="G35" s="693"/>
      <c r="H35" s="684"/>
      <c r="I35" s="681"/>
    </row>
    <row r="36" spans="2:9" s="78" customFormat="1" ht="12" hidden="1">
      <c r="B36" s="678"/>
      <c r="C36" s="679"/>
      <c r="D36" s="914"/>
      <c r="E36" s="680"/>
      <c r="F36" s="681"/>
      <c r="G36" s="914"/>
      <c r="H36" s="680"/>
      <c r="I36" s="681"/>
    </row>
    <row r="37" spans="2:9" s="8" customFormat="1" ht="12" hidden="1">
      <c r="B37" s="691"/>
      <c r="C37" s="692"/>
      <c r="D37" s="693"/>
      <c r="E37" s="684"/>
      <c r="F37" s="694"/>
      <c r="G37" s="693"/>
      <c r="H37" s="684"/>
      <c r="I37" s="694"/>
    </row>
    <row r="38" spans="2:9" s="78" customFormat="1" ht="12" hidden="1">
      <c r="B38" s="678"/>
      <c r="C38" s="679"/>
      <c r="D38" s="914"/>
      <c r="E38" s="680"/>
      <c r="F38" s="681"/>
      <c r="G38" s="914"/>
      <c r="H38" s="680"/>
      <c r="I38" s="681"/>
    </row>
    <row r="39" spans="2:9" s="78" customFormat="1" ht="12" hidden="1">
      <c r="B39" s="678"/>
      <c r="C39" s="679"/>
      <c r="D39" s="914"/>
      <c r="E39" s="680"/>
      <c r="F39" s="681"/>
      <c r="G39" s="914"/>
      <c r="H39" s="680"/>
      <c r="I39" s="681"/>
    </row>
    <row r="40" spans="2:9" s="78" customFormat="1" ht="12" hidden="1">
      <c r="B40" s="678"/>
      <c r="C40" s="679"/>
      <c r="D40" s="914"/>
      <c r="E40" s="680"/>
      <c r="F40" s="681"/>
      <c r="G40" s="914"/>
      <c r="H40" s="680"/>
      <c r="I40" s="681"/>
    </row>
    <row r="41" spans="2:9" s="78" customFormat="1" ht="12" hidden="1">
      <c r="B41" s="678"/>
      <c r="C41" s="679"/>
      <c r="D41" s="914"/>
      <c r="E41" s="680"/>
      <c r="F41" s="681"/>
      <c r="G41" s="914"/>
      <c r="H41" s="680"/>
      <c r="I41" s="681"/>
    </row>
    <row r="42" spans="2:9" s="78" customFormat="1" ht="12">
      <c r="B42" s="678"/>
      <c r="C42" s="679"/>
      <c r="D42" s="914"/>
      <c r="E42" s="680"/>
      <c r="F42" s="681"/>
      <c r="G42" s="914"/>
      <c r="H42" s="680"/>
      <c r="I42" s="681"/>
    </row>
    <row r="43" spans="2:9" s="78" customFormat="1" ht="12.75" thickBot="1">
      <c r="B43" s="695"/>
      <c r="C43" s="696"/>
      <c r="D43" s="919"/>
      <c r="E43" s="920"/>
      <c r="F43" s="921"/>
      <c r="G43" s="915"/>
      <c r="H43" s="687"/>
      <c r="I43" s="697"/>
    </row>
    <row r="44" spans="2:9" s="78" customFormat="1" ht="12.75" thickBot="1">
      <c r="B44" s="698" t="s">
        <v>74</v>
      </c>
      <c r="C44" s="699"/>
      <c r="D44" s="700">
        <f>D15+D17+D19+D23+D35+D37</f>
        <v>19</v>
      </c>
      <c r="E44" s="701">
        <f>E15+E17+E19+E23+E35+E37</f>
        <v>0</v>
      </c>
      <c r="F44" s="702">
        <f>F15+F17+F19+F23+F35+F37</f>
        <v>6</v>
      </c>
      <c r="G44" s="922">
        <f>G15+G17+G19+G23+G35+G37</f>
        <v>28</v>
      </c>
      <c r="H44" s="701">
        <f aca="true" t="shared" si="0" ref="H44:I44">H15+H17+H19+H23+H35+H37</f>
        <v>0</v>
      </c>
      <c r="I44" s="702">
        <f t="shared" si="0"/>
        <v>6</v>
      </c>
    </row>
    <row r="45" spans="2:3" s="88" customFormat="1" ht="12.75">
      <c r="B45" s="703"/>
      <c r="C45" s="703"/>
    </row>
    <row r="46" spans="2:6" s="88" customFormat="1" ht="12.75" customHeight="1">
      <c r="B46" s="1112"/>
      <c r="C46" s="1112"/>
      <c r="D46" s="1112"/>
      <c r="E46" s="1112"/>
      <c r="F46" s="1112"/>
    </row>
    <row r="47" spans="2:6" s="88" customFormat="1" ht="6" customHeight="1">
      <c r="B47" s="704"/>
      <c r="C47" s="704"/>
      <c r="D47" s="704"/>
      <c r="E47" s="704"/>
      <c r="F47" s="704"/>
    </row>
    <row r="48" spans="2:6" s="88" customFormat="1" ht="12.75">
      <c r="B48" s="1112" t="s">
        <v>859</v>
      </c>
      <c r="C48" s="1112"/>
      <c r="D48" s="1112"/>
      <c r="E48" s="1112"/>
      <c r="F48" s="1112"/>
    </row>
    <row r="49" spans="2:6" s="88" customFormat="1" ht="7.5" customHeight="1">
      <c r="B49" s="704"/>
      <c r="C49" s="704"/>
      <c r="D49" s="704"/>
      <c r="E49" s="704"/>
      <c r="F49" s="704"/>
    </row>
    <row r="50" spans="2:6" s="88" customFormat="1" ht="21" customHeight="1">
      <c r="B50" s="1112"/>
      <c r="C50" s="1112"/>
      <c r="D50" s="1112"/>
      <c r="E50" s="1112"/>
      <c r="F50" s="1112"/>
    </row>
    <row r="51" spans="2:6" s="88" customFormat="1" ht="6.75" customHeight="1">
      <c r="B51" s="704"/>
      <c r="C51" s="704"/>
      <c r="D51" s="704"/>
      <c r="E51" s="704"/>
      <c r="F51" s="704"/>
    </row>
    <row r="52" spans="2:6" s="88" customFormat="1" ht="12.75" customHeight="1">
      <c r="B52" s="1112"/>
      <c r="C52" s="1112"/>
      <c r="D52" s="1112"/>
      <c r="E52" s="1112"/>
      <c r="F52" s="1112"/>
    </row>
    <row r="53" spans="2:6" s="88" customFormat="1" ht="5.25" customHeight="1">
      <c r="B53" s="704"/>
      <c r="C53" s="704"/>
      <c r="D53" s="704"/>
      <c r="E53" s="704"/>
      <c r="F53" s="704"/>
    </row>
    <row r="54" spans="2:6" s="88" customFormat="1" ht="12.75" customHeight="1">
      <c r="B54" s="1112"/>
      <c r="C54" s="1112"/>
      <c r="D54" s="1112"/>
      <c r="E54" s="1112"/>
      <c r="F54" s="1112"/>
    </row>
    <row r="55" spans="2:6" s="88" customFormat="1" ht="5.25" customHeight="1">
      <c r="B55" s="704"/>
      <c r="C55" s="704"/>
      <c r="D55" s="704"/>
      <c r="E55" s="704"/>
      <c r="F55" s="704"/>
    </row>
    <row r="56" spans="2:6" s="88" customFormat="1" ht="21.75" customHeight="1">
      <c r="B56" s="1112"/>
      <c r="C56" s="1112"/>
      <c r="D56" s="1112"/>
      <c r="E56" s="1112"/>
      <c r="F56" s="1112"/>
    </row>
    <row r="57" ht="12.75">
      <c r="B57" s="88"/>
    </row>
  </sheetData>
  <mergeCells count="18">
    <mergeCell ref="B52:F52"/>
    <mergeCell ref="B56:F56"/>
    <mergeCell ref="B12:B14"/>
    <mergeCell ref="D12:E12"/>
    <mergeCell ref="F12:F14"/>
    <mergeCell ref="B46:F46"/>
    <mergeCell ref="E13:E14"/>
    <mergeCell ref="D13:D14"/>
    <mergeCell ref="B50:F50"/>
    <mergeCell ref="B48:F48"/>
    <mergeCell ref="B54:F54"/>
    <mergeCell ref="C12:C14"/>
    <mergeCell ref="G12:H12"/>
    <mergeCell ref="I12:I14"/>
    <mergeCell ref="G13:G14"/>
    <mergeCell ref="H13:H14"/>
    <mergeCell ref="B5:F5"/>
    <mergeCell ref="C7:F7"/>
  </mergeCells>
  <printOptions horizontalCentered="1"/>
  <pageMargins left="0.15748031496062992" right="0.35433070866141736" top="0.15748031496062992" bottom="0.3937007874015748" header="0.15748031496062992" footer="0.3937007874015748"/>
  <pageSetup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 topLeftCell="A7">
      <selection activeCell="C19" sqref="C19"/>
    </sheetView>
  </sheetViews>
  <sheetFormatPr defaultColWidth="9.00390625" defaultRowHeight="12.75"/>
  <cols>
    <col min="1" max="1" width="1.875" style="13" customWidth="1"/>
    <col min="2" max="2" width="42.75390625" style="13" bestFit="1" customWidth="1"/>
    <col min="3" max="3" width="14.75390625" style="13" customWidth="1"/>
    <col min="4" max="6" width="12.875" style="13" customWidth="1"/>
    <col min="7" max="16384" width="9.125" style="13" customWidth="1"/>
  </cols>
  <sheetData>
    <row r="1" spans="2:3" ht="12.75">
      <c r="B1" s="298" t="s">
        <v>88</v>
      </c>
      <c r="C1" s="13" t="str">
        <f>'bev-int'!B1</f>
        <v>melléklet a 12/2020.(IX.17.) önkormányzati rendelethez</v>
      </c>
    </row>
    <row r="2" ht="12.75">
      <c r="B2" s="12"/>
    </row>
    <row r="3" ht="12.75">
      <c r="B3" s="12"/>
    </row>
    <row r="4" spans="2:6" ht="33.75" customHeight="1">
      <c r="B4" s="1119" t="s">
        <v>546</v>
      </c>
      <c r="C4" s="1119"/>
      <c r="D4" s="1119"/>
      <c r="E4" s="1119"/>
      <c r="F4" s="1119"/>
    </row>
    <row r="5" spans="2:5" ht="12.75">
      <c r="B5" s="1010"/>
      <c r="C5" s="1010"/>
      <c r="D5" s="1010"/>
      <c r="E5" s="1010"/>
    </row>
    <row r="6" spans="2:6" ht="12.75">
      <c r="B6" s="90"/>
      <c r="C6" s="90"/>
      <c r="D6" s="90"/>
      <c r="E6" s="90"/>
      <c r="F6" s="292"/>
    </row>
    <row r="7" spans="2:6" ht="12.75">
      <c r="B7" s="90"/>
      <c r="C7" s="90"/>
      <c r="D7" s="90"/>
      <c r="E7" s="90"/>
      <c r="F7" s="292"/>
    </row>
    <row r="8" s="109" customFormat="1" ht="12.75" thickBot="1"/>
    <row r="9" spans="2:6" s="109" customFormat="1" ht="60.75" customHeight="1" thickBot="1">
      <c r="B9" s="139" t="s">
        <v>44</v>
      </c>
      <c r="C9" s="140" t="s">
        <v>547</v>
      </c>
      <c r="D9" s="140" t="s">
        <v>644</v>
      </c>
      <c r="E9" s="140" t="s">
        <v>734</v>
      </c>
      <c r="F9" s="140" t="s">
        <v>762</v>
      </c>
    </row>
    <row r="10" spans="2:6" s="109" customFormat="1" ht="12">
      <c r="B10" s="141" t="s">
        <v>285</v>
      </c>
      <c r="C10" s="239">
        <f>b_k_ré!F51+b_k_ré!F54+b_k_ré!F57+b_k_ré!F58+b_k_ré!F61</f>
        <v>33150</v>
      </c>
      <c r="D10" s="239">
        <v>33200</v>
      </c>
      <c r="E10" s="240">
        <v>33500</v>
      </c>
      <c r="F10" s="240">
        <v>34000</v>
      </c>
    </row>
    <row r="11" spans="2:6" s="109" customFormat="1" ht="12">
      <c r="B11" s="142" t="s">
        <v>286</v>
      </c>
      <c r="C11" s="241">
        <f>b_k_ré!D85</f>
        <v>500</v>
      </c>
      <c r="D11" s="241">
        <v>502</v>
      </c>
      <c r="E11" s="242">
        <v>400</v>
      </c>
      <c r="F11" s="242">
        <v>400</v>
      </c>
    </row>
    <row r="12" spans="2:6" s="109" customFormat="1" ht="12">
      <c r="B12" s="142" t="s">
        <v>287</v>
      </c>
      <c r="C12" s="241">
        <f>b_k_ré!F65</f>
        <v>100</v>
      </c>
      <c r="D12" s="241">
        <v>102</v>
      </c>
      <c r="E12" s="242">
        <v>105</v>
      </c>
      <c r="F12" s="242">
        <v>105</v>
      </c>
    </row>
    <row r="13" spans="2:6" s="109" customFormat="1" ht="12">
      <c r="B13" s="143" t="s">
        <v>288</v>
      </c>
      <c r="C13" s="243">
        <f>b_k_ré!F64</f>
        <v>0</v>
      </c>
      <c r="D13" s="243"/>
      <c r="E13" s="244"/>
      <c r="F13" s="244"/>
    </row>
    <row r="14" spans="2:6" s="109" customFormat="1" ht="30.75" customHeight="1">
      <c r="B14" s="143" t="s">
        <v>854</v>
      </c>
      <c r="C14" s="243">
        <f>b_k_ré!D74</f>
        <v>3555.844</v>
      </c>
      <c r="D14" s="243">
        <v>3655.9</v>
      </c>
      <c r="E14" s="244">
        <v>4000</v>
      </c>
      <c r="F14" s="244">
        <v>4200</v>
      </c>
    </row>
    <row r="15" spans="2:6" s="109" customFormat="1" ht="31.5" customHeight="1">
      <c r="B15" s="143" t="s">
        <v>289</v>
      </c>
      <c r="C15" s="243">
        <f>b_k_ré!D78</f>
        <v>2755.513</v>
      </c>
      <c r="D15" s="243">
        <v>2800</v>
      </c>
      <c r="E15" s="244">
        <v>3000</v>
      </c>
      <c r="F15" s="244">
        <v>3200</v>
      </c>
    </row>
    <row r="16" spans="2:6" s="109" customFormat="1" ht="60" customHeight="1">
      <c r="B16" s="142" t="s">
        <v>291</v>
      </c>
      <c r="C16" s="241">
        <f>b_k_ré!D95</f>
        <v>0</v>
      </c>
      <c r="D16" s="241"/>
      <c r="E16" s="242"/>
      <c r="F16" s="242"/>
    </row>
    <row r="17" spans="2:6" s="109" customFormat="1" ht="12">
      <c r="B17" s="142" t="s">
        <v>292</v>
      </c>
      <c r="C17" s="241">
        <f>SUM(C10:C16)</f>
        <v>40061.356999999996</v>
      </c>
      <c r="D17" s="241">
        <f>SUM(D10:D16)</f>
        <v>40259.9</v>
      </c>
      <c r="E17" s="242">
        <f>SUM(E10:E16)</f>
        <v>41005</v>
      </c>
      <c r="F17" s="242">
        <f>SUM(F10:F16)</f>
        <v>41905</v>
      </c>
    </row>
    <row r="18" spans="2:6" s="109" customFormat="1" ht="12">
      <c r="B18" s="142" t="s">
        <v>293</v>
      </c>
      <c r="C18" s="241">
        <f>C17/2</f>
        <v>20030.678499999998</v>
      </c>
      <c r="D18" s="241">
        <f>D17/2</f>
        <v>20129.95</v>
      </c>
      <c r="E18" s="242">
        <f>E17/2</f>
        <v>20502.5</v>
      </c>
      <c r="F18" s="242">
        <f>F17/2</f>
        <v>20952.5</v>
      </c>
    </row>
    <row r="19" spans="2:6" s="109" customFormat="1" ht="33" customHeight="1">
      <c r="B19" s="142" t="s">
        <v>294</v>
      </c>
      <c r="C19" s="241">
        <v>0</v>
      </c>
      <c r="D19" s="241">
        <v>0</v>
      </c>
      <c r="E19" s="242">
        <v>0</v>
      </c>
      <c r="F19" s="242">
        <v>0</v>
      </c>
    </row>
    <row r="20" spans="2:6" s="109" customFormat="1" ht="24">
      <c r="B20" s="143" t="s">
        <v>295</v>
      </c>
      <c r="C20" s="241">
        <v>0</v>
      </c>
      <c r="D20" s="241">
        <v>0</v>
      </c>
      <c r="E20" s="242">
        <v>0</v>
      </c>
      <c r="F20" s="242">
        <v>0</v>
      </c>
    </row>
    <row r="21" spans="2:6" s="109" customFormat="1" ht="30.75" customHeight="1" thickBot="1">
      <c r="B21" s="144" t="s">
        <v>296</v>
      </c>
      <c r="C21" s="245">
        <v>0</v>
      </c>
      <c r="D21" s="245">
        <v>0</v>
      </c>
      <c r="E21" s="246">
        <v>0</v>
      </c>
      <c r="F21" s="246">
        <v>0</v>
      </c>
    </row>
    <row r="22" spans="2:6" s="109" customFormat="1" ht="27.75" customHeight="1" thickBot="1">
      <c r="B22" s="146" t="s">
        <v>297</v>
      </c>
      <c r="C22" s="247">
        <v>0</v>
      </c>
      <c r="D22" s="247">
        <f>D19+D21</f>
        <v>0</v>
      </c>
      <c r="E22" s="248">
        <f>E19+E21</f>
        <v>0</v>
      </c>
      <c r="F22" s="248">
        <f>F19+F21</f>
        <v>0</v>
      </c>
    </row>
    <row r="23" spans="2:6" s="109" customFormat="1" ht="24.75" thickBot="1">
      <c r="B23" s="145" t="s">
        <v>298</v>
      </c>
      <c r="C23" s="249">
        <f>C18-C22</f>
        <v>20030.678499999998</v>
      </c>
      <c r="D23" s="249">
        <f>D18-D22</f>
        <v>20129.95</v>
      </c>
      <c r="E23" s="250">
        <f>E18-E22</f>
        <v>20502.5</v>
      </c>
      <c r="F23" s="250">
        <f>F18-F22</f>
        <v>20952.5</v>
      </c>
    </row>
    <row r="24" spans="3:6" s="78" customFormat="1" ht="12">
      <c r="C24" s="238"/>
      <c r="D24" s="238"/>
      <c r="E24" s="238"/>
      <c r="F24" s="238"/>
    </row>
    <row r="25" spans="3:6" s="78" customFormat="1" ht="12">
      <c r="C25" s="238"/>
      <c r="D25" s="238"/>
      <c r="E25" s="238"/>
      <c r="F25" s="238"/>
    </row>
    <row r="26" s="78" customFormat="1" ht="12"/>
    <row r="27" s="78" customFormat="1" ht="12"/>
    <row r="28" s="78" customFormat="1" ht="12"/>
    <row r="29" s="78" customFormat="1" ht="12"/>
    <row r="30" s="78" customFormat="1" ht="12"/>
    <row r="31" s="78" customFormat="1" ht="12"/>
    <row r="32" s="78" customFormat="1" ht="12"/>
    <row r="33" s="78" customFormat="1" ht="12"/>
    <row r="34" s="78" customFormat="1" ht="12"/>
    <row r="35" s="78" customFormat="1" ht="12"/>
    <row r="36" s="78" customFormat="1" ht="12"/>
    <row r="37" s="78" customFormat="1" ht="12"/>
    <row r="38" s="78" customFormat="1" ht="12"/>
    <row r="39" s="78" customFormat="1" ht="12"/>
    <row r="40" s="78" customFormat="1" ht="12"/>
    <row r="41" s="78" customFormat="1" ht="12"/>
    <row r="42" s="78" customFormat="1" ht="12"/>
    <row r="43" s="78" customFormat="1" ht="12"/>
    <row r="44" s="78" customFormat="1" ht="12"/>
    <row r="45" s="78" customFormat="1" ht="12"/>
    <row r="46" s="78" customFormat="1" ht="12"/>
    <row r="47" s="78" customFormat="1" ht="12"/>
    <row r="48" s="78" customFormat="1" ht="12"/>
    <row r="49" s="78" customFormat="1" ht="12"/>
    <row r="50" s="78" customFormat="1" ht="12"/>
    <row r="51" s="78" customFormat="1" ht="12"/>
    <row r="52" s="78" customFormat="1" ht="12"/>
    <row r="53" s="78" customFormat="1" ht="12"/>
    <row r="54" s="78" customFormat="1" ht="12"/>
    <row r="55" s="78" customFormat="1" ht="12"/>
    <row r="56" s="78" customFormat="1" ht="12"/>
    <row r="57" s="78" customFormat="1" ht="12"/>
    <row r="58" s="78" customFormat="1" ht="12"/>
    <row r="59" s="78" customFormat="1" ht="12"/>
    <row r="60" s="78" customFormat="1" ht="12"/>
    <row r="61" s="78" customFormat="1" ht="12"/>
    <row r="62" s="78" customFormat="1" ht="12"/>
    <row r="63" s="78" customFormat="1" ht="12"/>
    <row r="64" s="78" customFormat="1" ht="12"/>
    <row r="65" s="78" customFormat="1" ht="12"/>
    <row r="66" s="78" customFormat="1" ht="12"/>
    <row r="67" s="78" customFormat="1" ht="12"/>
  </sheetData>
  <mergeCells count="2">
    <mergeCell ref="B5:E5"/>
    <mergeCell ref="B4:F4"/>
  </mergeCells>
  <printOptions horizontalCentered="1"/>
  <pageMargins left="0.17" right="0.43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 topLeftCell="A1"/>
  </sheetViews>
  <sheetFormatPr defaultColWidth="9.00390625" defaultRowHeight="12.75"/>
  <cols>
    <col min="1" max="1" width="34.25390625" style="2" customWidth="1"/>
    <col min="2" max="2" width="15.75390625" style="2" customWidth="1"/>
    <col min="3" max="3" width="34.25390625" style="2" customWidth="1"/>
    <col min="4" max="5" width="15.75390625" style="2" customWidth="1"/>
    <col min="6" max="16384" width="9.125" style="2" customWidth="1"/>
  </cols>
  <sheetData>
    <row r="1" spans="1:2" ht="12.75">
      <c r="A1" s="824" t="s">
        <v>89</v>
      </c>
      <c r="B1" s="2" t="str">
        <f>'bev-int'!B1</f>
        <v>melléklet a 12/2020.(IX.17.) önkormányzati rendelethez</v>
      </c>
    </row>
    <row r="3" spans="1:3" ht="12.75">
      <c r="A3" s="1014"/>
      <c r="B3" s="1014"/>
      <c r="C3" s="1014"/>
    </row>
    <row r="4" spans="1:3" ht="12.75">
      <c r="A4" s="96"/>
      <c r="B4" s="96"/>
      <c r="C4" s="96"/>
    </row>
    <row r="5" spans="1:5" ht="12.75">
      <c r="A5" s="1014" t="s">
        <v>792</v>
      </c>
      <c r="B5" s="1014"/>
      <c r="C5" s="1014"/>
      <c r="D5" s="1014"/>
      <c r="E5" s="1014"/>
    </row>
    <row r="6" spans="1:3" ht="12.75">
      <c r="A6" s="1014"/>
      <c r="B6" s="1014"/>
      <c r="C6" s="1014"/>
    </row>
    <row r="8" ht="12.75">
      <c r="E8" s="87" t="s">
        <v>59</v>
      </c>
    </row>
    <row r="9" spans="1:5" ht="26.25" customHeight="1">
      <c r="A9" s="98" t="s">
        <v>44</v>
      </c>
      <c r="B9" s="98" t="s">
        <v>67</v>
      </c>
      <c r="C9" s="98" t="s">
        <v>44</v>
      </c>
      <c r="D9" s="98" t="s">
        <v>67</v>
      </c>
      <c r="E9" s="98" t="s">
        <v>66</v>
      </c>
    </row>
    <row r="10" spans="1:5" ht="13.5" customHeight="1">
      <c r="A10" s="98"/>
      <c r="B10" s="98"/>
      <c r="C10" s="98"/>
      <c r="D10" s="98"/>
      <c r="E10" s="98"/>
    </row>
    <row r="11" spans="1:5" ht="12.75">
      <c r="A11" s="99" t="s">
        <v>48</v>
      </c>
      <c r="B11" s="251">
        <f>'bev-int'!C31</f>
        <v>670234.5549999999</v>
      </c>
      <c r="C11" s="99" t="s">
        <v>53</v>
      </c>
      <c r="D11" s="251">
        <f>'kiad-int'!C22</f>
        <v>939552.3300000001</v>
      </c>
      <c r="E11" s="99"/>
    </row>
    <row r="12" spans="1:5" ht="12.75">
      <c r="A12" s="99"/>
      <c r="B12" s="99"/>
      <c r="C12" s="99"/>
      <c r="D12" s="99"/>
      <c r="E12" s="99"/>
    </row>
    <row r="13" spans="1:5" ht="12.75">
      <c r="A13" s="1120" t="s">
        <v>76</v>
      </c>
      <c r="B13" s="1120"/>
      <c r="C13" s="1120"/>
      <c r="D13" s="1120"/>
      <c r="E13" s="251">
        <f>B11-D11</f>
        <v>-269317.77500000014</v>
      </c>
    </row>
    <row r="14" spans="1:5" ht="12.75">
      <c r="A14" s="99"/>
      <c r="B14" s="99"/>
      <c r="C14" s="99"/>
      <c r="D14" s="99"/>
      <c r="E14" s="251"/>
    </row>
    <row r="15" spans="1:8" s="18" customFormat="1" ht="12.75">
      <c r="A15" s="99" t="s">
        <v>68</v>
      </c>
      <c r="B15" s="251">
        <f>'bev-int'!C42</f>
        <v>592803.3940000001</v>
      </c>
      <c r="C15" s="99" t="s">
        <v>64</v>
      </c>
      <c r="D15" s="99">
        <f>'kiad-int'!C32</f>
        <v>323485.619</v>
      </c>
      <c r="E15" s="251"/>
      <c r="F15" s="21"/>
      <c r="G15" s="21"/>
      <c r="H15" s="21"/>
    </row>
    <row r="16" spans="1:8" ht="12.75">
      <c r="A16" s="99"/>
      <c r="B16" s="99"/>
      <c r="C16" s="99"/>
      <c r="D16" s="99"/>
      <c r="E16" s="251"/>
      <c r="F16" s="19"/>
      <c r="G16" s="19"/>
      <c r="H16" s="19"/>
    </row>
    <row r="17" spans="1:8" s="18" customFormat="1" ht="12.75">
      <c r="A17" s="99"/>
      <c r="B17" s="99"/>
      <c r="C17" s="1122" t="s">
        <v>77</v>
      </c>
      <c r="D17" s="1123"/>
      <c r="E17" s="251">
        <f>B15-D15</f>
        <v>269317.7750000001</v>
      </c>
      <c r="F17" s="21"/>
      <c r="G17" s="21"/>
      <c r="H17" s="21"/>
    </row>
    <row r="18" spans="1:8" s="18" customFormat="1" ht="12.75">
      <c r="A18" s="99"/>
      <c r="B18" s="99"/>
      <c r="C18" s="100"/>
      <c r="D18" s="101"/>
      <c r="E18" s="251"/>
      <c r="F18" s="21"/>
      <c r="G18" s="21"/>
      <c r="H18" s="21"/>
    </row>
    <row r="19" spans="1:8" ht="12.75">
      <c r="A19" s="99" t="s">
        <v>78</v>
      </c>
      <c r="B19" s="251">
        <f>'bev-int'!C43</f>
        <v>1263037.949</v>
      </c>
      <c r="C19" s="99" t="s">
        <v>70</v>
      </c>
      <c r="D19" s="251">
        <f>'kiad-int'!C33</f>
        <v>1263037.949</v>
      </c>
      <c r="E19" s="251"/>
      <c r="F19" s="19"/>
      <c r="G19" s="19"/>
      <c r="H19" s="19"/>
    </row>
    <row r="20" spans="1:8" ht="12.75">
      <c r="A20" s="99"/>
      <c r="B20" s="99"/>
      <c r="C20" s="99"/>
      <c r="D20" s="251"/>
      <c r="E20" s="251"/>
      <c r="F20" s="19"/>
      <c r="G20" s="19"/>
      <c r="H20" s="19"/>
    </row>
    <row r="21" spans="1:8" ht="12.75">
      <c r="A21" s="1121" t="s">
        <v>66</v>
      </c>
      <c r="B21" s="1121"/>
      <c r="C21" s="1121"/>
      <c r="D21" s="1121"/>
      <c r="E21" s="251">
        <f>B19-D19</f>
        <v>0</v>
      </c>
      <c r="F21" s="19"/>
      <c r="G21" s="19"/>
      <c r="H21" s="19"/>
    </row>
    <row r="22" spans="1:8" ht="12.75">
      <c r="A22" s="102"/>
      <c r="B22" s="102"/>
      <c r="C22" s="102"/>
      <c r="D22" s="102"/>
      <c r="E22" s="102"/>
      <c r="F22" s="19"/>
      <c r="G22" s="19"/>
      <c r="H22" s="19"/>
    </row>
    <row r="23" spans="2:8" ht="12.75">
      <c r="B23" s="3"/>
      <c r="C23" s="3"/>
      <c r="D23" s="20"/>
      <c r="E23" s="19"/>
      <c r="F23" s="19"/>
      <c r="G23" s="19"/>
      <c r="H23" s="19"/>
    </row>
    <row r="24" spans="4:8" ht="12.75">
      <c r="D24" s="21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21"/>
      <c r="E26" s="21"/>
      <c r="F26" s="21"/>
      <c r="G26" s="21"/>
      <c r="H26" s="19"/>
    </row>
    <row r="27" spans="4:8" ht="12.75">
      <c r="D27" s="21"/>
      <c r="E27" s="21"/>
      <c r="F27" s="21"/>
      <c r="G27" s="21"/>
      <c r="H27" s="19"/>
    </row>
    <row r="28" spans="4:8" ht="12.75">
      <c r="D28" s="19"/>
      <c r="E28" s="19"/>
      <c r="F28" s="19"/>
      <c r="G28" s="19"/>
      <c r="H28" s="19"/>
    </row>
  </sheetData>
  <mergeCells count="6">
    <mergeCell ref="A13:D13"/>
    <mergeCell ref="A21:D21"/>
    <mergeCell ref="A3:C3"/>
    <mergeCell ref="A6:C6"/>
    <mergeCell ref="C17:D17"/>
    <mergeCell ref="A5:E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1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workbookViewId="0" topLeftCell="A122">
      <selection activeCell="F149" sqref="F149"/>
    </sheetView>
  </sheetViews>
  <sheetFormatPr defaultColWidth="9.00390625" defaultRowHeight="12.75"/>
  <cols>
    <col min="1" max="1" width="50.125" style="5" bestFit="1" customWidth="1"/>
    <col min="2" max="2" width="9.875" style="5" hidden="1" customWidth="1"/>
    <col min="3" max="3" width="9.875" style="5" customWidth="1"/>
    <col min="4" max="4" width="11.625" style="5" customWidth="1"/>
    <col min="5" max="5" width="9.25390625" style="5" bestFit="1" customWidth="1"/>
    <col min="6" max="6" width="12.625" style="5" bestFit="1" customWidth="1"/>
    <col min="7" max="7" width="9.125" style="5" customWidth="1"/>
    <col min="8" max="8" width="9.625" style="5" bestFit="1" customWidth="1"/>
    <col min="9" max="16384" width="9.125" style="5" customWidth="1"/>
  </cols>
  <sheetData>
    <row r="1" spans="1:4" ht="15" customHeight="1">
      <c r="A1" s="151"/>
      <c r="C1" s="151" t="s">
        <v>90</v>
      </c>
      <c r="D1" s="5" t="str">
        <f>'bev-int'!B1</f>
        <v>melléklet a 12/2020.(IX.17.) önkormányzati rendelethez</v>
      </c>
    </row>
    <row r="2" ht="9" customHeight="1">
      <c r="A2" s="151"/>
    </row>
    <row r="3" spans="1:6" ht="16.5" customHeight="1">
      <c r="A3" s="1026" t="s">
        <v>793</v>
      </c>
      <c r="B3" s="1026"/>
      <c r="C3" s="1026"/>
      <c r="D3" s="1026"/>
      <c r="E3" s="1026"/>
      <c r="F3" s="1026"/>
    </row>
    <row r="4" ht="16.5" customHeight="1" thickBot="1">
      <c r="F4" s="5" t="s">
        <v>59</v>
      </c>
    </row>
    <row r="5" spans="1:6" ht="39" customHeight="1" thickBot="1">
      <c r="A5" s="305" t="s">
        <v>44</v>
      </c>
      <c r="B5" s="122"/>
      <c r="C5" s="122" t="str">
        <f>'bev-int'!B7</f>
        <v>2020. évi eredeti terv</v>
      </c>
      <c r="D5" s="122" t="str">
        <f>'bev-int'!C7</f>
        <v>2020. évi módosított terv</v>
      </c>
      <c r="E5" s="121" t="str">
        <f>'bev-int'!D7</f>
        <v>Nyitnikék Óvoda</v>
      </c>
      <c r="F5" s="120" t="str">
        <f>'bev-int'!E7</f>
        <v>Önkormányzat</v>
      </c>
    </row>
    <row r="6" spans="1:6" ht="12.75">
      <c r="A6" s="306" t="s">
        <v>197</v>
      </c>
      <c r="B6" s="172"/>
      <c r="C6" s="174">
        <v>71015.54</v>
      </c>
      <c r="D6" s="172">
        <f aca="true" t="shared" si="0" ref="D6:D38">SUM(E6:F6)</f>
        <v>19032.54</v>
      </c>
      <c r="E6" s="173"/>
      <c r="F6" s="174">
        <f>'Áll.hj.'!G30/1000</f>
        <v>19032.54</v>
      </c>
    </row>
    <row r="7" spans="1:6" ht="12.75">
      <c r="A7" s="307" t="s">
        <v>198</v>
      </c>
      <c r="B7" s="175"/>
      <c r="C7" s="177">
        <v>47472.15</v>
      </c>
      <c r="D7" s="175">
        <f t="shared" si="0"/>
        <v>49353.38</v>
      </c>
      <c r="E7" s="176"/>
      <c r="F7" s="177">
        <f>'Áll.hj.'!G77/1000</f>
        <v>49353.38</v>
      </c>
    </row>
    <row r="8" spans="1:7" ht="12.75">
      <c r="A8" s="307" t="s">
        <v>199</v>
      </c>
      <c r="B8" s="175"/>
      <c r="C8" s="177">
        <v>32623.764</v>
      </c>
      <c r="D8" s="175">
        <f t="shared" si="0"/>
        <v>29139.348</v>
      </c>
      <c r="E8" s="176"/>
      <c r="F8" s="177">
        <f>'Áll.hj.'!G155/1000</f>
        <v>29139.348</v>
      </c>
      <c r="G8" s="213"/>
    </row>
    <row r="9" spans="1:7" ht="12.75" thickBot="1">
      <c r="A9" s="307" t="s">
        <v>200</v>
      </c>
      <c r="B9" s="175"/>
      <c r="C9" s="177">
        <v>2368.143</v>
      </c>
      <c r="D9" s="175">
        <f t="shared" si="0"/>
        <v>3243.233</v>
      </c>
      <c r="E9" s="176"/>
      <c r="F9" s="177">
        <f>'Áll.hj.'!G194/1000</f>
        <v>3243.233</v>
      </c>
      <c r="G9" s="213"/>
    </row>
    <row r="10" spans="1:7" ht="12.75" hidden="1">
      <c r="A10" s="307" t="s">
        <v>201</v>
      </c>
      <c r="B10" s="175"/>
      <c r="C10" s="177"/>
      <c r="D10" s="175">
        <f t="shared" si="0"/>
        <v>0</v>
      </c>
      <c r="E10" s="176"/>
      <c r="F10" s="177"/>
      <c r="G10" s="213"/>
    </row>
    <row r="11" spans="1:7" ht="12.75" hidden="1" thickBot="1">
      <c r="A11" s="308" t="s">
        <v>202</v>
      </c>
      <c r="B11" s="178"/>
      <c r="C11" s="180">
        <v>0</v>
      </c>
      <c r="D11" s="178">
        <f t="shared" si="0"/>
        <v>0</v>
      </c>
      <c r="E11" s="179"/>
      <c r="F11" s="180"/>
      <c r="G11" s="213"/>
    </row>
    <row r="12" spans="1:6" s="22" customFormat="1" ht="12.75" thickBot="1">
      <c r="A12" s="309" t="s">
        <v>168</v>
      </c>
      <c r="B12" s="291">
        <f aca="true" t="shared" si="1" ref="B12:E12">SUM(B6:B11)</f>
        <v>0</v>
      </c>
      <c r="C12" s="181">
        <f>SUM(C6:C11)</f>
        <v>153479.597</v>
      </c>
      <c r="D12" s="181">
        <f t="shared" si="0"/>
        <v>100768.50099999999</v>
      </c>
      <c r="E12" s="182">
        <f t="shared" si="1"/>
        <v>0</v>
      </c>
      <c r="F12" s="183">
        <f>SUM(F6:F11)</f>
        <v>100768.50099999999</v>
      </c>
    </row>
    <row r="13" spans="1:6" s="22" customFormat="1" ht="12.75" thickBot="1">
      <c r="A13" s="309" t="s">
        <v>629</v>
      </c>
      <c r="B13" s="291"/>
      <c r="C13" s="181">
        <v>0</v>
      </c>
      <c r="D13" s="181">
        <f t="shared" si="0"/>
        <v>279.64</v>
      </c>
      <c r="E13" s="182"/>
      <c r="F13" s="183">
        <v>279.64</v>
      </c>
    </row>
    <row r="14" spans="1:6" s="23" customFormat="1" ht="12.75" thickBot="1">
      <c r="A14" s="309" t="s">
        <v>261</v>
      </c>
      <c r="B14" s="291">
        <v>0</v>
      </c>
      <c r="C14" s="181">
        <v>0</v>
      </c>
      <c r="D14" s="181">
        <f t="shared" si="0"/>
        <v>0</v>
      </c>
      <c r="E14" s="182"/>
      <c r="F14" s="183"/>
    </row>
    <row r="15" spans="1:8" ht="12.75" hidden="1">
      <c r="A15" s="438"/>
      <c r="B15" s="184"/>
      <c r="C15" s="186">
        <v>0</v>
      </c>
      <c r="D15" s="184">
        <f t="shared" si="0"/>
        <v>0</v>
      </c>
      <c r="E15" s="185"/>
      <c r="F15" s="186"/>
      <c r="H15" s="213"/>
    </row>
    <row r="16" spans="1:8" ht="12.75" hidden="1">
      <c r="A16" s="438"/>
      <c r="B16" s="184"/>
      <c r="C16" s="186">
        <v>0</v>
      </c>
      <c r="D16" s="184">
        <f t="shared" si="0"/>
        <v>0</v>
      </c>
      <c r="E16" s="185"/>
      <c r="F16" s="186"/>
      <c r="H16" s="213"/>
    </row>
    <row r="17" spans="1:6" ht="12.75" hidden="1">
      <c r="A17" s="438"/>
      <c r="B17" s="184"/>
      <c r="C17" s="186"/>
      <c r="D17" s="184">
        <f t="shared" si="0"/>
        <v>0</v>
      </c>
      <c r="E17" s="185"/>
      <c r="F17" s="186"/>
    </row>
    <row r="18" spans="1:6" ht="12.75" hidden="1">
      <c r="A18" s="438"/>
      <c r="B18" s="184"/>
      <c r="C18" s="186"/>
      <c r="D18" s="184">
        <f t="shared" si="0"/>
        <v>0</v>
      </c>
      <c r="E18" s="185"/>
      <c r="F18" s="186"/>
    </row>
    <row r="19" spans="1:6" ht="12.75" hidden="1">
      <c r="A19" s="438"/>
      <c r="B19" s="184"/>
      <c r="C19" s="186"/>
      <c r="D19" s="184">
        <f t="shared" si="0"/>
        <v>0</v>
      </c>
      <c r="E19" s="185"/>
      <c r="F19" s="186"/>
    </row>
    <row r="20" spans="1:8" ht="12.75">
      <c r="A20" s="438" t="s">
        <v>865</v>
      </c>
      <c r="B20" s="184"/>
      <c r="C20" s="186"/>
      <c r="D20" s="184">
        <f t="shared" si="0"/>
        <v>9479.32</v>
      </c>
      <c r="E20" s="185"/>
      <c r="F20" s="186">
        <v>9479.32</v>
      </c>
      <c r="H20" s="213"/>
    </row>
    <row r="21" spans="1:6" ht="12.75">
      <c r="A21" s="438" t="s">
        <v>864</v>
      </c>
      <c r="B21" s="184"/>
      <c r="C21" s="186"/>
      <c r="D21" s="184">
        <f t="shared" si="0"/>
        <v>205.487</v>
      </c>
      <c r="E21" s="185"/>
      <c r="F21" s="186">
        <v>205.487</v>
      </c>
    </row>
    <row r="22" spans="1:6" ht="12.75" hidden="1">
      <c r="A22" s="778" t="s">
        <v>750</v>
      </c>
      <c r="B22" s="184"/>
      <c r="C22" s="779"/>
      <c r="D22" s="184">
        <f t="shared" si="0"/>
        <v>0</v>
      </c>
      <c r="E22" s="185"/>
      <c r="F22" s="779"/>
    </row>
    <row r="23" spans="1:6" ht="12.75" hidden="1">
      <c r="A23" s="438"/>
      <c r="B23" s="184"/>
      <c r="C23" s="186"/>
      <c r="D23" s="184">
        <f t="shared" si="0"/>
        <v>0</v>
      </c>
      <c r="E23" s="185"/>
      <c r="F23" s="186"/>
    </row>
    <row r="24" spans="1:6" ht="12.75" hidden="1">
      <c r="A24" s="438"/>
      <c r="B24" s="184"/>
      <c r="C24" s="186"/>
      <c r="D24" s="184">
        <f t="shared" si="0"/>
        <v>0</v>
      </c>
      <c r="E24" s="185"/>
      <c r="F24" s="186"/>
    </row>
    <row r="25" spans="1:6" ht="12.75" hidden="1">
      <c r="A25" s="438"/>
      <c r="B25" s="184"/>
      <c r="C25" s="186"/>
      <c r="D25" s="184">
        <f t="shared" si="0"/>
        <v>0</v>
      </c>
      <c r="E25" s="185"/>
      <c r="F25" s="186"/>
    </row>
    <row r="26" spans="1:6" ht="12.75" hidden="1">
      <c r="A26" s="438"/>
      <c r="B26" s="184"/>
      <c r="C26" s="186"/>
      <c r="D26" s="184">
        <f t="shared" si="0"/>
        <v>0</v>
      </c>
      <c r="E26" s="185"/>
      <c r="F26" s="186"/>
    </row>
    <row r="27" spans="1:6" ht="12.75" hidden="1">
      <c r="A27" s="307"/>
      <c r="B27" s="175"/>
      <c r="C27" s="187"/>
      <c r="D27" s="175">
        <f t="shared" si="0"/>
        <v>0</v>
      </c>
      <c r="E27" s="176"/>
      <c r="F27" s="187"/>
    </row>
    <row r="28" spans="1:6" ht="12.75">
      <c r="A28" s="311" t="s">
        <v>160</v>
      </c>
      <c r="B28" s="175"/>
      <c r="C28" s="187">
        <v>4800</v>
      </c>
      <c r="D28" s="175">
        <f t="shared" si="0"/>
        <v>4800</v>
      </c>
      <c r="E28" s="176"/>
      <c r="F28" s="187">
        <v>4800</v>
      </c>
    </row>
    <row r="29" spans="1:6" ht="12.75">
      <c r="A29" s="990" t="s">
        <v>919</v>
      </c>
      <c r="B29" s="753"/>
      <c r="C29" s="988"/>
      <c r="D29" s="175">
        <f t="shared" si="0"/>
        <v>587.5</v>
      </c>
      <c r="E29" s="989"/>
      <c r="F29" s="988">
        <v>587.5</v>
      </c>
    </row>
    <row r="30" spans="1:6" ht="12.75" thickBot="1">
      <c r="A30" s="325" t="s">
        <v>852</v>
      </c>
      <c r="B30" s="175"/>
      <c r="C30" s="187">
        <v>534.033</v>
      </c>
      <c r="D30" s="175">
        <f t="shared" si="0"/>
        <v>534.033</v>
      </c>
      <c r="E30" s="176"/>
      <c r="F30" s="187">
        <v>534.033</v>
      </c>
    </row>
    <row r="31" spans="1:6" ht="12.75" hidden="1">
      <c r="A31" s="325"/>
      <c r="B31" s="175"/>
      <c r="C31" s="175"/>
      <c r="D31" s="175">
        <f t="shared" si="0"/>
        <v>0</v>
      </c>
      <c r="E31" s="176"/>
      <c r="F31" s="187"/>
    </row>
    <row r="32" spans="1:6" ht="12.75" hidden="1">
      <c r="A32" s="325"/>
      <c r="B32" s="175"/>
      <c r="C32" s="175"/>
      <c r="D32" s="175">
        <f t="shared" si="0"/>
        <v>0</v>
      </c>
      <c r="E32" s="176"/>
      <c r="F32" s="187"/>
    </row>
    <row r="33" spans="1:6" s="73" customFormat="1" ht="12.75" hidden="1" thickBot="1">
      <c r="A33" s="79" t="s">
        <v>223</v>
      </c>
      <c r="B33" s="303"/>
      <c r="C33" s="175">
        <v>0</v>
      </c>
      <c r="D33" s="175">
        <f t="shared" si="0"/>
        <v>0</v>
      </c>
      <c r="E33" s="188"/>
      <c r="F33" s="189"/>
    </row>
    <row r="34" spans="1:6" s="22" customFormat="1" ht="12.75" thickBot="1">
      <c r="A34" s="309" t="s">
        <v>159</v>
      </c>
      <c r="B34" s="291">
        <f>SUM(B15:B33)</f>
        <v>0</v>
      </c>
      <c r="C34" s="181">
        <f>SUM(C15:C33)</f>
        <v>5334.033</v>
      </c>
      <c r="D34" s="181">
        <f>SUM(E34:F34)</f>
        <v>15606.339999999998</v>
      </c>
      <c r="E34" s="182">
        <f>SUM(E15:E33)</f>
        <v>0</v>
      </c>
      <c r="F34" s="183">
        <f>SUM(F15:F33)</f>
        <v>15606.339999999998</v>
      </c>
    </row>
    <row r="35" spans="1:6" ht="12.75" hidden="1">
      <c r="A35" s="438"/>
      <c r="B35" s="184">
        <v>0</v>
      </c>
      <c r="C35" s="184">
        <v>0</v>
      </c>
      <c r="D35" s="184">
        <f t="shared" si="0"/>
        <v>0</v>
      </c>
      <c r="E35" s="185"/>
      <c r="F35" s="186"/>
    </row>
    <row r="36" spans="1:6" ht="12.75" hidden="1">
      <c r="A36" s="307"/>
      <c r="B36" s="175">
        <v>0</v>
      </c>
      <c r="C36" s="175">
        <v>0</v>
      </c>
      <c r="D36" s="175">
        <f t="shared" si="0"/>
        <v>0</v>
      </c>
      <c r="E36" s="176"/>
      <c r="F36" s="187"/>
    </row>
    <row r="37" spans="1:6" ht="12.75" hidden="1">
      <c r="A37" s="318"/>
      <c r="B37" s="175"/>
      <c r="C37" s="175">
        <v>0</v>
      </c>
      <c r="D37" s="175">
        <f t="shared" si="0"/>
        <v>0</v>
      </c>
      <c r="E37" s="176"/>
      <c r="F37" s="187"/>
    </row>
    <row r="38" spans="1:6" ht="12.75" hidden="1" thickBot="1">
      <c r="A38" s="308"/>
      <c r="B38" s="178">
        <v>0</v>
      </c>
      <c r="C38" s="178">
        <v>0</v>
      </c>
      <c r="D38" s="178">
        <f t="shared" si="0"/>
        <v>0</v>
      </c>
      <c r="E38" s="179"/>
      <c r="F38" s="190"/>
    </row>
    <row r="39" spans="1:6" s="22" customFormat="1" ht="12.75" thickBot="1">
      <c r="A39" s="309" t="s">
        <v>173</v>
      </c>
      <c r="B39" s="291">
        <f aca="true" t="shared" si="2" ref="B39:F39">SUM(B35:B38)</f>
        <v>0</v>
      </c>
      <c r="C39" s="181">
        <f>SUM(C35:C38)</f>
        <v>0</v>
      </c>
      <c r="D39" s="181">
        <f aca="true" t="shared" si="3" ref="D39:D70">SUM(E39:F39)</f>
        <v>0</v>
      </c>
      <c r="E39" s="182">
        <f t="shared" si="2"/>
        <v>0</v>
      </c>
      <c r="F39" s="183">
        <f t="shared" si="2"/>
        <v>0</v>
      </c>
    </row>
    <row r="40" spans="1:6" ht="12.75" hidden="1">
      <c r="A40" s="644"/>
      <c r="B40" s="452"/>
      <c r="C40" s="645"/>
      <c r="D40" s="458">
        <f t="shared" si="3"/>
        <v>0</v>
      </c>
      <c r="E40" s="176"/>
      <c r="F40" s="645"/>
    </row>
    <row r="41" spans="1:6" ht="12.75" hidden="1">
      <c r="A41" s="644"/>
      <c r="B41" s="453"/>
      <c r="C41" s="645"/>
      <c r="D41" s="459">
        <f t="shared" si="3"/>
        <v>0</v>
      </c>
      <c r="E41" s="456"/>
      <c r="F41" s="645"/>
    </row>
    <row r="42" spans="1:6" ht="12.75" hidden="1">
      <c r="A42" s="644"/>
      <c r="B42" s="453"/>
      <c r="C42" s="645"/>
      <c r="D42" s="459">
        <f t="shared" si="3"/>
        <v>0</v>
      </c>
      <c r="E42" s="456"/>
      <c r="F42" s="645"/>
    </row>
    <row r="43" spans="1:6" ht="12.75">
      <c r="A43" s="644" t="s">
        <v>866</v>
      </c>
      <c r="B43" s="453"/>
      <c r="C43" s="645"/>
      <c r="D43" s="459">
        <f t="shared" si="3"/>
        <v>298336.4</v>
      </c>
      <c r="E43" s="456"/>
      <c r="F43" s="645">
        <v>298336.4</v>
      </c>
    </row>
    <row r="44" spans="1:6" ht="12.75">
      <c r="A44" s="644" t="s">
        <v>867</v>
      </c>
      <c r="B44" s="453"/>
      <c r="C44" s="645"/>
      <c r="D44" s="459">
        <f t="shared" si="3"/>
        <v>3384.232</v>
      </c>
      <c r="E44" s="456"/>
      <c r="F44" s="645">
        <v>3384.232</v>
      </c>
    </row>
    <row r="45" spans="1:6" ht="12.75">
      <c r="A45" s="644" t="s">
        <v>894</v>
      </c>
      <c r="B45" s="454"/>
      <c r="C45" s="645"/>
      <c r="D45" s="459">
        <f t="shared" si="3"/>
        <v>168772.755</v>
      </c>
      <c r="E45" s="457"/>
      <c r="F45" s="645">
        <v>168772.755</v>
      </c>
    </row>
    <row r="46" spans="1:6" ht="12.75" thickBot="1">
      <c r="A46" s="438" t="s">
        <v>920</v>
      </c>
      <c r="B46" s="794"/>
      <c r="C46" s="645"/>
      <c r="D46" s="459">
        <f t="shared" si="3"/>
        <v>19992.377</v>
      </c>
      <c r="E46" s="795"/>
      <c r="F46" s="645">
        <v>19992.377</v>
      </c>
    </row>
    <row r="47" spans="1:6" ht="12.75" hidden="1">
      <c r="A47" s="644"/>
      <c r="B47" s="454"/>
      <c r="C47" s="645"/>
      <c r="D47" s="459">
        <f t="shared" si="3"/>
        <v>0</v>
      </c>
      <c r="E47" s="457"/>
      <c r="F47" s="645"/>
    </row>
    <row r="48" spans="1:6" ht="12.75" hidden="1">
      <c r="A48" s="644"/>
      <c r="B48" s="454"/>
      <c r="C48" s="645"/>
      <c r="D48" s="460">
        <f t="shared" si="3"/>
        <v>0</v>
      </c>
      <c r="E48" s="457"/>
      <c r="F48" s="645"/>
    </row>
    <row r="49" spans="1:6" ht="12.75" hidden="1" thickBot="1">
      <c r="A49" s="644"/>
      <c r="B49" s="455">
        <v>0</v>
      </c>
      <c r="C49" s="645"/>
      <c r="D49" s="461">
        <f t="shared" si="3"/>
        <v>0</v>
      </c>
      <c r="E49" s="179"/>
      <c r="F49" s="645"/>
    </row>
    <row r="50" spans="1:6" s="22" customFormat="1" ht="12.75" thickBot="1">
      <c r="A50" s="309" t="s">
        <v>161</v>
      </c>
      <c r="B50" s="291">
        <f>SUM(B40:B49)</f>
        <v>0</v>
      </c>
      <c r="C50" s="205">
        <f>SUM(C40:C49)</f>
        <v>0</v>
      </c>
      <c r="D50" s="205">
        <f t="shared" si="3"/>
        <v>490485.764</v>
      </c>
      <c r="E50" s="182">
        <f aca="true" t="shared" si="4" ref="E50:F50">SUM(E40:E49)</f>
        <v>0</v>
      </c>
      <c r="F50" s="183">
        <f t="shared" si="4"/>
        <v>490485.764</v>
      </c>
    </row>
    <row r="51" spans="1:6" ht="11.25" customHeight="1" thickBot="1">
      <c r="A51" s="312" t="s">
        <v>220</v>
      </c>
      <c r="B51" s="205"/>
      <c r="C51" s="181">
        <v>0</v>
      </c>
      <c r="D51" s="181">
        <f t="shared" si="3"/>
        <v>0</v>
      </c>
      <c r="E51" s="191"/>
      <c r="F51" s="192"/>
    </row>
    <row r="52" spans="1:6" ht="12.75" hidden="1">
      <c r="A52" s="310"/>
      <c r="B52" s="184"/>
      <c r="C52" s="184"/>
      <c r="D52" s="184">
        <f t="shared" si="3"/>
        <v>0</v>
      </c>
      <c r="E52" s="185"/>
      <c r="F52" s="186"/>
    </row>
    <row r="53" spans="1:6" ht="12.75" thickBot="1">
      <c r="A53" s="308" t="s">
        <v>80</v>
      </c>
      <c r="B53" s="178"/>
      <c r="C53" s="178">
        <v>4150</v>
      </c>
      <c r="D53" s="178">
        <f t="shared" si="3"/>
        <v>4150</v>
      </c>
      <c r="E53" s="179"/>
      <c r="F53" s="190">
        <v>4150</v>
      </c>
    </row>
    <row r="54" spans="1:6" s="23" customFormat="1" ht="12.75" thickBot="1">
      <c r="A54" s="309" t="s">
        <v>162</v>
      </c>
      <c r="B54" s="291">
        <f aca="true" t="shared" si="5" ref="B54:F54">SUM(B52:B53)</f>
        <v>0</v>
      </c>
      <c r="C54" s="181">
        <v>4150</v>
      </c>
      <c r="D54" s="181">
        <f t="shared" si="3"/>
        <v>4150</v>
      </c>
      <c r="E54" s="182">
        <f t="shared" si="5"/>
        <v>0</v>
      </c>
      <c r="F54" s="183">
        <f t="shared" si="5"/>
        <v>4150</v>
      </c>
    </row>
    <row r="55" spans="1:6" ht="12.75">
      <c r="A55" s="310" t="s">
        <v>164</v>
      </c>
      <c r="B55" s="184"/>
      <c r="C55" s="184">
        <v>29000</v>
      </c>
      <c r="D55" s="184">
        <f t="shared" si="3"/>
        <v>29000</v>
      </c>
      <c r="E55" s="185"/>
      <c r="F55" s="186">
        <v>29000</v>
      </c>
    </row>
    <row r="56" spans="1:6" ht="12.75" thickBot="1">
      <c r="A56" s="313" t="s">
        <v>544</v>
      </c>
      <c r="B56" s="178"/>
      <c r="C56" s="178">
        <v>0</v>
      </c>
      <c r="D56" s="178">
        <f t="shared" si="3"/>
        <v>0</v>
      </c>
      <c r="E56" s="179"/>
      <c r="F56" s="190"/>
    </row>
    <row r="57" spans="1:6" s="8" customFormat="1" ht="12.75" thickBot="1">
      <c r="A57" s="314" t="s">
        <v>163</v>
      </c>
      <c r="B57" s="205">
        <f aca="true" t="shared" si="6" ref="B57:F57">SUM(B55:B56)</f>
        <v>0</v>
      </c>
      <c r="C57" s="181">
        <f>C55+C56</f>
        <v>29000</v>
      </c>
      <c r="D57" s="181">
        <f t="shared" si="3"/>
        <v>29000</v>
      </c>
      <c r="E57" s="191">
        <f t="shared" si="6"/>
        <v>0</v>
      </c>
      <c r="F57" s="192">
        <f t="shared" si="6"/>
        <v>29000</v>
      </c>
    </row>
    <row r="58" spans="1:6" s="8" customFormat="1" ht="12.75" thickBot="1">
      <c r="A58" s="314" t="s">
        <v>75</v>
      </c>
      <c r="B58" s="205"/>
      <c r="C58" s="181">
        <v>4800</v>
      </c>
      <c r="D58" s="181">
        <f t="shared" si="3"/>
        <v>0</v>
      </c>
      <c r="E58" s="191"/>
      <c r="F58" s="192">
        <v>0</v>
      </c>
    </row>
    <row r="59" spans="1:6" ht="12.75" hidden="1">
      <c r="A59" s="315" t="s">
        <v>166</v>
      </c>
      <c r="B59" s="184"/>
      <c r="C59" s="184"/>
      <c r="D59" s="184">
        <f t="shared" si="3"/>
        <v>0</v>
      </c>
      <c r="E59" s="185"/>
      <c r="F59" s="186"/>
    </row>
    <row r="60" spans="1:6" ht="12" customHeight="1" hidden="1" thickBot="1">
      <c r="A60" s="317" t="s">
        <v>167</v>
      </c>
      <c r="B60" s="178">
        <v>0</v>
      </c>
      <c r="C60" s="178"/>
      <c r="D60" s="178">
        <f t="shared" si="3"/>
        <v>0</v>
      </c>
      <c r="E60" s="179"/>
      <c r="F60" s="190"/>
    </row>
    <row r="61" spans="1:6" s="8" customFormat="1" ht="12.75" thickBot="1">
      <c r="A61" s="314" t="s">
        <v>165</v>
      </c>
      <c r="B61" s="205">
        <f>SUM(B59:B60)</f>
        <v>0</v>
      </c>
      <c r="C61" s="181">
        <v>0</v>
      </c>
      <c r="D61" s="181">
        <f t="shared" si="3"/>
        <v>0</v>
      </c>
      <c r="E61" s="191">
        <f aca="true" t="shared" si="7" ref="E61:F61">SUM(E59:E60)</f>
        <v>0</v>
      </c>
      <c r="F61" s="192">
        <f t="shared" si="7"/>
        <v>0</v>
      </c>
    </row>
    <row r="62" spans="1:6" s="23" customFormat="1" ht="12.75" thickBot="1">
      <c r="A62" s="309" t="s">
        <v>131</v>
      </c>
      <c r="B62" s="291">
        <f>B57+B58+B61</f>
        <v>0</v>
      </c>
      <c r="C62" s="181">
        <v>33800</v>
      </c>
      <c r="D62" s="181">
        <f t="shared" si="3"/>
        <v>29000</v>
      </c>
      <c r="E62" s="182">
        <f aca="true" t="shared" si="8" ref="E62:F62">E57+E58+E61</f>
        <v>0</v>
      </c>
      <c r="F62" s="183">
        <f t="shared" si="8"/>
        <v>29000</v>
      </c>
    </row>
    <row r="63" spans="1:6" ht="12.75" hidden="1">
      <c r="A63" s="310" t="s">
        <v>2</v>
      </c>
      <c r="B63" s="184"/>
      <c r="C63" s="184"/>
      <c r="D63" s="184">
        <f t="shared" si="3"/>
        <v>0</v>
      </c>
      <c r="E63" s="185"/>
      <c r="F63" s="186"/>
    </row>
    <row r="64" spans="1:6" ht="12.75" hidden="1">
      <c r="A64" s="316" t="s">
        <v>288</v>
      </c>
      <c r="B64" s="175"/>
      <c r="C64" s="175"/>
      <c r="D64" s="175">
        <f t="shared" si="3"/>
        <v>0</v>
      </c>
      <c r="E64" s="176"/>
      <c r="F64" s="187"/>
    </row>
    <row r="65" spans="1:6" ht="12.75" thickBot="1">
      <c r="A65" s="313" t="s">
        <v>1</v>
      </c>
      <c r="B65" s="178"/>
      <c r="C65" s="178">
        <v>100</v>
      </c>
      <c r="D65" s="178">
        <f t="shared" si="3"/>
        <v>100</v>
      </c>
      <c r="E65" s="179"/>
      <c r="F65" s="190">
        <v>100</v>
      </c>
    </row>
    <row r="66" spans="1:6" s="8" customFormat="1" ht="12.75" thickBot="1">
      <c r="A66" s="314" t="s">
        <v>132</v>
      </c>
      <c r="B66" s="205">
        <f>SUM(B63:B65)</f>
        <v>0</v>
      </c>
      <c r="C66" s="181">
        <f>SUM(C63:C65)</f>
        <v>100</v>
      </c>
      <c r="D66" s="181">
        <f t="shared" si="3"/>
        <v>100</v>
      </c>
      <c r="E66" s="191">
        <f aca="true" t="shared" si="9" ref="E66:F66">SUM(E63:E65)</f>
        <v>0</v>
      </c>
      <c r="F66" s="192">
        <f t="shared" si="9"/>
        <v>100</v>
      </c>
    </row>
    <row r="67" spans="1:6" s="8" customFormat="1" ht="12.75" thickBot="1">
      <c r="A67" s="314" t="s">
        <v>185</v>
      </c>
      <c r="B67" s="205"/>
      <c r="C67" s="181"/>
      <c r="D67" s="181">
        <f t="shared" si="3"/>
        <v>0</v>
      </c>
      <c r="E67" s="191"/>
      <c r="F67" s="192"/>
    </row>
    <row r="68" spans="1:6" ht="12.75">
      <c r="A68" s="438" t="s">
        <v>725</v>
      </c>
      <c r="B68" s="184"/>
      <c r="C68" s="184">
        <v>1067.244</v>
      </c>
      <c r="D68" s="184">
        <f t="shared" si="3"/>
        <v>1067.244</v>
      </c>
      <c r="E68" s="185"/>
      <c r="F68" s="186">
        <v>1067.244</v>
      </c>
    </row>
    <row r="69" spans="1:6" ht="12.75" thickBot="1">
      <c r="A69" s="310" t="s">
        <v>3</v>
      </c>
      <c r="B69" s="184"/>
      <c r="C69" s="184">
        <v>2488.6</v>
      </c>
      <c r="D69" s="184">
        <f t="shared" si="3"/>
        <v>2488.6</v>
      </c>
      <c r="E69" s="185"/>
      <c r="F69" s="186">
        <v>2488.6</v>
      </c>
    </row>
    <row r="70" spans="1:6" ht="12.75" hidden="1">
      <c r="A70" s="464" t="s">
        <v>726</v>
      </c>
      <c r="B70" s="193"/>
      <c r="C70" s="184"/>
      <c r="D70" s="184">
        <f t="shared" si="3"/>
        <v>0</v>
      </c>
      <c r="E70" s="462"/>
      <c r="F70" s="463"/>
    </row>
    <row r="71" spans="1:6" ht="12.75" hidden="1">
      <c r="A71" s="313" t="s">
        <v>543</v>
      </c>
      <c r="B71" s="178"/>
      <c r="C71" s="175"/>
      <c r="D71" s="175">
        <f aca="true" t="shared" si="10" ref="D71:D103">SUM(E71:F71)</f>
        <v>0</v>
      </c>
      <c r="E71" s="179"/>
      <c r="F71" s="190"/>
    </row>
    <row r="72" spans="1:6" ht="12.75" hidden="1">
      <c r="A72" s="313" t="s">
        <v>4</v>
      </c>
      <c r="B72" s="178"/>
      <c r="C72" s="175"/>
      <c r="D72" s="175">
        <f t="shared" si="10"/>
        <v>0</v>
      </c>
      <c r="E72" s="179"/>
      <c r="F72" s="190"/>
    </row>
    <row r="73" spans="1:6" ht="12.75" hidden="1" thickBot="1">
      <c r="A73" s="313" t="s">
        <v>542</v>
      </c>
      <c r="B73" s="178"/>
      <c r="C73" s="178"/>
      <c r="D73" s="178">
        <f t="shared" si="10"/>
        <v>0</v>
      </c>
      <c r="E73" s="179"/>
      <c r="F73" s="190"/>
    </row>
    <row r="74" spans="1:6" s="8" customFormat="1" ht="12" customHeight="1" thickBot="1">
      <c r="A74" s="314" t="s">
        <v>179</v>
      </c>
      <c r="B74" s="205">
        <f>SUM(B68:B73)</f>
        <v>0</v>
      </c>
      <c r="C74" s="181">
        <f>SUM(C68:C73)</f>
        <v>3555.844</v>
      </c>
      <c r="D74" s="181">
        <f t="shared" si="10"/>
        <v>3555.844</v>
      </c>
      <c r="E74" s="191">
        <f aca="true" t="shared" si="11" ref="E74:F74">SUM(E68:E73)</f>
        <v>0</v>
      </c>
      <c r="F74" s="192">
        <f t="shared" si="11"/>
        <v>3555.844</v>
      </c>
    </row>
    <row r="75" spans="1:6" ht="12.75">
      <c r="A75" s="310" t="s">
        <v>180</v>
      </c>
      <c r="B75" s="184"/>
      <c r="C75" s="184"/>
      <c r="D75" s="184">
        <f t="shared" si="10"/>
        <v>500</v>
      </c>
      <c r="E75" s="185"/>
      <c r="F75" s="186">
        <v>500</v>
      </c>
    </row>
    <row r="76" spans="1:6" ht="12.75" thickBot="1">
      <c r="A76" s="308" t="s">
        <v>181</v>
      </c>
      <c r="B76" s="178"/>
      <c r="C76" s="178"/>
      <c r="D76" s="178">
        <f t="shared" si="10"/>
        <v>400</v>
      </c>
      <c r="E76" s="179"/>
      <c r="F76" s="190">
        <v>400</v>
      </c>
    </row>
    <row r="77" spans="1:6" ht="12.75" thickBot="1">
      <c r="A77" s="314" t="s">
        <v>182</v>
      </c>
      <c r="B77" s="205">
        <f>SUM(B75:B76)</f>
        <v>0</v>
      </c>
      <c r="C77" s="181">
        <f>C75+C76</f>
        <v>0</v>
      </c>
      <c r="D77" s="181">
        <f t="shared" si="10"/>
        <v>900</v>
      </c>
      <c r="E77" s="191">
        <f aca="true" t="shared" si="12" ref="E77:F77">SUM(E75:E76)</f>
        <v>0</v>
      </c>
      <c r="F77" s="192">
        <f t="shared" si="12"/>
        <v>900</v>
      </c>
    </row>
    <row r="78" spans="1:6" ht="12.75">
      <c r="A78" s="812" t="s">
        <v>186</v>
      </c>
      <c r="B78" s="813">
        <v>0</v>
      </c>
      <c r="C78" s="814">
        <v>2755.513</v>
      </c>
      <c r="D78" s="814">
        <f t="shared" si="10"/>
        <v>2755.513</v>
      </c>
      <c r="E78" s="815"/>
      <c r="F78" s="816">
        <v>2755.513</v>
      </c>
    </row>
    <row r="79" spans="1:6" ht="12.75">
      <c r="A79" s="709" t="s">
        <v>824</v>
      </c>
      <c r="B79" s="705"/>
      <c r="C79" s="817">
        <v>6782.457</v>
      </c>
      <c r="D79" s="817"/>
      <c r="E79" s="441">
        <v>6782.457</v>
      </c>
      <c r="F79" s="705"/>
    </row>
    <row r="80" spans="1:6" ht="12.75">
      <c r="A80" s="818" t="s">
        <v>183</v>
      </c>
      <c r="B80" s="817">
        <v>0</v>
      </c>
      <c r="C80" s="817">
        <v>5112.44</v>
      </c>
      <c r="D80" s="817">
        <f t="shared" si="10"/>
        <v>5112.44</v>
      </c>
      <c r="E80" s="817"/>
      <c r="F80" s="817">
        <v>5112.44</v>
      </c>
    </row>
    <row r="81" spans="1:6" ht="12.75" thickBot="1">
      <c r="A81" s="318" t="s">
        <v>825</v>
      </c>
      <c r="B81" s="175"/>
      <c r="C81" s="175">
        <v>3578.95</v>
      </c>
      <c r="D81" s="175">
        <f t="shared" si="10"/>
        <v>3578.95</v>
      </c>
      <c r="E81" s="176">
        <v>3578.95</v>
      </c>
      <c r="F81" s="187"/>
    </row>
    <row r="82" spans="1:6" ht="12.75" thickBot="1">
      <c r="A82" s="314" t="s">
        <v>184</v>
      </c>
      <c r="B82" s="205">
        <f>SUM(B80:B81)</f>
        <v>0</v>
      </c>
      <c r="C82" s="181">
        <v>8691.39</v>
      </c>
      <c r="D82" s="181">
        <f t="shared" si="10"/>
        <v>8691.39</v>
      </c>
      <c r="E82" s="191">
        <f aca="true" t="shared" si="13" ref="E82:F82">SUM(E80:E81)</f>
        <v>3578.95</v>
      </c>
      <c r="F82" s="192">
        <f t="shared" si="13"/>
        <v>5112.44</v>
      </c>
    </row>
    <row r="83" spans="1:6" s="8" customFormat="1" ht="12.75" thickBot="1">
      <c r="A83" s="314" t="s">
        <v>187</v>
      </c>
      <c r="B83" s="205"/>
      <c r="C83" s="181">
        <v>5750.786</v>
      </c>
      <c r="D83" s="181">
        <f t="shared" si="10"/>
        <v>5885.786</v>
      </c>
      <c r="E83" s="191">
        <v>2797.58</v>
      </c>
      <c r="F83" s="192">
        <f>2953.206+135</f>
        <v>3088.206</v>
      </c>
    </row>
    <row r="84" spans="1:6" s="8" customFormat="1" ht="12.75" thickBot="1">
      <c r="A84" s="319" t="s">
        <v>188</v>
      </c>
      <c r="B84" s="206"/>
      <c r="C84" s="193">
        <v>0</v>
      </c>
      <c r="D84" s="193">
        <f t="shared" si="10"/>
        <v>0</v>
      </c>
      <c r="E84" s="194"/>
      <c r="F84" s="195"/>
    </row>
    <row r="85" spans="1:6" ht="12.75" thickBot="1">
      <c r="A85" s="314" t="s">
        <v>47</v>
      </c>
      <c r="B85" s="205"/>
      <c r="C85" s="181">
        <v>500</v>
      </c>
      <c r="D85" s="181">
        <f t="shared" si="10"/>
        <v>500</v>
      </c>
      <c r="E85" s="191"/>
      <c r="F85" s="192">
        <v>500</v>
      </c>
    </row>
    <row r="86" spans="1:6" s="8" customFormat="1" ht="12.75" hidden="1" thickBot="1">
      <c r="A86" s="314" t="s">
        <v>189</v>
      </c>
      <c r="B86" s="205"/>
      <c r="C86" s="181">
        <v>0</v>
      </c>
      <c r="D86" s="181">
        <f t="shared" si="10"/>
        <v>0</v>
      </c>
      <c r="E86" s="191"/>
      <c r="F86" s="192"/>
    </row>
    <row r="87" spans="1:6" ht="12.75" hidden="1">
      <c r="A87" s="438" t="s">
        <v>639</v>
      </c>
      <c r="B87" s="184"/>
      <c r="C87" s="184">
        <v>0</v>
      </c>
      <c r="D87" s="184">
        <f t="shared" si="10"/>
        <v>0</v>
      </c>
      <c r="E87" s="185"/>
      <c r="F87" s="186"/>
    </row>
    <row r="88" spans="1:6" ht="12.75" hidden="1">
      <c r="A88" s="318" t="s">
        <v>732</v>
      </c>
      <c r="B88" s="175"/>
      <c r="C88" s="175">
        <v>0</v>
      </c>
      <c r="D88" s="175">
        <f t="shared" si="10"/>
        <v>0</v>
      </c>
      <c r="E88" s="176"/>
      <c r="F88" s="187"/>
    </row>
    <row r="89" spans="1:6" ht="12.75" hidden="1" thickBot="1">
      <c r="A89" s="308" t="s">
        <v>190</v>
      </c>
      <c r="B89" s="178">
        <v>0</v>
      </c>
      <c r="C89" s="178">
        <v>0</v>
      </c>
      <c r="D89" s="178">
        <f t="shared" si="10"/>
        <v>0</v>
      </c>
      <c r="E89" s="179"/>
      <c r="F89" s="190"/>
    </row>
    <row r="90" spans="1:6" ht="12.75" thickBot="1">
      <c r="A90" s="314" t="s">
        <v>190</v>
      </c>
      <c r="B90" s="205"/>
      <c r="C90" s="181">
        <v>0</v>
      </c>
      <c r="D90" s="181">
        <f t="shared" si="10"/>
        <v>700</v>
      </c>
      <c r="E90" s="191">
        <f aca="true" t="shared" si="14" ref="E90">SUM(E87:E89)</f>
        <v>0</v>
      </c>
      <c r="F90" s="192">
        <v>700</v>
      </c>
    </row>
    <row r="91" spans="1:6" s="23" customFormat="1" ht="13.5" thickBot="1">
      <c r="A91" s="320" t="s">
        <v>91</v>
      </c>
      <c r="B91" s="196">
        <f>B67+B74+B77+B78+B82+B83+B84+B85+B86+B90</f>
        <v>0</v>
      </c>
      <c r="C91" s="291">
        <v>28035.99</v>
      </c>
      <c r="D91" s="291">
        <f t="shared" si="10"/>
        <v>29770.989999999998</v>
      </c>
      <c r="E91" s="182">
        <f>E67+E74+E77+E78+E82+E83+E84+E85+E86+E90+E79</f>
        <v>13158.987000000001</v>
      </c>
      <c r="F91" s="183">
        <f aca="true" t="shared" si="15" ref="F91">F67+F74+F77+F78+F82+F83+F84+F85+F86+F90</f>
        <v>16612.002999999997</v>
      </c>
    </row>
    <row r="92" spans="1:6" s="8" customFormat="1" ht="12.75" thickBot="1">
      <c r="A92" s="314" t="s">
        <v>191</v>
      </c>
      <c r="B92" s="205">
        <v>0</v>
      </c>
      <c r="C92" s="181">
        <v>0</v>
      </c>
      <c r="D92" s="181">
        <f t="shared" si="10"/>
        <v>0</v>
      </c>
      <c r="E92" s="191"/>
      <c r="F92" s="192"/>
    </row>
    <row r="93" spans="1:6" ht="12.75" hidden="1">
      <c r="A93" s="310" t="s">
        <v>192</v>
      </c>
      <c r="B93" s="184">
        <v>0</v>
      </c>
      <c r="C93" s="184">
        <v>0</v>
      </c>
      <c r="D93" s="184">
        <f t="shared" si="10"/>
        <v>0</v>
      </c>
      <c r="E93" s="185"/>
      <c r="F93" s="186"/>
    </row>
    <row r="94" spans="1:6" ht="12.75" hidden="1" thickBot="1">
      <c r="A94" s="308" t="s">
        <v>5</v>
      </c>
      <c r="B94" s="178"/>
      <c r="C94" s="178"/>
      <c r="D94" s="178">
        <f t="shared" si="10"/>
        <v>0</v>
      </c>
      <c r="E94" s="179"/>
      <c r="F94" s="190"/>
    </row>
    <row r="95" spans="1:6" ht="12.75" thickBot="1">
      <c r="A95" s="314" t="s">
        <v>193</v>
      </c>
      <c r="B95" s="205">
        <f aca="true" t="shared" si="16" ref="B95:F95">SUM(B93:B94)</f>
        <v>0</v>
      </c>
      <c r="C95" s="181">
        <v>0</v>
      </c>
      <c r="D95" s="181">
        <f t="shared" si="10"/>
        <v>0</v>
      </c>
      <c r="E95" s="191">
        <f t="shared" si="16"/>
        <v>0</v>
      </c>
      <c r="F95" s="192">
        <f t="shared" si="16"/>
        <v>0</v>
      </c>
    </row>
    <row r="96" spans="1:6" s="8" customFormat="1" ht="12.75" thickBot="1">
      <c r="A96" s="319" t="s">
        <v>194</v>
      </c>
      <c r="B96" s="206">
        <v>0</v>
      </c>
      <c r="C96" s="193">
        <v>0</v>
      </c>
      <c r="D96" s="193">
        <f t="shared" si="10"/>
        <v>0</v>
      </c>
      <c r="E96" s="194"/>
      <c r="F96" s="195"/>
    </row>
    <row r="97" spans="1:6" s="8" customFormat="1" ht="12.75" thickBot="1">
      <c r="A97" s="314" t="s">
        <v>303</v>
      </c>
      <c r="B97" s="205">
        <v>0</v>
      </c>
      <c r="C97" s="181">
        <v>0</v>
      </c>
      <c r="D97" s="181">
        <f t="shared" si="10"/>
        <v>0</v>
      </c>
      <c r="E97" s="191"/>
      <c r="F97" s="192"/>
    </row>
    <row r="98" spans="1:6" s="23" customFormat="1" ht="13.5" thickBot="1">
      <c r="A98" s="320" t="s">
        <v>135</v>
      </c>
      <c r="B98" s="196">
        <f aca="true" t="shared" si="17" ref="B98:F98">B92+B95+B96+B97</f>
        <v>0</v>
      </c>
      <c r="C98" s="196">
        <v>0</v>
      </c>
      <c r="D98" s="196">
        <f t="shared" si="10"/>
        <v>0</v>
      </c>
      <c r="E98" s="197">
        <f t="shared" si="17"/>
        <v>0</v>
      </c>
      <c r="F98" s="198">
        <f t="shared" si="17"/>
        <v>0</v>
      </c>
    </row>
    <row r="99" spans="1:6" s="8" customFormat="1" ht="12.75" thickBot="1">
      <c r="A99" s="314" t="s">
        <v>195</v>
      </c>
      <c r="B99" s="205">
        <v>0</v>
      </c>
      <c r="C99" s="181">
        <v>0</v>
      </c>
      <c r="D99" s="181">
        <f t="shared" si="10"/>
        <v>0</v>
      </c>
      <c r="E99" s="191"/>
      <c r="F99" s="192"/>
    </row>
    <row r="100" spans="1:6" s="8" customFormat="1" ht="12.75" thickBot="1">
      <c r="A100" s="314" t="s">
        <v>794</v>
      </c>
      <c r="B100" s="205">
        <v>0</v>
      </c>
      <c r="C100" s="181"/>
      <c r="D100" s="181">
        <f t="shared" si="10"/>
        <v>0</v>
      </c>
      <c r="E100" s="191"/>
      <c r="F100" s="192"/>
    </row>
    <row r="101" spans="1:6" s="10" customFormat="1" ht="12.75" hidden="1">
      <c r="A101" s="310"/>
      <c r="B101" s="184">
        <v>0</v>
      </c>
      <c r="C101" s="184"/>
      <c r="D101" s="184">
        <f t="shared" si="10"/>
        <v>0</v>
      </c>
      <c r="E101" s="185"/>
      <c r="F101" s="186"/>
    </row>
    <row r="102" spans="1:6" s="10" customFormat="1" ht="12.75" thickBot="1">
      <c r="A102" s="318" t="s">
        <v>868</v>
      </c>
      <c r="B102" s="175"/>
      <c r="C102" s="175"/>
      <c r="D102" s="175">
        <f t="shared" si="10"/>
        <v>73.32</v>
      </c>
      <c r="E102" s="176"/>
      <c r="F102" s="187">
        <v>73.32</v>
      </c>
    </row>
    <row r="103" spans="1:6" s="10" customFormat="1" ht="12.75" hidden="1">
      <c r="A103" s="464"/>
      <c r="B103" s="193"/>
      <c r="C103" s="193"/>
      <c r="D103" s="184">
        <f t="shared" si="10"/>
        <v>0</v>
      </c>
      <c r="E103" s="462"/>
      <c r="F103" s="463"/>
    </row>
    <row r="104" spans="1:6" s="10" customFormat="1" ht="12.75" hidden="1" thickBot="1">
      <c r="A104" s="313"/>
      <c r="B104" s="178">
        <v>0</v>
      </c>
      <c r="C104" s="178"/>
      <c r="D104" s="178">
        <f aca="true" t="shared" si="18" ref="D104:D107">SUM(E104:F104)</f>
        <v>0</v>
      </c>
      <c r="E104" s="179"/>
      <c r="F104" s="190"/>
    </row>
    <row r="105" spans="1:6" ht="12.75" hidden="1" thickBot="1">
      <c r="A105" s="314" t="s">
        <v>196</v>
      </c>
      <c r="B105" s="205">
        <f>SUM(B101:B104)</f>
        <v>0</v>
      </c>
      <c r="C105" s="205">
        <v>0</v>
      </c>
      <c r="D105" s="205">
        <f t="shared" si="18"/>
        <v>73.32</v>
      </c>
      <c r="E105" s="191">
        <f aca="true" t="shared" si="19" ref="E105:F105">SUM(E101:E104)</f>
        <v>0</v>
      </c>
      <c r="F105" s="192">
        <f t="shared" si="19"/>
        <v>73.32</v>
      </c>
    </row>
    <row r="106" spans="1:6" s="23" customFormat="1" ht="12.75" thickBot="1">
      <c r="A106" s="309" t="s">
        <v>136</v>
      </c>
      <c r="B106" s="291">
        <f>B99+B105</f>
        <v>0</v>
      </c>
      <c r="C106" s="205">
        <v>0</v>
      </c>
      <c r="D106" s="205">
        <f t="shared" si="18"/>
        <v>73.32</v>
      </c>
      <c r="E106" s="182">
        <f aca="true" t="shared" si="20" ref="E106:F106">E99+E105</f>
        <v>0</v>
      </c>
      <c r="F106" s="183">
        <f t="shared" si="20"/>
        <v>73.32</v>
      </c>
    </row>
    <row r="107" spans="1:6" s="10" customFormat="1" ht="12.75" hidden="1">
      <c r="A107" s="310"/>
      <c r="B107" s="184"/>
      <c r="C107" s="184"/>
      <c r="D107" s="184">
        <f t="shared" si="18"/>
        <v>0</v>
      </c>
      <c r="E107" s="185"/>
      <c r="F107" s="186"/>
    </row>
    <row r="108" spans="1:6" s="10" customFormat="1" ht="12.75" hidden="1" thickBot="1">
      <c r="A108" s="318"/>
      <c r="B108" s="175"/>
      <c r="C108" s="175"/>
      <c r="D108" s="175"/>
      <c r="E108" s="176"/>
      <c r="F108" s="187"/>
    </row>
    <row r="109" spans="1:6" s="10" customFormat="1" ht="12.75" hidden="1" thickBot="1">
      <c r="A109" s="321"/>
      <c r="B109" s="178">
        <v>0</v>
      </c>
      <c r="C109" s="178">
        <f>SUM(D109:E109)</f>
        <v>0</v>
      </c>
      <c r="D109" s="178">
        <f>SUM(E109:F109)</f>
        <v>0</v>
      </c>
      <c r="E109" s="179"/>
      <c r="F109" s="190"/>
    </row>
    <row r="110" spans="1:6" s="9" customFormat="1" ht="12.75" thickBot="1">
      <c r="A110" s="314" t="s">
        <v>209</v>
      </c>
      <c r="B110" s="205">
        <f>SUM(B107:B109)</f>
        <v>0</v>
      </c>
      <c r="C110" s="205">
        <v>0</v>
      </c>
      <c r="D110" s="205">
        <f>SUM(E110:F110)</f>
        <v>0</v>
      </c>
      <c r="E110" s="191">
        <f aca="true" t="shared" si="21" ref="E110:F110">SUM(E107:E109)</f>
        <v>0</v>
      </c>
      <c r="F110" s="192">
        <f t="shared" si="21"/>
        <v>0</v>
      </c>
    </row>
    <row r="111" spans="1:6" s="9" customFormat="1" ht="12.75" hidden="1">
      <c r="A111" s="318"/>
      <c r="B111" s="465"/>
      <c r="C111" s="467"/>
      <c r="D111" s="467">
        <f>SUM(E111:F111)</f>
        <v>0</v>
      </c>
      <c r="E111" s="469"/>
      <c r="F111" s="440"/>
    </row>
    <row r="112" spans="1:6" s="10" customFormat="1" ht="12.75" hidden="1" thickBot="1">
      <c r="A112" s="464"/>
      <c r="B112" s="466"/>
      <c r="C112" s="468">
        <v>0</v>
      </c>
      <c r="D112" s="468">
        <f>SUM(E112:F112)</f>
        <v>0</v>
      </c>
      <c r="E112" s="462"/>
      <c r="F112" s="463"/>
    </row>
    <row r="113" spans="1:6" s="9" customFormat="1" ht="13.5" hidden="1" thickBot="1">
      <c r="A113" s="445"/>
      <c r="B113" s="441"/>
      <c r="C113" s="439"/>
      <c r="D113" s="439"/>
      <c r="E113" s="441"/>
      <c r="F113" s="442"/>
    </row>
    <row r="114" spans="1:6" s="9" customFormat="1" ht="13.5" hidden="1" thickBot="1">
      <c r="A114" s="445"/>
      <c r="B114" s="441"/>
      <c r="C114" s="441"/>
      <c r="D114" s="441"/>
      <c r="E114" s="441"/>
      <c r="F114" s="442"/>
    </row>
    <row r="115" spans="1:6" s="10" customFormat="1" ht="13.5" hidden="1" thickBot="1">
      <c r="A115" s="445"/>
      <c r="B115" s="443"/>
      <c r="C115" s="443"/>
      <c r="D115" s="443"/>
      <c r="E115" s="443"/>
      <c r="F115" s="444"/>
    </row>
    <row r="116" spans="1:6" s="9" customFormat="1" ht="12.75" thickBot="1">
      <c r="A116" s="309" t="s">
        <v>641</v>
      </c>
      <c r="B116" s="205">
        <f>SUM(B115:B115)</f>
        <v>0</v>
      </c>
      <c r="C116" s="205">
        <v>0</v>
      </c>
      <c r="D116" s="205">
        <f>SUM(E116:F116)</f>
        <v>0</v>
      </c>
      <c r="E116" s="192">
        <f aca="true" t="shared" si="22" ref="E116">SUM(E111:E115)</f>
        <v>0</v>
      </c>
      <c r="F116" s="192">
        <f>SUM(F111:F115)</f>
        <v>0</v>
      </c>
    </row>
    <row r="117" spans="1:6" s="11" customFormat="1" ht="12.75" thickBot="1">
      <c r="A117" s="309" t="s">
        <v>217</v>
      </c>
      <c r="B117" s="291">
        <f>B110+B116</f>
        <v>0</v>
      </c>
      <c r="C117" s="205"/>
      <c r="D117" s="205">
        <f>SUM(E117:F117)</f>
        <v>0</v>
      </c>
      <c r="E117" s="182">
        <f aca="true" t="shared" si="23" ref="E117:F117">E110+E116</f>
        <v>0</v>
      </c>
      <c r="F117" s="183">
        <f t="shared" si="23"/>
        <v>0</v>
      </c>
    </row>
    <row r="118" spans="1:6" s="11" customFormat="1" ht="12.75">
      <c r="A118" s="322"/>
      <c r="B118" s="199"/>
      <c r="C118" s="199"/>
      <c r="D118" s="199"/>
      <c r="E118" s="200"/>
      <c r="F118" s="201"/>
    </row>
    <row r="119" spans="1:6" s="11" customFormat="1" ht="12.75" thickBot="1">
      <c r="A119" s="323"/>
      <c r="B119" s="202"/>
      <c r="C119" s="202"/>
      <c r="D119" s="202"/>
      <c r="E119" s="203"/>
      <c r="F119" s="204"/>
    </row>
    <row r="120" spans="1:6" s="9" customFormat="1" ht="12.75" thickBot="1">
      <c r="A120" s="314" t="s">
        <v>203</v>
      </c>
      <c r="B120" s="205">
        <v>0</v>
      </c>
      <c r="C120" s="923">
        <v>0</v>
      </c>
      <c r="D120" s="929">
        <f aca="true" t="shared" si="24" ref="D120:D153">SUM(E120:F120)</f>
        <v>922.883</v>
      </c>
      <c r="E120" s="191">
        <v>279.64</v>
      </c>
      <c r="F120" s="192">
        <v>643.243</v>
      </c>
    </row>
    <row r="121" spans="1:6" ht="12.75" thickBot="1">
      <c r="A121" s="319" t="s">
        <v>204</v>
      </c>
      <c r="B121" s="206">
        <v>0</v>
      </c>
      <c r="C121" s="924">
        <v>0</v>
      </c>
      <c r="D121" s="930">
        <f t="shared" si="24"/>
        <v>0</v>
      </c>
      <c r="E121" s="194"/>
      <c r="F121" s="195"/>
    </row>
    <row r="122" spans="1:6" s="8" customFormat="1" ht="12.75" thickBot="1">
      <c r="A122" s="314" t="s">
        <v>19</v>
      </c>
      <c r="B122" s="205">
        <v>0</v>
      </c>
      <c r="C122" s="923">
        <v>0</v>
      </c>
      <c r="D122" s="929">
        <f t="shared" si="24"/>
        <v>0</v>
      </c>
      <c r="E122" s="939"/>
      <c r="F122" s="205"/>
    </row>
    <row r="123" spans="1:6" s="8" customFormat="1" ht="12.75" thickBot="1">
      <c r="A123" s="314" t="s">
        <v>205</v>
      </c>
      <c r="B123" s="205">
        <v>0</v>
      </c>
      <c r="C123" s="923">
        <v>0</v>
      </c>
      <c r="D123" s="929">
        <f t="shared" si="24"/>
        <v>0</v>
      </c>
      <c r="E123" s="939"/>
      <c r="F123" s="205"/>
    </row>
    <row r="124" spans="1:6" ht="12.75" hidden="1">
      <c r="A124" s="324"/>
      <c r="B124" s="184">
        <v>0</v>
      </c>
      <c r="C124" s="925">
        <v>0</v>
      </c>
      <c r="D124" s="931">
        <f t="shared" si="24"/>
        <v>0</v>
      </c>
      <c r="E124" s="940"/>
      <c r="F124" s="184"/>
    </row>
    <row r="125" spans="1:6" ht="12.75">
      <c r="A125" s="311" t="s">
        <v>219</v>
      </c>
      <c r="B125" s="175">
        <v>0</v>
      </c>
      <c r="C125" s="926">
        <v>41.646</v>
      </c>
      <c r="D125" s="932">
        <f t="shared" si="24"/>
        <v>41.646</v>
      </c>
      <c r="E125" s="941"/>
      <c r="F125" s="175">
        <v>41.646</v>
      </c>
    </row>
    <row r="126" spans="1:6" s="10" customFormat="1" ht="12.75">
      <c r="A126" s="311" t="s">
        <v>274</v>
      </c>
      <c r="B126" s="175">
        <v>0</v>
      </c>
      <c r="C126" s="926">
        <v>1492.8</v>
      </c>
      <c r="D126" s="932">
        <f t="shared" si="24"/>
        <v>1894.9</v>
      </c>
      <c r="E126" s="941"/>
      <c r="F126" s="175">
        <f>1492.8+402.1</f>
        <v>1894.9</v>
      </c>
    </row>
    <row r="127" spans="1:6" s="10" customFormat="1" ht="12.75">
      <c r="A127" s="325" t="s">
        <v>808</v>
      </c>
      <c r="B127" s="753"/>
      <c r="C127" s="926">
        <v>360</v>
      </c>
      <c r="D127" s="932">
        <f t="shared" si="24"/>
        <v>360</v>
      </c>
      <c r="E127" s="941"/>
      <c r="F127" s="175">
        <v>360</v>
      </c>
    </row>
    <row r="128" spans="1:6" s="10" customFormat="1" ht="12.75" hidden="1">
      <c r="A128" s="325" t="s">
        <v>744</v>
      </c>
      <c r="B128" s="175"/>
      <c r="C128" s="926"/>
      <c r="D128" s="932">
        <f t="shared" si="24"/>
        <v>0</v>
      </c>
      <c r="E128" s="941"/>
      <c r="F128" s="175"/>
    </row>
    <row r="129" spans="1:6" s="10" customFormat="1" ht="12.75">
      <c r="A129" s="311" t="s">
        <v>275</v>
      </c>
      <c r="B129" s="175">
        <v>0</v>
      </c>
      <c r="C129" s="927">
        <v>2381.845</v>
      </c>
      <c r="D129" s="932">
        <f t="shared" si="24"/>
        <v>2381.845</v>
      </c>
      <c r="E129" s="941"/>
      <c r="F129" s="936">
        <v>2381.845</v>
      </c>
    </row>
    <row r="130" spans="1:6" s="10" customFormat="1" ht="12.75">
      <c r="A130" s="325" t="s">
        <v>869</v>
      </c>
      <c r="B130" s="175"/>
      <c r="C130" s="927"/>
      <c r="D130" s="932">
        <f t="shared" si="24"/>
        <v>196.287</v>
      </c>
      <c r="E130" s="941"/>
      <c r="F130" s="936">
        <v>196.287</v>
      </c>
    </row>
    <row r="131" spans="1:6" s="10" customFormat="1" ht="12.75">
      <c r="A131" s="325" t="s">
        <v>870</v>
      </c>
      <c r="B131" s="175">
        <v>0</v>
      </c>
      <c r="C131" s="926"/>
      <c r="D131" s="932">
        <f t="shared" si="24"/>
        <v>100</v>
      </c>
      <c r="E131" s="941"/>
      <c r="F131" s="175">
        <v>100</v>
      </c>
    </row>
    <row r="132" spans="1:6" s="10" customFormat="1" ht="12.75">
      <c r="A132" s="974" t="s">
        <v>908</v>
      </c>
      <c r="B132" s="975"/>
      <c r="C132" s="926"/>
      <c r="D132" s="933">
        <f t="shared" si="24"/>
        <v>50</v>
      </c>
      <c r="E132" s="976"/>
      <c r="F132" s="753">
        <v>50</v>
      </c>
    </row>
    <row r="133" spans="1:6" s="10" customFormat="1" ht="12.75">
      <c r="A133" s="807" t="s">
        <v>809</v>
      </c>
      <c r="B133" s="178"/>
      <c r="C133" s="928">
        <v>51983</v>
      </c>
      <c r="D133" s="933">
        <f t="shared" si="24"/>
        <v>0</v>
      </c>
      <c r="E133" s="942"/>
      <c r="F133" s="937">
        <v>0</v>
      </c>
    </row>
    <row r="134" spans="1:6" s="10" customFormat="1" ht="12.75" thickBot="1">
      <c r="A134" s="807" t="s">
        <v>810</v>
      </c>
      <c r="B134" s="178"/>
      <c r="C134" s="928">
        <v>3449.1</v>
      </c>
      <c r="D134" s="934">
        <f t="shared" si="24"/>
        <v>3449.1</v>
      </c>
      <c r="E134" s="941"/>
      <c r="F134" s="938">
        <v>3449.1</v>
      </c>
    </row>
    <row r="135" spans="1:9" s="10" customFormat="1" ht="12.75" hidden="1">
      <c r="A135" s="325"/>
      <c r="B135" s="175"/>
      <c r="C135" s="208"/>
      <c r="D135" s="207">
        <f t="shared" si="24"/>
        <v>0</v>
      </c>
      <c r="E135" s="176"/>
      <c r="F135" s="935"/>
      <c r="I135" s="466"/>
    </row>
    <row r="136" spans="1:9" s="10" customFormat="1" ht="12.75" hidden="1" thickBot="1">
      <c r="A136" s="427"/>
      <c r="B136" s="193"/>
      <c r="C136" s="206">
        <v>0</v>
      </c>
      <c r="D136" s="208">
        <f t="shared" si="24"/>
        <v>0</v>
      </c>
      <c r="E136" s="462"/>
      <c r="F136" s="666"/>
      <c r="I136" s="466"/>
    </row>
    <row r="137" spans="1:6" s="9" customFormat="1" ht="12.75" thickBot="1">
      <c r="A137" s="314" t="s">
        <v>206</v>
      </c>
      <c r="B137" s="205">
        <f>SUM(B124:B135)</f>
        <v>0</v>
      </c>
      <c r="C137" s="205">
        <f>SUM(C124:C136)</f>
        <v>59708.390999999996</v>
      </c>
      <c r="D137" s="205">
        <f t="shared" si="24"/>
        <v>8473.778</v>
      </c>
      <c r="E137" s="191">
        <f aca="true" t="shared" si="25" ref="E137">SUM(E124:E136)</f>
        <v>0</v>
      </c>
      <c r="F137" s="191">
        <f>SUM(F124:F136)</f>
        <v>8473.778</v>
      </c>
    </row>
    <row r="138" spans="1:6" s="9" customFormat="1" ht="12.75" thickBot="1">
      <c r="A138" s="319" t="s">
        <v>207</v>
      </c>
      <c r="B138" s="206">
        <v>0</v>
      </c>
      <c r="C138" s="206">
        <v>0</v>
      </c>
      <c r="D138" s="206">
        <f t="shared" si="24"/>
        <v>0</v>
      </c>
      <c r="E138" s="194"/>
      <c r="F138" s="195"/>
    </row>
    <row r="139" spans="1:6" s="9" customFormat="1" ht="12.75" thickBot="1">
      <c r="A139" s="314" t="s">
        <v>208</v>
      </c>
      <c r="B139" s="205">
        <v>0</v>
      </c>
      <c r="C139" s="205">
        <v>90000</v>
      </c>
      <c r="D139" s="205">
        <f t="shared" si="24"/>
        <v>0</v>
      </c>
      <c r="E139" s="191"/>
      <c r="F139" s="192">
        <v>0</v>
      </c>
    </row>
    <row r="140" spans="1:6" s="10" customFormat="1" ht="14.25" customHeight="1">
      <c r="A140" s="811" t="s">
        <v>840</v>
      </c>
      <c r="B140" s="184"/>
      <c r="C140" s="207">
        <v>350</v>
      </c>
      <c r="D140" s="207">
        <f t="shared" si="24"/>
        <v>350</v>
      </c>
      <c r="E140" s="185"/>
      <c r="F140" s="186">
        <v>350</v>
      </c>
    </row>
    <row r="141" spans="1:6" s="10" customFormat="1" ht="14.25" customHeight="1">
      <c r="A141" s="325" t="s">
        <v>841</v>
      </c>
      <c r="B141" s="175">
        <v>0</v>
      </c>
      <c r="C141" s="208">
        <v>600</v>
      </c>
      <c r="D141" s="208">
        <f t="shared" si="24"/>
        <v>600</v>
      </c>
      <c r="E141" s="176"/>
      <c r="F141" s="187">
        <v>600</v>
      </c>
    </row>
    <row r="142" spans="1:6" s="10" customFormat="1" ht="14.25" customHeight="1">
      <c r="A142" s="325" t="s">
        <v>842</v>
      </c>
      <c r="B142" s="175">
        <v>0</v>
      </c>
      <c r="C142" s="208">
        <v>100</v>
      </c>
      <c r="D142" s="208">
        <f t="shared" si="24"/>
        <v>100</v>
      </c>
      <c r="E142" s="176"/>
      <c r="F142" s="187">
        <v>100</v>
      </c>
    </row>
    <row r="143" spans="1:6" s="10" customFormat="1" ht="14.25" customHeight="1">
      <c r="A143" s="325" t="s">
        <v>843</v>
      </c>
      <c r="B143" s="175"/>
      <c r="C143" s="208">
        <v>200</v>
      </c>
      <c r="D143" s="208">
        <f t="shared" si="24"/>
        <v>200</v>
      </c>
      <c r="E143" s="176"/>
      <c r="F143" s="187">
        <v>200</v>
      </c>
    </row>
    <row r="144" spans="1:6" s="10" customFormat="1" ht="14.25" customHeight="1">
      <c r="A144" s="427" t="s">
        <v>844</v>
      </c>
      <c r="B144" s="178"/>
      <c r="C144" s="209">
        <v>10</v>
      </c>
      <c r="D144" s="208">
        <f t="shared" si="24"/>
        <v>10</v>
      </c>
      <c r="E144" s="179"/>
      <c r="F144" s="190">
        <v>10</v>
      </c>
    </row>
    <row r="145" spans="1:6" s="10" customFormat="1" ht="14.25" customHeight="1">
      <c r="A145" s="427" t="s">
        <v>845</v>
      </c>
      <c r="B145" s="178"/>
      <c r="C145" s="209">
        <v>75</v>
      </c>
      <c r="D145" s="208">
        <f t="shared" si="24"/>
        <v>75</v>
      </c>
      <c r="E145" s="179"/>
      <c r="F145" s="190">
        <v>75</v>
      </c>
    </row>
    <row r="146" spans="1:6" s="10" customFormat="1" ht="14.25" customHeight="1" thickBot="1">
      <c r="A146" s="427" t="s">
        <v>846</v>
      </c>
      <c r="B146" s="178"/>
      <c r="C146" s="209">
        <v>65</v>
      </c>
      <c r="D146" s="208">
        <f t="shared" si="24"/>
        <v>65</v>
      </c>
      <c r="E146" s="179"/>
      <c r="F146" s="190">
        <v>65</v>
      </c>
    </row>
    <row r="147" spans="1:6" s="10" customFormat="1" ht="14.25" customHeight="1" hidden="1" thickBot="1">
      <c r="A147" s="428"/>
      <c r="B147" s="304">
        <v>0</v>
      </c>
      <c r="C147" s="210"/>
      <c r="D147" s="208">
        <f t="shared" si="24"/>
        <v>0</v>
      </c>
      <c r="E147" s="211"/>
      <c r="F147" s="212"/>
    </row>
    <row r="148" spans="1:6" s="9" customFormat="1" ht="14.25" customHeight="1" thickBot="1">
      <c r="A148" s="326" t="s">
        <v>20</v>
      </c>
      <c r="B148" s="205">
        <f aca="true" t="shared" si="26" ref="B148:F148">SUM(B140:B147)</f>
        <v>0</v>
      </c>
      <c r="C148" s="205">
        <f>SUM(C140:C147)</f>
        <v>1400</v>
      </c>
      <c r="D148" s="205">
        <f t="shared" si="24"/>
        <v>1400</v>
      </c>
      <c r="E148" s="191">
        <f t="shared" si="26"/>
        <v>0</v>
      </c>
      <c r="F148" s="192">
        <f t="shared" si="26"/>
        <v>1400</v>
      </c>
    </row>
    <row r="149" spans="1:6" s="9" customFormat="1" ht="14.25" customHeight="1" thickBot="1">
      <c r="A149" s="947" t="s">
        <v>880</v>
      </c>
      <c r="B149" s="948"/>
      <c r="C149" s="948">
        <v>2355.476</v>
      </c>
      <c r="D149" s="979">
        <f>E149+F149</f>
        <v>18838.28</v>
      </c>
      <c r="E149" s="949"/>
      <c r="F149" s="950">
        <f>2355.476+20286.741-50-1185.737-2568.2</f>
        <v>18838.28</v>
      </c>
    </row>
    <row r="150" spans="1:6" s="9" customFormat="1" ht="14.25" customHeight="1" thickBot="1">
      <c r="A150" s="327" t="s">
        <v>879</v>
      </c>
      <c r="B150" s="206"/>
      <c r="C150" s="206"/>
      <c r="D150" s="979">
        <f>E150+F150</f>
        <v>28800</v>
      </c>
      <c r="E150" s="194"/>
      <c r="F150" s="302">
        <f>30000-1200</f>
        <v>28800</v>
      </c>
    </row>
    <row r="151" spans="1:6" s="11" customFormat="1" ht="14.25" customHeight="1" thickBot="1">
      <c r="A151" s="328" t="s">
        <v>21</v>
      </c>
      <c r="B151" s="291">
        <f>B120+B121+B122+B123+B137+B138+B139+B148+B149</f>
        <v>0</v>
      </c>
      <c r="C151" s="205">
        <v>153463.867</v>
      </c>
      <c r="D151" s="205">
        <f>SUM(E151:F151)</f>
        <v>58434.941</v>
      </c>
      <c r="E151" s="182">
        <f aca="true" t="shared" si="27" ref="E151">E120+E121+E122+E123+E137+E138+E139+E148+E149</f>
        <v>279.64</v>
      </c>
      <c r="F151" s="183">
        <f>F120+F121+F122+F123+F137+F138+F139+F148+F149+F150</f>
        <v>58155.301</v>
      </c>
    </row>
    <row r="152" spans="1:6" s="9" customFormat="1" ht="14.25" customHeight="1" thickBot="1">
      <c r="A152" s="319" t="s">
        <v>22</v>
      </c>
      <c r="B152" s="206">
        <v>0</v>
      </c>
      <c r="C152" s="206">
        <v>0</v>
      </c>
      <c r="D152" s="206">
        <f t="shared" si="24"/>
        <v>0</v>
      </c>
      <c r="E152" s="194"/>
      <c r="F152" s="195" t="s">
        <v>860</v>
      </c>
    </row>
    <row r="153" spans="1:6" s="9" customFormat="1" ht="14.25" customHeight="1" thickBot="1">
      <c r="A153" s="314" t="s">
        <v>23</v>
      </c>
      <c r="B153" s="205"/>
      <c r="C153" s="205">
        <v>0</v>
      </c>
      <c r="D153" s="205">
        <f t="shared" si="24"/>
        <v>0</v>
      </c>
      <c r="E153" s="191"/>
      <c r="F153" s="192"/>
    </row>
    <row r="154" spans="1:6" s="9" customFormat="1" ht="14.25" customHeight="1" thickBot="1">
      <c r="A154" s="314" t="s">
        <v>262</v>
      </c>
      <c r="B154" s="205">
        <v>0</v>
      </c>
      <c r="C154" s="205">
        <v>0</v>
      </c>
      <c r="D154" s="205">
        <f aca="true" t="shared" si="28" ref="D154:D173">SUM(E154:F154)</f>
        <v>0</v>
      </c>
      <c r="E154" s="191"/>
      <c r="F154" s="301"/>
    </row>
    <row r="155" spans="1:6" s="10" customFormat="1" ht="12.75" hidden="1">
      <c r="A155" s="324"/>
      <c r="B155" s="184">
        <v>0</v>
      </c>
      <c r="C155" s="207">
        <v>0</v>
      </c>
      <c r="D155" s="207">
        <f t="shared" si="28"/>
        <v>0</v>
      </c>
      <c r="E155" s="185"/>
      <c r="F155" s="186"/>
    </row>
    <row r="156" spans="1:6" s="10" customFormat="1" ht="12.75" hidden="1">
      <c r="A156" s="325"/>
      <c r="B156" s="175">
        <v>0</v>
      </c>
      <c r="C156" s="208">
        <v>0</v>
      </c>
      <c r="D156" s="208">
        <f t="shared" si="28"/>
        <v>0</v>
      </c>
      <c r="E156" s="176"/>
      <c r="F156" s="187"/>
    </row>
    <row r="157" spans="1:6" s="10" customFormat="1" ht="12.75" hidden="1">
      <c r="A157" s="311"/>
      <c r="B157" s="175">
        <v>0</v>
      </c>
      <c r="C157" s="208">
        <v>0</v>
      </c>
      <c r="D157" s="208">
        <f t="shared" si="28"/>
        <v>0</v>
      </c>
      <c r="E157" s="176"/>
      <c r="F157" s="187"/>
    </row>
    <row r="158" spans="1:6" s="10" customFormat="1" ht="14.25" customHeight="1" hidden="1" thickBot="1">
      <c r="A158" s="321"/>
      <c r="B158" s="178">
        <v>0</v>
      </c>
      <c r="C158" s="209">
        <f>SUM(D158:E158)</f>
        <v>0</v>
      </c>
      <c r="D158" s="209">
        <f t="shared" si="28"/>
        <v>0</v>
      </c>
      <c r="E158" s="179"/>
      <c r="F158" s="190"/>
    </row>
    <row r="159" spans="1:6" s="9" customFormat="1" ht="14.25" customHeight="1" thickBot="1">
      <c r="A159" s="314" t="s">
        <v>24</v>
      </c>
      <c r="B159" s="205">
        <v>0</v>
      </c>
      <c r="C159" s="205">
        <v>0</v>
      </c>
      <c r="D159" s="205">
        <f t="shared" si="28"/>
        <v>90000</v>
      </c>
      <c r="E159" s="191">
        <f aca="true" t="shared" si="29" ref="E159">SUM(E155:E158)</f>
        <v>0</v>
      </c>
      <c r="F159" s="192">
        <v>90000</v>
      </c>
    </row>
    <row r="160" spans="1:6" s="9" customFormat="1" ht="14.25" customHeight="1" thickBot="1">
      <c r="A160" s="314" t="s">
        <v>768</v>
      </c>
      <c r="B160" s="205">
        <v>0</v>
      </c>
      <c r="C160" s="205"/>
      <c r="D160" s="205">
        <f t="shared" si="28"/>
        <v>0</v>
      </c>
      <c r="E160" s="191"/>
      <c r="F160" s="192"/>
    </row>
    <row r="161" spans="1:6" s="10" customFormat="1" ht="12.75" hidden="1">
      <c r="A161" s="310"/>
      <c r="B161" s="184"/>
      <c r="C161" s="207"/>
      <c r="D161" s="207">
        <f t="shared" si="28"/>
        <v>0</v>
      </c>
      <c r="E161" s="185"/>
      <c r="F161" s="186"/>
    </row>
    <row r="162" spans="1:6" s="10" customFormat="1" ht="14.25" customHeight="1" hidden="1" thickBot="1">
      <c r="A162" s="308"/>
      <c r="B162" s="178">
        <v>0</v>
      </c>
      <c r="C162" s="209">
        <v>0</v>
      </c>
      <c r="D162" s="209">
        <f t="shared" si="28"/>
        <v>0</v>
      </c>
      <c r="E162" s="179"/>
      <c r="F162" s="190"/>
    </row>
    <row r="163" spans="1:6" s="9" customFormat="1" ht="14.25" customHeight="1" thickBot="1">
      <c r="A163" s="314" t="s">
        <v>25</v>
      </c>
      <c r="B163" s="205">
        <f>SUM(B161:B162)</f>
        <v>0</v>
      </c>
      <c r="C163" s="205"/>
      <c r="D163" s="205">
        <f t="shared" si="28"/>
        <v>0</v>
      </c>
      <c r="E163" s="191">
        <f aca="true" t="shared" si="30" ref="E163:F163">SUM(E161:E162)</f>
        <v>0</v>
      </c>
      <c r="F163" s="192">
        <f t="shared" si="30"/>
        <v>0</v>
      </c>
    </row>
    <row r="164" spans="1:6" s="9" customFormat="1" ht="14.25" customHeight="1" thickBot="1">
      <c r="A164" s="314" t="s">
        <v>32</v>
      </c>
      <c r="B164" s="205">
        <v>0</v>
      </c>
      <c r="C164" s="205">
        <v>0</v>
      </c>
      <c r="D164" s="205">
        <f t="shared" si="28"/>
        <v>0</v>
      </c>
      <c r="E164" s="191"/>
      <c r="F164" s="192"/>
    </row>
    <row r="165" spans="1:6" s="10" customFormat="1" ht="12.75" hidden="1">
      <c r="A165" s="324" t="s">
        <v>26</v>
      </c>
      <c r="B165" s="184"/>
      <c r="C165" s="207">
        <v>0</v>
      </c>
      <c r="D165" s="207">
        <f t="shared" si="28"/>
        <v>0</v>
      </c>
      <c r="E165" s="185"/>
      <c r="F165" s="186"/>
    </row>
    <row r="166" spans="1:6" s="10" customFormat="1" ht="14.25" customHeight="1" hidden="1">
      <c r="A166" s="311" t="s">
        <v>27</v>
      </c>
      <c r="B166" s="175">
        <v>0</v>
      </c>
      <c r="C166" s="208">
        <v>0</v>
      </c>
      <c r="D166" s="208">
        <f t="shared" si="28"/>
        <v>0</v>
      </c>
      <c r="E166" s="176"/>
      <c r="F166" s="187"/>
    </row>
    <row r="167" spans="1:6" s="10" customFormat="1" ht="12.75" hidden="1">
      <c r="A167" s="325"/>
      <c r="B167" s="175">
        <v>0</v>
      </c>
      <c r="C167" s="208">
        <v>0</v>
      </c>
      <c r="D167" s="208">
        <f t="shared" si="28"/>
        <v>0</v>
      </c>
      <c r="E167" s="176"/>
      <c r="F167" s="187"/>
    </row>
    <row r="168" spans="1:6" s="10" customFormat="1" ht="12.75">
      <c r="A168" s="325" t="s">
        <v>916</v>
      </c>
      <c r="B168" s="175">
        <v>0</v>
      </c>
      <c r="C168" s="208">
        <v>0</v>
      </c>
      <c r="D168" s="208">
        <f t="shared" si="28"/>
        <v>1200</v>
      </c>
      <c r="E168" s="176"/>
      <c r="F168" s="187">
        <v>1200</v>
      </c>
    </row>
    <row r="169" spans="1:6" s="10" customFormat="1" ht="12.75" thickBot="1">
      <c r="A169" s="808" t="s">
        <v>811</v>
      </c>
      <c r="B169" s="178">
        <v>0</v>
      </c>
      <c r="C169" s="209">
        <v>3469.354</v>
      </c>
      <c r="D169" s="209">
        <f t="shared" si="28"/>
        <v>3469.354</v>
      </c>
      <c r="E169" s="179"/>
      <c r="F169" s="796">
        <v>3469.354</v>
      </c>
    </row>
    <row r="170" spans="1:6" s="9" customFormat="1" ht="14.25" customHeight="1" thickBot="1">
      <c r="A170" s="326" t="s">
        <v>33</v>
      </c>
      <c r="B170" s="205">
        <f>SUM(B165:B169)</f>
        <v>0</v>
      </c>
      <c r="C170" s="205">
        <f>C169</f>
        <v>3469.354</v>
      </c>
      <c r="D170" s="205">
        <f t="shared" si="28"/>
        <v>4669.353999999999</v>
      </c>
      <c r="E170" s="191">
        <f aca="true" t="shared" si="31" ref="E170:F170">SUM(E165:E169)</f>
        <v>0</v>
      </c>
      <c r="F170" s="192">
        <f t="shared" si="31"/>
        <v>4669.353999999999</v>
      </c>
    </row>
    <row r="171" spans="1:6" s="11" customFormat="1" ht="14.25" customHeight="1" thickBot="1">
      <c r="A171" s="328" t="s">
        <v>28</v>
      </c>
      <c r="B171" s="291">
        <f aca="true" t="shared" si="32" ref="B171:E171">B152+B153+B154+B159+B160+B163+B164+B170</f>
        <v>0</v>
      </c>
      <c r="C171" s="205">
        <f>C170</f>
        <v>3469.354</v>
      </c>
      <c r="D171" s="205">
        <f t="shared" si="28"/>
        <v>94669.35399999999</v>
      </c>
      <c r="E171" s="182">
        <f t="shared" si="32"/>
        <v>0</v>
      </c>
      <c r="F171" s="182">
        <f>F159+F160+F163+F164+F170</f>
        <v>94669.35399999999</v>
      </c>
    </row>
    <row r="172" spans="1:6" s="10" customFormat="1" ht="12" customHeight="1" thickBot="1">
      <c r="A172" s="811" t="s">
        <v>823</v>
      </c>
      <c r="B172" s="184"/>
      <c r="C172" s="646">
        <v>68299.954</v>
      </c>
      <c r="D172" s="207">
        <f t="shared" si="28"/>
        <v>67341.535</v>
      </c>
      <c r="E172" s="185"/>
      <c r="F172" s="796">
        <f>68299.954-958.419</f>
        <v>67341.535</v>
      </c>
    </row>
    <row r="173" spans="1:6" s="23" customFormat="1" ht="12.75" thickBot="1">
      <c r="A173" s="309" t="s">
        <v>140</v>
      </c>
      <c r="B173" s="291">
        <f>SUM(B172:B172)</f>
        <v>0</v>
      </c>
      <c r="C173" s="205">
        <f>SUM(C172:C172)</f>
        <v>68299.954</v>
      </c>
      <c r="D173" s="205">
        <f t="shared" si="28"/>
        <v>67341.535</v>
      </c>
      <c r="E173" s="182">
        <f>SUM(E172:E172)</f>
        <v>0</v>
      </c>
      <c r="F173" s="183">
        <f>SUM(F172:F172)</f>
        <v>67341.535</v>
      </c>
    </row>
    <row r="174" spans="2:6" ht="12.75">
      <c r="B174" s="213"/>
      <c r="C174" s="213"/>
      <c r="D174" s="213"/>
      <c r="E174" s="213"/>
      <c r="F174" s="213"/>
    </row>
    <row r="175" spans="2:6" ht="12.75">
      <c r="B175" s="7"/>
      <c r="C175" s="7"/>
      <c r="D175" s="7"/>
      <c r="E175" s="7"/>
      <c r="F175" s="7"/>
    </row>
    <row r="176" spans="2:6" ht="12.75">
      <c r="B176" s="7"/>
      <c r="C176" s="7"/>
      <c r="D176" s="7"/>
      <c r="E176" s="7"/>
      <c r="F176" s="7"/>
    </row>
    <row r="177" spans="2:6" ht="12.75">
      <c r="B177" s="7"/>
      <c r="C177" s="7"/>
      <c r="D177" s="7"/>
      <c r="E177" s="7"/>
      <c r="F177" s="7"/>
    </row>
    <row r="178" spans="2:6" ht="12.75">
      <c r="B178" s="7"/>
      <c r="C178" s="7"/>
      <c r="D178" s="7"/>
      <c r="E178" s="7"/>
      <c r="F178" s="7"/>
    </row>
    <row r="179" spans="2:6" ht="12.75">
      <c r="B179" s="7"/>
      <c r="C179" s="7"/>
      <c r="D179" s="7"/>
      <c r="E179" s="7"/>
      <c r="F179" s="7"/>
    </row>
    <row r="180" spans="2:6" ht="12.75">
      <c r="B180" s="7"/>
      <c r="C180" s="7"/>
      <c r="D180" s="7"/>
      <c r="E180" s="7"/>
      <c r="F180" s="7"/>
    </row>
  </sheetData>
  <mergeCells count="1">
    <mergeCell ref="A3:F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1">
      <selection activeCell="A17" sqref="A17"/>
    </sheetView>
  </sheetViews>
  <sheetFormatPr defaultColWidth="9.00390625" defaultRowHeight="12.75"/>
  <cols>
    <col min="1" max="1" width="69.00390625" style="13" customWidth="1"/>
    <col min="2" max="2" width="10.875" style="13" bestFit="1" customWidth="1"/>
    <col min="3" max="3" width="11.125" style="13" customWidth="1"/>
    <col min="4" max="4" width="9.875" style="13" customWidth="1"/>
    <col min="5" max="6" width="9.125" style="13" customWidth="1"/>
    <col min="7" max="7" width="10.875" style="13" bestFit="1" customWidth="1"/>
    <col min="8" max="16384" width="9.125" style="13" customWidth="1"/>
  </cols>
  <sheetData>
    <row r="1" spans="2:7" ht="12.75">
      <c r="B1" s="298" t="s">
        <v>306</v>
      </c>
      <c r="C1" s="1126" t="str">
        <f>'bev-int'!B1</f>
        <v>melléklet a 12/2020.(IX.17.) önkormányzati rendelethez</v>
      </c>
      <c r="D1" s="1126"/>
      <c r="E1" s="1126"/>
      <c r="F1" s="1126"/>
      <c r="G1" s="1126"/>
    </row>
    <row r="6" spans="2:7" s="295" customFormat="1" ht="12.75">
      <c r="B6" s="1133"/>
      <c r="C6" s="1133"/>
      <c r="D6" s="1133"/>
      <c r="E6" s="1133"/>
      <c r="F6" s="1133"/>
      <c r="G6" s="1133"/>
    </row>
    <row r="7" spans="1:7" ht="12.75">
      <c r="A7" s="1134" t="s">
        <v>795</v>
      </c>
      <c r="B7" s="1134"/>
      <c r="C7" s="1134"/>
      <c r="D7" s="1134"/>
      <c r="E7" s="1134"/>
      <c r="F7" s="1134"/>
      <c r="G7" s="1134"/>
    </row>
    <row r="8" spans="1:7" ht="12.75">
      <c r="A8" s="372"/>
      <c r="B8" s="372"/>
      <c r="C8" s="372"/>
      <c r="D8" s="372"/>
      <c r="E8" s="372"/>
      <c r="F8" s="1135"/>
      <c r="G8" s="1135"/>
    </row>
    <row r="9" spans="1:7" ht="12.75">
      <c r="A9" s="373"/>
      <c r="B9" s="373"/>
      <c r="C9" s="373"/>
      <c r="D9" s="373"/>
      <c r="E9" s="373"/>
      <c r="F9" s="373"/>
      <c r="G9" s="373"/>
    </row>
    <row r="10" spans="1:7" ht="13.5" thickBot="1">
      <c r="A10" s="374"/>
      <c r="B10" s="1136" t="s">
        <v>59</v>
      </c>
      <c r="C10" s="1136"/>
      <c r="D10" s="1136"/>
      <c r="E10" s="1136"/>
      <c r="F10" s="1136"/>
      <c r="G10" s="1136"/>
    </row>
    <row r="11" spans="1:7" ht="12.75">
      <c r="A11" s="1137" t="s">
        <v>44</v>
      </c>
      <c r="B11" s="1139">
        <v>2020</v>
      </c>
      <c r="C11" s="1139">
        <v>2021</v>
      </c>
      <c r="D11" s="1139">
        <v>2022</v>
      </c>
      <c r="E11" s="1139">
        <v>2023</v>
      </c>
      <c r="F11" s="1124" t="s">
        <v>561</v>
      </c>
      <c r="G11" s="1131" t="s">
        <v>58</v>
      </c>
    </row>
    <row r="12" spans="1:7" ht="12.75">
      <c r="A12" s="1138"/>
      <c r="B12" s="1140"/>
      <c r="C12" s="1140"/>
      <c r="D12" s="1143"/>
      <c r="E12" s="1143"/>
      <c r="F12" s="1125"/>
      <c r="G12" s="1132"/>
    </row>
    <row r="13" spans="1:7" ht="12.75">
      <c r="A13" s="375"/>
      <c r="B13" s="159"/>
      <c r="C13" s="159"/>
      <c r="D13" s="159"/>
      <c r="E13" s="159"/>
      <c r="F13" s="159"/>
      <c r="G13" s="376"/>
    </row>
    <row r="14" spans="1:7" ht="12.75">
      <c r="A14" s="377"/>
      <c r="B14" s="363"/>
      <c r="C14" s="363"/>
      <c r="D14" s="363"/>
      <c r="E14" s="363"/>
      <c r="F14" s="363"/>
      <c r="G14" s="362">
        <f aca="true" t="shared" si="0" ref="G14:G23">SUM(B14:F14)</f>
        <v>0</v>
      </c>
    </row>
    <row r="15" spans="1:7" ht="12.75">
      <c r="A15" s="361"/>
      <c r="B15" s="363"/>
      <c r="C15" s="363"/>
      <c r="D15" s="363"/>
      <c r="E15" s="363"/>
      <c r="F15" s="363"/>
      <c r="G15" s="362">
        <f t="shared" si="0"/>
        <v>0</v>
      </c>
    </row>
    <row r="16" spans="1:7" ht="12.75">
      <c r="A16" s="361"/>
      <c r="B16" s="363"/>
      <c r="C16" s="363"/>
      <c r="D16" s="363"/>
      <c r="E16" s="363"/>
      <c r="F16" s="363"/>
      <c r="G16" s="362">
        <f t="shared" si="0"/>
        <v>0</v>
      </c>
    </row>
    <row r="17" spans="1:7" ht="12.75">
      <c r="A17" s="727"/>
      <c r="B17" s="728"/>
      <c r="C17" s="728"/>
      <c r="D17" s="728"/>
      <c r="E17" s="728"/>
      <c r="F17" s="728"/>
      <c r="G17" s="364">
        <f t="shared" si="0"/>
        <v>0</v>
      </c>
    </row>
    <row r="18" spans="1:7" ht="12.75">
      <c r="A18" s="729"/>
      <c r="B18" s="365"/>
      <c r="C18" s="365"/>
      <c r="D18" s="365"/>
      <c r="E18" s="365"/>
      <c r="F18" s="365"/>
      <c r="G18" s="362">
        <f t="shared" si="0"/>
        <v>0</v>
      </c>
    </row>
    <row r="19" spans="1:7" ht="12.75">
      <c r="A19" s="729"/>
      <c r="B19" s="365"/>
      <c r="C19" s="365"/>
      <c r="D19" s="365"/>
      <c r="E19" s="365"/>
      <c r="F19" s="365"/>
      <c r="G19" s="362">
        <f t="shared" si="0"/>
        <v>0</v>
      </c>
    </row>
    <row r="20" spans="1:7" ht="12.75">
      <c r="A20" s="729"/>
      <c r="B20" s="365"/>
      <c r="C20" s="365"/>
      <c r="D20" s="365"/>
      <c r="E20" s="365"/>
      <c r="F20" s="365"/>
      <c r="G20" s="362">
        <f t="shared" si="0"/>
        <v>0</v>
      </c>
    </row>
    <row r="21" spans="1:7" ht="12.75">
      <c r="A21" s="366"/>
      <c r="B21" s="365"/>
      <c r="C21" s="365"/>
      <c r="D21" s="365"/>
      <c r="E21" s="365"/>
      <c r="F21" s="365"/>
      <c r="G21" s="362">
        <f t="shared" si="0"/>
        <v>0</v>
      </c>
    </row>
    <row r="22" spans="1:7" ht="12.75" customHeight="1">
      <c r="A22" s="366"/>
      <c r="B22" s="365"/>
      <c r="C22" s="365"/>
      <c r="D22" s="365"/>
      <c r="E22" s="365"/>
      <c r="F22" s="365"/>
      <c r="G22" s="362">
        <f t="shared" si="0"/>
        <v>0</v>
      </c>
    </row>
    <row r="23" spans="1:7" ht="12.75" customHeight="1">
      <c r="A23" s="367"/>
      <c r="B23" s="365"/>
      <c r="C23" s="365"/>
      <c r="D23" s="365"/>
      <c r="E23" s="365"/>
      <c r="F23" s="365"/>
      <c r="G23" s="362">
        <f t="shared" si="0"/>
        <v>0</v>
      </c>
    </row>
    <row r="24" spans="1:9" ht="12.75">
      <c r="A24" s="368" t="s">
        <v>548</v>
      </c>
      <c r="B24" s="369">
        <f aca="true" t="shared" si="1" ref="B24:G24">SUM(B14:B23)</f>
        <v>0</v>
      </c>
      <c r="C24" s="369">
        <f t="shared" si="1"/>
        <v>0</v>
      </c>
      <c r="D24" s="369">
        <f t="shared" si="1"/>
        <v>0</v>
      </c>
      <c r="E24" s="369">
        <f t="shared" si="1"/>
        <v>0</v>
      </c>
      <c r="F24" s="369">
        <f t="shared" si="1"/>
        <v>0</v>
      </c>
      <c r="G24" s="370">
        <f t="shared" si="1"/>
        <v>0</v>
      </c>
      <c r="H24" s="296"/>
      <c r="I24" s="296"/>
    </row>
    <row r="25" spans="1:7" ht="12.75">
      <c r="A25" s="368"/>
      <c r="B25" s="369"/>
      <c r="C25" s="369"/>
      <c r="D25" s="369"/>
      <c r="E25" s="369"/>
      <c r="F25" s="369"/>
      <c r="G25" s="370"/>
    </row>
    <row r="26" spans="1:7" ht="12.75">
      <c r="A26" s="367"/>
      <c r="B26" s="363"/>
      <c r="C26" s="363"/>
      <c r="D26" s="363"/>
      <c r="E26" s="363"/>
      <c r="F26" s="363"/>
      <c r="G26" s="362">
        <f>SUM(B26:F26)</f>
        <v>0</v>
      </c>
    </row>
    <row r="27" spans="1:7" ht="12.75">
      <c r="A27" s="367"/>
      <c r="B27" s="363"/>
      <c r="C27" s="363"/>
      <c r="D27" s="363"/>
      <c r="E27" s="363"/>
      <c r="F27" s="363"/>
      <c r="G27" s="362">
        <f>SUM(B27:F27)</f>
        <v>0</v>
      </c>
    </row>
    <row r="28" spans="1:9" ht="12.75">
      <c r="A28" s="368" t="s">
        <v>549</v>
      </c>
      <c r="B28" s="369">
        <f aca="true" t="shared" si="2" ref="B28:G28">SUM(B26:B27)</f>
        <v>0</v>
      </c>
      <c r="C28" s="369">
        <f t="shared" si="2"/>
        <v>0</v>
      </c>
      <c r="D28" s="369">
        <f t="shared" si="2"/>
        <v>0</v>
      </c>
      <c r="E28" s="369">
        <f t="shared" si="2"/>
        <v>0</v>
      </c>
      <c r="F28" s="369">
        <f t="shared" si="2"/>
        <v>0</v>
      </c>
      <c r="G28" s="370">
        <f t="shared" si="2"/>
        <v>0</v>
      </c>
      <c r="H28" s="296"/>
      <c r="I28" s="296"/>
    </row>
    <row r="29" spans="1:7" ht="12.75">
      <c r="A29" s="367"/>
      <c r="B29" s="363"/>
      <c r="C29" s="363"/>
      <c r="D29" s="363"/>
      <c r="E29" s="363"/>
      <c r="F29" s="363"/>
      <c r="G29" s="371"/>
    </row>
    <row r="30" spans="1:7" ht="12.75">
      <c r="A30" s="1141" t="s">
        <v>550</v>
      </c>
      <c r="B30" s="1129">
        <f aca="true" t="shared" si="3" ref="B30:G30">SUM(B24-B28)</f>
        <v>0</v>
      </c>
      <c r="C30" s="1129">
        <f t="shared" si="3"/>
        <v>0</v>
      </c>
      <c r="D30" s="1129">
        <f t="shared" si="3"/>
        <v>0</v>
      </c>
      <c r="E30" s="1129">
        <f t="shared" si="3"/>
        <v>0</v>
      </c>
      <c r="F30" s="1129">
        <f t="shared" si="3"/>
        <v>0</v>
      </c>
      <c r="G30" s="1127">
        <f t="shared" si="3"/>
        <v>0</v>
      </c>
    </row>
    <row r="31" spans="1:7" ht="13.5" thickBot="1">
      <c r="A31" s="1142"/>
      <c r="B31" s="1130"/>
      <c r="C31" s="1130"/>
      <c r="D31" s="1130"/>
      <c r="E31" s="1130"/>
      <c r="F31" s="1130"/>
      <c r="G31" s="1128"/>
    </row>
    <row r="32" spans="1:7" ht="12.75">
      <c r="A32" s="157"/>
      <c r="B32" s="157"/>
      <c r="C32" s="157"/>
      <c r="D32" s="157"/>
      <c r="E32" s="157"/>
      <c r="F32" s="157"/>
      <c r="G32" s="157"/>
    </row>
    <row r="33" spans="1:7" ht="12.75">
      <c r="A33" s="299"/>
      <c r="B33" s="299"/>
      <c r="C33" s="299"/>
      <c r="D33" s="299"/>
      <c r="E33" s="299"/>
      <c r="F33" s="299"/>
      <c r="G33" s="299"/>
    </row>
  </sheetData>
  <mergeCells count="19">
    <mergeCell ref="E30:E31"/>
    <mergeCell ref="D11:D12"/>
    <mergeCell ref="E11:E12"/>
    <mergeCell ref="F11:F12"/>
    <mergeCell ref="C1:G1"/>
    <mergeCell ref="G30:G31"/>
    <mergeCell ref="F30:F31"/>
    <mergeCell ref="G11:G12"/>
    <mergeCell ref="B6:G6"/>
    <mergeCell ref="A7:G7"/>
    <mergeCell ref="F8:G8"/>
    <mergeCell ref="B10:G10"/>
    <mergeCell ref="A11:A12"/>
    <mergeCell ref="B11:B12"/>
    <mergeCell ref="C11:C12"/>
    <mergeCell ref="A30:A31"/>
    <mergeCell ref="B30:B31"/>
    <mergeCell ref="C30:C31"/>
    <mergeCell ref="D30:D3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3"/>
  <sheetViews>
    <sheetView workbookViewId="0" topLeftCell="A10">
      <selection activeCell="C41" sqref="C41"/>
    </sheetView>
  </sheetViews>
  <sheetFormatPr defaultColWidth="9.00390625" defaultRowHeight="12.75"/>
  <cols>
    <col min="1" max="1" width="48.25390625" style="16" customWidth="1"/>
    <col min="2" max="3" width="12.375" style="16" customWidth="1"/>
    <col min="4" max="4" width="45.75390625" style="16" customWidth="1"/>
    <col min="5" max="5" width="13.125" style="16" bestFit="1" customWidth="1"/>
    <col min="6" max="6" width="13.125" style="16" customWidth="1"/>
    <col min="7" max="16384" width="9.125" style="16" customWidth="1"/>
  </cols>
  <sheetData>
    <row r="3" spans="2:4" ht="12.75">
      <c r="B3" s="424"/>
      <c r="C3" s="424" t="s">
        <v>317</v>
      </c>
      <c r="D3" s="16" t="str">
        <f>'bev-int'!B1</f>
        <v>melléklet a 12/2020.(IX.17.) önkormányzati rendelethez</v>
      </c>
    </row>
    <row r="5" spans="1:6" ht="12.75">
      <c r="A5" s="1144" t="s">
        <v>796</v>
      </c>
      <c r="B5" s="1144"/>
      <c r="C5" s="1144"/>
      <c r="D5" s="1144"/>
      <c r="E5" s="1144"/>
      <c r="F5" s="1144"/>
    </row>
    <row r="6" spans="2:4" ht="12.75">
      <c r="B6" s="24"/>
      <c r="C6" s="24"/>
      <c r="D6" s="24"/>
    </row>
    <row r="7" spans="5:6" ht="13.5" thickBot="1">
      <c r="E7" s="40"/>
      <c r="F7" s="40" t="s">
        <v>59</v>
      </c>
    </row>
    <row r="8" spans="1:6" ht="26.25" thickBot="1">
      <c r="A8" s="38" t="s">
        <v>79</v>
      </c>
      <c r="B8" s="43" t="s">
        <v>763</v>
      </c>
      <c r="C8" s="43" t="s">
        <v>856</v>
      </c>
      <c r="D8" s="38" t="s">
        <v>81</v>
      </c>
      <c r="E8" s="43" t="s">
        <v>763</v>
      </c>
      <c r="F8" s="43" t="s">
        <v>856</v>
      </c>
    </row>
    <row r="9" spans="1:6" s="24" customFormat="1" ht="12.75">
      <c r="A9" s="115" t="str">
        <f>'bev-int'!A15</f>
        <v>Működési célú támogatások ÁH belülről</v>
      </c>
      <c r="B9" s="252">
        <f>'bev-int'!B15</f>
        <v>158813.63</v>
      </c>
      <c r="C9" s="252">
        <f>'bev-int'!C15</f>
        <v>116654.48099999999</v>
      </c>
      <c r="D9" s="115" t="str">
        <f>'kiad-int'!A8</f>
        <v>Személyi juttatások</v>
      </c>
      <c r="E9" s="265">
        <f>'kiad-int'!B8</f>
        <v>76982.646</v>
      </c>
      <c r="F9" s="265">
        <f>'kiad-int'!C8</f>
        <v>87822.764</v>
      </c>
    </row>
    <row r="10" spans="1:6" s="24" customFormat="1" ht="12.75">
      <c r="A10" s="113" t="str">
        <f>'bev-int'!A21</f>
        <v>Felhalmozási célú támogatások ÁH belülről</v>
      </c>
      <c r="B10" s="253">
        <f>'bev-int'!B21</f>
        <v>0</v>
      </c>
      <c r="C10" s="253">
        <f>'bev-int'!C21</f>
        <v>490485.764</v>
      </c>
      <c r="D10" s="113" t="str">
        <f>'kiad-int'!A9</f>
        <v>Munkaadókat terhelő járulékok</v>
      </c>
      <c r="E10" s="260">
        <f>'kiad-int'!B9</f>
        <v>13524.165</v>
      </c>
      <c r="F10" s="260">
        <f>'kiad-int'!C9</f>
        <v>14631.319</v>
      </c>
    </row>
    <row r="11" spans="1:6" s="24" customFormat="1" ht="12.75">
      <c r="A11" s="113" t="str">
        <f>'bev-int'!A26</f>
        <v>Közhatalmi bevételek</v>
      </c>
      <c r="B11" s="253">
        <f>'bev-int'!B26</f>
        <v>38050</v>
      </c>
      <c r="C11" s="253">
        <f>'bev-int'!C26</f>
        <v>33250</v>
      </c>
      <c r="D11" s="113" t="str">
        <f>'kiad-int'!A10</f>
        <v>Készletbeszerzés</v>
      </c>
      <c r="E11" s="260">
        <f>'kiad-int'!B10</f>
        <v>17502.516</v>
      </c>
      <c r="F11" s="260">
        <f>'kiad-int'!C10</f>
        <v>15067.523</v>
      </c>
    </row>
    <row r="12" spans="1:6" s="24" customFormat="1" ht="12.75">
      <c r="A12" s="113" t="str">
        <f>'bev-int'!A27</f>
        <v>Működési bevételek</v>
      </c>
      <c r="B12" s="253">
        <f>'bev-int'!B27</f>
        <v>28035.99</v>
      </c>
      <c r="C12" s="253">
        <f>'bev-int'!C27</f>
        <v>29770.989999999998</v>
      </c>
      <c r="D12" s="113" t="str">
        <f>'kiad-int'!A11</f>
        <v>Kommunikációs szolgáltatások</v>
      </c>
      <c r="E12" s="260">
        <f>'kiad-int'!B11</f>
        <v>2302.32</v>
      </c>
      <c r="F12" s="260">
        <f>'kiad-int'!C11</f>
        <v>2340.267</v>
      </c>
    </row>
    <row r="13" spans="1:6" s="24" customFormat="1" ht="12.75">
      <c r="A13" s="113" t="str">
        <f>'bev-int'!A28</f>
        <v>Felhalmozási bevételek</v>
      </c>
      <c r="B13" s="253">
        <f>'bev-int'!B28</f>
        <v>0</v>
      </c>
      <c r="C13" s="253">
        <f>'bev-int'!C28</f>
        <v>0</v>
      </c>
      <c r="D13" s="113" t="str">
        <f>'kiad-int'!A12</f>
        <v>Szolgáltatási kiadások</v>
      </c>
      <c r="E13" s="260">
        <f>'kiad-int'!B12</f>
        <v>31983.004</v>
      </c>
      <c r="F13" s="260">
        <f>'kiad-int'!C12</f>
        <v>48320.409</v>
      </c>
    </row>
    <row r="14" spans="1:6" s="24" customFormat="1" ht="12.75">
      <c r="A14" s="113" t="str">
        <f>'bev-int'!A29</f>
        <v>Működési célú átvett pénzeszközök</v>
      </c>
      <c r="B14" s="253">
        <f>'bev-int'!B29</f>
        <v>0</v>
      </c>
      <c r="C14" s="253">
        <f>'bev-int'!C29</f>
        <v>73.32</v>
      </c>
      <c r="D14" s="113" t="str">
        <f>'kiad-int'!A13</f>
        <v>Kiküldetés, reklám- és propagamda kiadások</v>
      </c>
      <c r="E14" s="260">
        <f>'kiad-int'!B13</f>
        <v>2290</v>
      </c>
      <c r="F14" s="260">
        <f>'kiad-int'!C13</f>
        <v>3940</v>
      </c>
    </row>
    <row r="15" spans="1:6" s="24" customFormat="1" ht="12.75">
      <c r="A15" s="113" t="str">
        <f>'bev-int'!A30</f>
        <v>Felhalmozási célú átvett pénzeszközök</v>
      </c>
      <c r="B15" s="253">
        <f>'bev-int'!B30</f>
        <v>0</v>
      </c>
      <c r="C15" s="253">
        <f>'bev-int'!C30</f>
        <v>0</v>
      </c>
      <c r="D15" s="113" t="str">
        <f>'kiad-int'!A14</f>
        <v>Különféle befizetések és egyéb dologi kiadások</v>
      </c>
      <c r="E15" s="260">
        <f>'kiad-int'!B14</f>
        <v>13285.762</v>
      </c>
      <c r="F15" s="260">
        <f>'kiad-int'!C14</f>
        <v>19368.717</v>
      </c>
    </row>
    <row r="16" spans="1:6" s="24" customFormat="1" ht="12.75">
      <c r="A16" s="113"/>
      <c r="B16" s="253"/>
      <c r="C16" s="253"/>
      <c r="D16" s="113" t="str">
        <f>'kiad-int'!A16</f>
        <v>Ellátottak pénzbeli juttatásai</v>
      </c>
      <c r="E16" s="260">
        <f>'kiad-int'!B16</f>
        <v>10270</v>
      </c>
      <c r="F16" s="260">
        <f>'kiad-int'!C16</f>
        <v>10270</v>
      </c>
    </row>
    <row r="17" spans="1:6" s="24" customFormat="1" ht="12.75">
      <c r="A17" s="113"/>
      <c r="B17" s="253"/>
      <c r="C17" s="253"/>
      <c r="D17" s="113" t="str">
        <f>'kiad-int'!A17</f>
        <v>Egyéb működési célú kiadások</v>
      </c>
      <c r="E17" s="260">
        <f>'kiad-int'!B17</f>
        <v>153463.867</v>
      </c>
      <c r="F17" s="260">
        <f>'kiad-int'!C17</f>
        <v>58434.941</v>
      </c>
    </row>
    <row r="18" spans="1:6" s="24" customFormat="1" ht="12.75">
      <c r="A18" s="113"/>
      <c r="B18" s="253"/>
      <c r="C18" s="253"/>
      <c r="D18" s="113" t="str">
        <f>'kiad-int'!A19</f>
        <v>Beruházások</v>
      </c>
      <c r="E18" s="260">
        <f>'kiad-int'!B19</f>
        <v>6351.728</v>
      </c>
      <c r="F18" s="260">
        <f>'kiad-int'!C19</f>
        <v>299060.24799999996</v>
      </c>
    </row>
    <row r="19" spans="1:6" s="24" customFormat="1" ht="12.75">
      <c r="A19" s="118"/>
      <c r="B19" s="254"/>
      <c r="C19" s="254"/>
      <c r="D19" s="118" t="str">
        <f>'kiad-int'!A20</f>
        <v>Felújítások</v>
      </c>
      <c r="E19" s="260">
        <f>'kiad-int'!B20</f>
        <v>94335.074</v>
      </c>
      <c r="F19" s="260">
        <f>'kiad-int'!C20</f>
        <v>285626.78800000006</v>
      </c>
    </row>
    <row r="20" spans="1:6" s="24" customFormat="1" ht="12.75">
      <c r="A20" s="118"/>
      <c r="B20" s="254"/>
      <c r="C20" s="254"/>
      <c r="D20" s="118" t="str">
        <f>'kiad-int'!A21</f>
        <v>Egyéb felhalmozási célú kiadások</v>
      </c>
      <c r="E20" s="262">
        <f>'kiad-int'!B21</f>
        <v>3469.354</v>
      </c>
      <c r="F20" s="262">
        <f>'kiad-int'!C21</f>
        <v>94669.35399999999</v>
      </c>
    </row>
    <row r="21" spans="1:6" s="24" customFormat="1" ht="13.5" thickBot="1">
      <c r="A21" s="25"/>
      <c r="B21" s="255"/>
      <c r="C21" s="255"/>
      <c r="D21" s="25"/>
      <c r="E21" s="255"/>
      <c r="F21" s="255"/>
    </row>
    <row r="22" spans="1:6" ht="13.5" thickBot="1">
      <c r="A22" s="29" t="str">
        <f>'bev-int'!A31</f>
        <v>Költségvetési bevételek:</v>
      </c>
      <c r="B22" s="256">
        <f>SUM(B9:B21)</f>
        <v>224899.62</v>
      </c>
      <c r="C22" s="256">
        <f>SUM(C9:C21)</f>
        <v>670234.5549999999</v>
      </c>
      <c r="D22" s="29" t="str">
        <f>'kiad-int'!A22</f>
        <v>Költségvetési kiadások:</v>
      </c>
      <c r="E22" s="256">
        <f>SUM(E9:E21)</f>
        <v>425760.43600000005</v>
      </c>
      <c r="F22" s="256">
        <f>SUM(F9:F21)</f>
        <v>939552.3300000001</v>
      </c>
    </row>
    <row r="23" spans="1:6" ht="12.75">
      <c r="A23" s="26" t="str">
        <f>'bev-int'!A32</f>
        <v>Hitel, kölcsönfelvétel ÁH kívülről</v>
      </c>
      <c r="B23" s="257">
        <f>'bev-int'!B32</f>
        <v>0</v>
      </c>
      <c r="C23" s="257">
        <f>'bev-int'!C32</f>
        <v>0</v>
      </c>
      <c r="D23" s="26" t="str">
        <f>'kiad-int'!A23</f>
        <v>Hitel, kölcsöntörlesztés ÁH kívülre</v>
      </c>
      <c r="E23" s="257">
        <f>'kiad-int'!B23</f>
        <v>0</v>
      </c>
      <c r="F23" s="257">
        <f>'kiad-int'!C23</f>
        <v>0</v>
      </c>
    </row>
    <row r="24" spans="1:6" ht="12.75">
      <c r="A24" s="27" t="str">
        <f>'bev-int'!A33</f>
        <v>Belföldi értékpapírok bevételei</v>
      </c>
      <c r="B24" s="257">
        <f>'bev-int'!B33</f>
        <v>0</v>
      </c>
      <c r="C24" s="257">
        <f>'bev-int'!C33</f>
        <v>0</v>
      </c>
      <c r="D24" s="26" t="str">
        <f>'kiad-int'!A24</f>
        <v>Belföldi értékpapírok kiadásai</v>
      </c>
      <c r="E24" s="257">
        <f>'kiad-int'!B24</f>
        <v>0</v>
      </c>
      <c r="F24" s="257">
        <f>'kiad-int'!C24</f>
        <v>0</v>
      </c>
    </row>
    <row r="25" spans="1:6" ht="12.75">
      <c r="A25" s="27" t="str">
        <f>'bev-int'!A34</f>
        <v>Maradvány igénybevétele</v>
      </c>
      <c r="B25" s="257">
        <f>'bev-int'!B34</f>
        <v>207000</v>
      </c>
      <c r="C25" s="257">
        <f>'bev-int'!C34</f>
        <v>275456.95900000003</v>
      </c>
      <c r="D25" s="26" t="str">
        <f>'kiad-int'!A25</f>
        <v>ÁH belüli megelőlegezések</v>
      </c>
      <c r="E25" s="257">
        <f>'kiad-int'!B25</f>
        <v>0</v>
      </c>
      <c r="F25" s="257">
        <f>'kiad-int'!C25</f>
        <v>0</v>
      </c>
    </row>
    <row r="26" spans="1:6" ht="12.75">
      <c r="A26" s="27" t="str">
        <f>'bev-int'!A35</f>
        <v>ÁH belüli megelőlegezések</v>
      </c>
      <c r="B26" s="257">
        <f>'bev-int'!B35</f>
        <v>0</v>
      </c>
      <c r="C26" s="257">
        <f>'bev-int'!C35</f>
        <v>0</v>
      </c>
      <c r="D26" s="26" t="str">
        <f>'kiad-int'!A26</f>
        <v>ÁH belüli megelőlegezések visszafizetése</v>
      </c>
      <c r="E26" s="257">
        <f>'kiad-int'!B26</f>
        <v>6139.184</v>
      </c>
      <c r="F26" s="257">
        <f>'kiad-int'!C26</f>
        <v>6139.184</v>
      </c>
    </row>
    <row r="27" spans="1:6" ht="12.75">
      <c r="A27" s="27" t="str">
        <f>'bev-int'!A36</f>
        <v>ÁH belüli megelőlegezések visszafizetése</v>
      </c>
      <c r="B27" s="257">
        <f>'bev-int'!B36</f>
        <v>0</v>
      </c>
      <c r="C27" s="257">
        <f>'bev-int'!C36</f>
        <v>0</v>
      </c>
      <c r="D27" s="26" t="str">
        <f>'kiad-int'!A27</f>
        <v>Központi, irányító szervi támogatás folyósítása</v>
      </c>
      <c r="E27" s="257">
        <f>'kiad-int'!B27</f>
        <v>68299.954</v>
      </c>
      <c r="F27" s="257">
        <f>'kiad-int'!C27</f>
        <v>67341.535</v>
      </c>
    </row>
    <row r="28" spans="1:6" ht="12.75">
      <c r="A28" s="27" t="str">
        <f>'bev-int'!A37</f>
        <v>Központi, irányító szervi támogatás</v>
      </c>
      <c r="B28" s="257">
        <f>'bev-int'!B37</f>
        <v>68299.954</v>
      </c>
      <c r="C28" s="257">
        <f>'bev-int'!C37</f>
        <v>67341.535</v>
      </c>
      <c r="D28" s="26" t="str">
        <f>'kiad-int'!A28</f>
        <v>Pe.betétként elhelyezése, kincstárjegy vás.</v>
      </c>
      <c r="E28" s="257">
        <f>'kiad-int'!B28</f>
        <v>0</v>
      </c>
      <c r="F28" s="257">
        <f>'kiad-int'!C28</f>
        <v>250004.90000000002</v>
      </c>
    </row>
    <row r="29" spans="1:6" ht="13.5" thickBot="1">
      <c r="A29" s="28" t="str">
        <f>'bev-int'!A38</f>
        <v>Betétek megszüntetése, kincstárjegy vissszavásárlás</v>
      </c>
      <c r="B29" s="257">
        <f>'bev-int'!B38</f>
        <v>0</v>
      </c>
      <c r="C29" s="257">
        <f>'bev-int'!C38</f>
        <v>250004.90000000002</v>
      </c>
      <c r="D29" s="28"/>
      <c r="E29" s="263"/>
      <c r="F29" s="263"/>
    </row>
    <row r="30" spans="1:6" s="24" customFormat="1" ht="13.5" thickBot="1">
      <c r="A30" s="29" t="str">
        <f>'bev-int'!A39</f>
        <v>Belföldi finanszírozás bevételei</v>
      </c>
      <c r="B30" s="256">
        <f>'bev-int'!B39</f>
        <v>275299.954</v>
      </c>
      <c r="C30" s="256">
        <f>'bev-int'!C39</f>
        <v>592803.3940000001</v>
      </c>
      <c r="D30" s="29" t="str">
        <f>'kiad-int'!A29</f>
        <v>Belföldi finanszírozás kiadásai</v>
      </c>
      <c r="E30" s="256">
        <f>SUM(E23:E29)</f>
        <v>74439.13799999999</v>
      </c>
      <c r="F30" s="256">
        <f>SUM(F23:F29)</f>
        <v>323485.619</v>
      </c>
    </row>
    <row r="31" spans="1:6" s="24" customFormat="1" ht="13.5" thickBot="1">
      <c r="A31" s="29" t="str">
        <f>'bev-int'!A40</f>
        <v>Külföldi finanszírozás bevételei</v>
      </c>
      <c r="B31" s="256">
        <f>'bev-int'!B40</f>
        <v>0</v>
      </c>
      <c r="C31" s="256">
        <f>'bev-int'!C40</f>
        <v>0</v>
      </c>
      <c r="D31" s="29" t="str">
        <f>'kiad-int'!A30</f>
        <v>Külföldi finanszírozás kiadásai</v>
      </c>
      <c r="E31" s="256">
        <f>'kiad-int'!B30</f>
        <v>0</v>
      </c>
      <c r="F31" s="256">
        <f>'kiad-int'!C30</f>
        <v>0</v>
      </c>
    </row>
    <row r="32" spans="1:6" s="24" customFormat="1" ht="13.5" thickBot="1">
      <c r="A32" s="29" t="str">
        <f>'bev-int'!A41</f>
        <v>Adóssághoz nem kapcs.származékos ügyl.bevét.</v>
      </c>
      <c r="B32" s="256">
        <f>'bev-int'!B41</f>
        <v>0</v>
      </c>
      <c r="C32" s="256">
        <f>'bev-int'!C41</f>
        <v>0</v>
      </c>
      <c r="D32" s="29" t="str">
        <f>'kiad-int'!A31</f>
        <v>Adóssághoz nem kapcs.származékos ügyl.kiad.</v>
      </c>
      <c r="E32" s="256">
        <f>'kiad-int'!B31</f>
        <v>0</v>
      </c>
      <c r="F32" s="256">
        <f>'kiad-int'!C31</f>
        <v>0</v>
      </c>
    </row>
    <row r="33" spans="1:6" s="24" customFormat="1" ht="13.5" thickBot="1">
      <c r="A33" s="29" t="str">
        <f>'bev-int'!A42</f>
        <v>Finanszírozási bevételek</v>
      </c>
      <c r="B33" s="256">
        <f>'bev-int'!B42</f>
        <v>275299.954</v>
      </c>
      <c r="C33" s="256">
        <f>'bev-int'!C42</f>
        <v>592803.3940000001</v>
      </c>
      <c r="D33" s="29" t="str">
        <f>'kiad-int'!A32</f>
        <v>Finanszírozási kiadások</v>
      </c>
      <c r="E33" s="256">
        <f>'kiad-int'!B32</f>
        <v>74439.138</v>
      </c>
      <c r="F33" s="256">
        <f>'kiad-int'!C32</f>
        <v>323485.619</v>
      </c>
    </row>
    <row r="34" spans="1:6" s="45" customFormat="1" ht="13.5" thickBot="1">
      <c r="A34" s="44" t="s">
        <v>210</v>
      </c>
      <c r="B34" s="256">
        <f>'bev-int'!B43</f>
        <v>500199.574</v>
      </c>
      <c r="C34" s="256">
        <f>'bev-int'!C43</f>
        <v>1263037.949</v>
      </c>
      <c r="D34" s="44" t="str">
        <f>'kiad-int'!A33</f>
        <v>Kiadások összesen:</v>
      </c>
      <c r="E34" s="256">
        <f>'kiad-int'!B33</f>
        <v>500199.574</v>
      </c>
      <c r="F34" s="256">
        <f>'kiad-int'!C33</f>
        <v>1263037.949</v>
      </c>
    </row>
    <row r="35" spans="2:6" ht="12.75">
      <c r="B35" s="258"/>
      <c r="C35" s="258"/>
      <c r="E35" s="258"/>
      <c r="F35" s="258"/>
    </row>
    <row r="36" spans="2:6" ht="12.75">
      <c r="B36" s="258"/>
      <c r="C36" s="258"/>
      <c r="E36" s="258"/>
      <c r="F36" s="258"/>
    </row>
    <row r="37" spans="1:6" s="24" customFormat="1" ht="12.75">
      <c r="A37" s="24" t="s">
        <v>211</v>
      </c>
      <c r="B37" s="259">
        <f>B34-E34</f>
        <v>0</v>
      </c>
      <c r="C37" s="259">
        <f>C34-F34</f>
        <v>0</v>
      </c>
      <c r="D37" s="259"/>
      <c r="E37" s="259"/>
      <c r="F37" s="259"/>
    </row>
    <row r="38" spans="2:3" ht="12.75">
      <c r="B38" s="258"/>
      <c r="C38" s="258"/>
    </row>
    <row r="39" spans="2:3" ht="12.75">
      <c r="B39" s="258"/>
      <c r="C39" s="258"/>
    </row>
    <row r="40" spans="2:3" ht="12.75">
      <c r="B40" s="647">
        <f>C22-F22</f>
        <v>-269317.77500000014</v>
      </c>
      <c r="C40" s="258">
        <f>F22-C22</f>
        <v>269317.77500000014</v>
      </c>
    </row>
    <row r="42" spans="3:6" ht="12.75">
      <c r="C42" s="258"/>
      <c r="D42" s="258"/>
      <c r="E42" s="258"/>
      <c r="F42" s="258"/>
    </row>
    <row r="43" spans="3:6" ht="12.75">
      <c r="C43" s="258"/>
      <c r="D43" s="258"/>
      <c r="E43" s="258"/>
      <c r="F43" s="258"/>
    </row>
  </sheetData>
  <mergeCells count="1">
    <mergeCell ref="A5:F5"/>
  </mergeCells>
  <printOptions horizontalCentered="1"/>
  <pageMargins left="0.1968503937007874" right="0.15748031496062992" top="0.984251968503937" bottom="0.551181102362204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 topLeftCell="A1">
      <selection activeCell="G30" sqref="G30"/>
    </sheetView>
  </sheetViews>
  <sheetFormatPr defaultColWidth="9.00390625" defaultRowHeight="12.75"/>
  <cols>
    <col min="1" max="1" width="39.375" style="516" customWidth="1"/>
    <col min="2" max="3" width="13.625" style="516" customWidth="1"/>
    <col min="4" max="4" width="10.75390625" style="516" customWidth="1"/>
    <col min="5" max="5" width="12.375" style="516" customWidth="1"/>
    <col min="6" max="6" width="10.375" style="516" bestFit="1" customWidth="1"/>
    <col min="7" max="7" width="14.625" style="516" bestFit="1" customWidth="1"/>
    <col min="8" max="16384" width="9.125" style="516" customWidth="1"/>
  </cols>
  <sheetData>
    <row r="1" spans="1:5" s="472" customFormat="1" ht="12.75">
      <c r="A1" s="470" t="s">
        <v>237</v>
      </c>
      <c r="B1" s="471" t="str">
        <f>'bev-int'!B1</f>
        <v>melléklet a 12/2020.(IX.17.) önkormányzati rendelethez</v>
      </c>
      <c r="C1" s="471"/>
      <c r="D1" s="471"/>
      <c r="E1" s="471"/>
    </row>
    <row r="2" spans="2:5" s="472" customFormat="1" ht="8.25" customHeight="1">
      <c r="B2" s="471"/>
      <c r="C2" s="471"/>
      <c r="D2" s="471"/>
      <c r="E2" s="471"/>
    </row>
    <row r="3" spans="1:5" s="471" customFormat="1" ht="12.75">
      <c r="A3" s="1012" t="s">
        <v>778</v>
      </c>
      <c r="B3" s="1013"/>
      <c r="C3" s="1013"/>
      <c r="D3" s="1013"/>
      <c r="E3" s="1013"/>
    </row>
    <row r="4" spans="1:5" s="471" customFormat="1" ht="12.75">
      <c r="A4" s="1013" t="s">
        <v>236</v>
      </c>
      <c r="B4" s="1013"/>
      <c r="C4" s="1013"/>
      <c r="D4" s="1013"/>
      <c r="E4" s="1013"/>
    </row>
    <row r="5" spans="1:5" s="472" customFormat="1" ht="12">
      <c r="A5" s="473"/>
      <c r="B5" s="473"/>
      <c r="C5" s="473"/>
      <c r="D5" s="473"/>
      <c r="E5" s="473"/>
    </row>
    <row r="6" spans="2:5" s="472" customFormat="1" ht="13.5" thickBot="1">
      <c r="B6" s="471"/>
      <c r="C6" s="471"/>
      <c r="D6" s="471"/>
      <c r="E6" s="474" t="s">
        <v>59</v>
      </c>
    </row>
    <row r="7" spans="1:5" s="477" customFormat="1" ht="61.5" customHeight="1" thickBot="1">
      <c r="A7" s="475" t="s">
        <v>44</v>
      </c>
      <c r="B7" s="622" t="s">
        <v>760</v>
      </c>
      <c r="C7" s="622" t="s">
        <v>855</v>
      </c>
      <c r="D7" s="793" t="str">
        <f>'bev-int'!D7</f>
        <v>Nyitnikék Óvoda</v>
      </c>
      <c r="E7" s="476" t="s">
        <v>45</v>
      </c>
    </row>
    <row r="8" spans="1:7" s="490" customFormat="1" ht="13.5" thickBot="1">
      <c r="A8" s="486" t="s">
        <v>50</v>
      </c>
      <c r="B8" s="487">
        <v>76982.646</v>
      </c>
      <c r="C8" s="487">
        <f aca="true" t="shared" si="0" ref="C8:C17">SUM(D8:E8)</f>
        <v>87822.764</v>
      </c>
      <c r="D8" s="488">
        <f>49896.1+915.53</f>
        <v>50811.63</v>
      </c>
      <c r="E8" s="489">
        <f>27086.546+9424.588+500</f>
        <v>37011.134</v>
      </c>
      <c r="G8" s="780"/>
    </row>
    <row r="9" spans="1:7" s="490" customFormat="1" ht="13.5" thickBot="1">
      <c r="A9" s="486" t="s">
        <v>93</v>
      </c>
      <c r="B9" s="487">
        <v>13524.165</v>
      </c>
      <c r="C9" s="487">
        <f t="shared" si="0"/>
        <v>14631.319</v>
      </c>
      <c r="D9" s="491">
        <f>8946.649+141.907</f>
        <v>9088.555999999999</v>
      </c>
      <c r="E9" s="489">
        <f>4577.516+877.747+87.5</f>
        <v>5542.763</v>
      </c>
      <c r="G9" s="780"/>
    </row>
    <row r="10" spans="1:7" s="477" customFormat="1" ht="12.75">
      <c r="A10" s="478" t="s">
        <v>120</v>
      </c>
      <c r="B10" s="479">
        <v>17502.516</v>
      </c>
      <c r="C10" s="479">
        <f t="shared" si="0"/>
        <v>15067.523</v>
      </c>
      <c r="D10" s="480">
        <f>10782.545-500-3087.288</f>
        <v>7195.257</v>
      </c>
      <c r="E10" s="481">
        <f>6719.971+1152.295</f>
        <v>7872.266</v>
      </c>
      <c r="G10" s="780"/>
    </row>
    <row r="11" spans="1:7" s="477" customFormat="1" ht="12.75">
      <c r="A11" s="492" t="s">
        <v>276</v>
      </c>
      <c r="B11" s="479">
        <v>2302.32</v>
      </c>
      <c r="C11" s="479">
        <f t="shared" si="0"/>
        <v>2340.267</v>
      </c>
      <c r="D11" s="493">
        <f>126.12+37.947</f>
        <v>164.067</v>
      </c>
      <c r="E11" s="494">
        <v>2176.2</v>
      </c>
      <c r="G11" s="780"/>
    </row>
    <row r="12" spans="1:7" s="477" customFormat="1" ht="12.75">
      <c r="A12" s="492" t="s">
        <v>121</v>
      </c>
      <c r="B12" s="479">
        <v>31983.004</v>
      </c>
      <c r="C12" s="479">
        <f t="shared" si="0"/>
        <v>48320.409</v>
      </c>
      <c r="D12" s="493">
        <f>3611.84+500+1462.053</f>
        <v>5573.893</v>
      </c>
      <c r="E12" s="494">
        <f>28371.164+8226.956+500+3918.396+1730</f>
        <v>42746.516</v>
      </c>
      <c r="G12" s="780"/>
    </row>
    <row r="13" spans="1:7" s="477" customFormat="1" ht="12.75">
      <c r="A13" s="492" t="s">
        <v>122</v>
      </c>
      <c r="B13" s="479">
        <v>2290</v>
      </c>
      <c r="C13" s="479">
        <f t="shared" si="0"/>
        <v>3940</v>
      </c>
      <c r="D13" s="493">
        <v>300</v>
      </c>
      <c r="E13" s="494">
        <f>1990+400+1200+50</f>
        <v>3640</v>
      </c>
      <c r="G13" s="780"/>
    </row>
    <row r="14" spans="1:7" s="477" customFormat="1" ht="13.5" thickBot="1">
      <c r="A14" s="482" t="s">
        <v>123</v>
      </c>
      <c r="B14" s="483">
        <v>13285.762</v>
      </c>
      <c r="C14" s="483">
        <f t="shared" si="0"/>
        <v>19368.717</v>
      </c>
      <c r="D14" s="484">
        <f>3856.959-428.568</f>
        <v>3428.3909999999996</v>
      </c>
      <c r="E14" s="485">
        <f>9428.803+4932.456+135+1057.967+386.1</f>
        <v>15940.326000000001</v>
      </c>
      <c r="G14" s="780"/>
    </row>
    <row r="15" spans="1:7" s="490" customFormat="1" ht="13.5" thickBot="1">
      <c r="A15" s="486" t="s">
        <v>133</v>
      </c>
      <c r="B15" s="487">
        <f>SUM(B10:B14)</f>
        <v>67363.602</v>
      </c>
      <c r="C15" s="487">
        <f t="shared" si="0"/>
        <v>89036.916</v>
      </c>
      <c r="D15" s="495">
        <f aca="true" t="shared" si="1" ref="D15:E15">SUM(D10:D14)</f>
        <v>16661.608</v>
      </c>
      <c r="E15" s="487">
        <f t="shared" si="1"/>
        <v>72375.308</v>
      </c>
      <c r="G15" s="780"/>
    </row>
    <row r="16" spans="1:7" s="490" customFormat="1" ht="13.5" thickBot="1">
      <c r="A16" s="496" t="s">
        <v>124</v>
      </c>
      <c r="B16" s="497">
        <v>10270</v>
      </c>
      <c r="C16" s="497">
        <f t="shared" si="0"/>
        <v>10270</v>
      </c>
      <c r="D16" s="498">
        <f>szoc_k_!D16</f>
        <v>0</v>
      </c>
      <c r="E16" s="500">
        <f>szoc_k_!G40</f>
        <v>10270</v>
      </c>
      <c r="G16" s="780"/>
    </row>
    <row r="17" spans="1:7" s="490" customFormat="1" ht="13.5" thickBot="1">
      <c r="A17" s="501" t="s">
        <v>125</v>
      </c>
      <c r="B17" s="487">
        <v>153463.867</v>
      </c>
      <c r="C17" s="487">
        <f t="shared" si="0"/>
        <v>58434.941</v>
      </c>
      <c r="D17" s="491">
        <f>b_k_ré!E120+b_k_ré!E137</f>
        <v>279.64</v>
      </c>
      <c r="E17" s="502">
        <f>b_k_ré!F151</f>
        <v>58155.301</v>
      </c>
      <c r="F17" s="8"/>
      <c r="G17" s="780"/>
    </row>
    <row r="18" spans="1:7" s="490" customFormat="1" ht="12.75">
      <c r="A18" s="503" t="s">
        <v>309</v>
      </c>
      <c r="B18" s="504">
        <f aca="true" t="shared" si="2" ref="B18">B8+B9+B15+B16+B17</f>
        <v>321604.28</v>
      </c>
      <c r="C18" s="504">
        <f aca="true" t="shared" si="3" ref="C18:E18">C8+C9+C15+C16+C17</f>
        <v>260195.94</v>
      </c>
      <c r="D18" s="504">
        <f t="shared" si="3"/>
        <v>76841.434</v>
      </c>
      <c r="E18" s="504">
        <f t="shared" si="3"/>
        <v>183354.506</v>
      </c>
      <c r="G18" s="780"/>
    </row>
    <row r="19" spans="1:7" s="490" customFormat="1" ht="13.5" thickBot="1">
      <c r="A19" s="496" t="s">
        <v>52</v>
      </c>
      <c r="B19" s="497">
        <v>6351.728</v>
      </c>
      <c r="C19" s="497">
        <f aca="true" t="shared" si="4" ref="C19:C33">SUM(D19:E19)</f>
        <v>299060.24799999996</v>
      </c>
      <c r="D19" s="498">
        <f>beruh!H17</f>
        <v>3938.728</v>
      </c>
      <c r="E19" s="500">
        <f>beruh!F17</f>
        <v>295121.51999999996</v>
      </c>
      <c r="G19" s="780"/>
    </row>
    <row r="20" spans="1:7" s="490" customFormat="1" ht="13.5" thickBot="1">
      <c r="A20" s="486" t="s">
        <v>51</v>
      </c>
      <c r="B20" s="487">
        <v>94335.074</v>
      </c>
      <c r="C20" s="487">
        <f t="shared" si="4"/>
        <v>285626.78800000006</v>
      </c>
      <c r="D20" s="491">
        <f>felúj!I22</f>
        <v>0</v>
      </c>
      <c r="E20" s="489">
        <f>felúj!G22</f>
        <v>285626.78800000006</v>
      </c>
      <c r="G20" s="780"/>
    </row>
    <row r="21" spans="1:7" s="490" customFormat="1" ht="13.5" thickBot="1">
      <c r="A21" s="496" t="s">
        <v>126</v>
      </c>
      <c r="B21" s="505">
        <v>3469.354</v>
      </c>
      <c r="C21" s="505">
        <f t="shared" si="4"/>
        <v>94669.35399999999</v>
      </c>
      <c r="D21" s="499">
        <f>b_k_ré!E171</f>
        <v>0</v>
      </c>
      <c r="E21" s="500">
        <f>b_k_ré!F171</f>
        <v>94669.35399999999</v>
      </c>
      <c r="G21" s="780"/>
    </row>
    <row r="22" spans="1:7" s="477" customFormat="1" ht="13.5" thickBot="1">
      <c r="A22" s="486" t="s">
        <v>53</v>
      </c>
      <c r="B22" s="487">
        <f>B18+B19+B20+B21</f>
        <v>425760.43600000005</v>
      </c>
      <c r="C22" s="487">
        <f t="shared" si="4"/>
        <v>939552.3300000001</v>
      </c>
      <c r="D22" s="495">
        <f aca="true" t="shared" si="5" ref="D22:E22">D8+D9+D15+D16+D17+D19+D20+D21</f>
        <v>80780.162</v>
      </c>
      <c r="E22" s="489">
        <f t="shared" si="5"/>
        <v>858772.1680000001</v>
      </c>
      <c r="G22" s="780"/>
    </row>
    <row r="23" spans="1:7" s="477" customFormat="1" ht="12.75">
      <c r="A23" s="478" t="s">
        <v>138</v>
      </c>
      <c r="B23" s="867"/>
      <c r="C23" s="865">
        <f t="shared" si="4"/>
        <v>0</v>
      </c>
      <c r="D23" s="480"/>
      <c r="E23" s="481"/>
      <c r="G23" s="780"/>
    </row>
    <row r="24" spans="1:7" s="477" customFormat="1" ht="12.75">
      <c r="A24" s="492" t="s">
        <v>139</v>
      </c>
      <c r="B24" s="868"/>
      <c r="C24" s="865">
        <f t="shared" si="4"/>
        <v>0</v>
      </c>
      <c r="D24" s="493"/>
      <c r="E24" s="494"/>
      <c r="G24" s="780"/>
    </row>
    <row r="25" spans="1:7" s="477" customFormat="1" ht="12.75">
      <c r="A25" s="492" t="s">
        <v>29</v>
      </c>
      <c r="B25" s="868"/>
      <c r="C25" s="865">
        <f t="shared" si="4"/>
        <v>0</v>
      </c>
      <c r="D25" s="493"/>
      <c r="E25" s="494"/>
      <c r="G25" s="780"/>
    </row>
    <row r="26" spans="1:7" s="477" customFormat="1" ht="12.75">
      <c r="A26" s="492" t="s">
        <v>218</v>
      </c>
      <c r="B26" s="869">
        <v>6139.184</v>
      </c>
      <c r="C26" s="865">
        <f t="shared" si="4"/>
        <v>6139.184</v>
      </c>
      <c r="D26" s="493"/>
      <c r="E26" s="494">
        <v>6139.184</v>
      </c>
      <c r="G26" s="780"/>
    </row>
    <row r="27" spans="1:7" s="477" customFormat="1" ht="12.75">
      <c r="A27" s="492" t="s">
        <v>140</v>
      </c>
      <c r="B27" s="869">
        <f>b_k_ré!C173</f>
        <v>68299.954</v>
      </c>
      <c r="C27" s="865">
        <f t="shared" si="4"/>
        <v>67341.535</v>
      </c>
      <c r="D27" s="493"/>
      <c r="E27" s="494">
        <f>b_k_ré!F173</f>
        <v>67341.535</v>
      </c>
      <c r="G27" s="780"/>
    </row>
    <row r="28" spans="1:7" s="477" customFormat="1" ht="13.5" thickBot="1">
      <c r="A28" s="482" t="s">
        <v>621</v>
      </c>
      <c r="B28" s="870"/>
      <c r="C28" s="866">
        <f t="shared" si="4"/>
        <v>250004.90000000002</v>
      </c>
      <c r="D28" s="484"/>
      <c r="E28" s="485">
        <f>130002.6+120002.3</f>
        <v>250004.90000000002</v>
      </c>
      <c r="G28" s="780"/>
    </row>
    <row r="29" spans="1:7" s="477" customFormat="1" ht="13.5" thickBot="1">
      <c r="A29" s="486" t="s">
        <v>142</v>
      </c>
      <c r="B29" s="506">
        <v>74439.138</v>
      </c>
      <c r="C29" s="506">
        <f t="shared" si="4"/>
        <v>323485.619</v>
      </c>
      <c r="D29" s="495">
        <f aca="true" t="shared" si="6" ref="D29:E29">SUM(D23:D28)</f>
        <v>0</v>
      </c>
      <c r="E29" s="489">
        <f t="shared" si="6"/>
        <v>323485.619</v>
      </c>
      <c r="G29" s="780"/>
    </row>
    <row r="30" spans="1:7" s="490" customFormat="1" ht="13.5" thickBot="1">
      <c r="A30" s="486" t="s">
        <v>143</v>
      </c>
      <c r="B30" s="506">
        <v>0</v>
      </c>
      <c r="C30" s="506">
        <f t="shared" si="4"/>
        <v>0</v>
      </c>
      <c r="D30" s="491"/>
      <c r="E30" s="489"/>
      <c r="G30" s="780"/>
    </row>
    <row r="31" spans="1:7" s="490" customFormat="1" ht="13.5" thickBot="1">
      <c r="A31" s="496" t="s">
        <v>31</v>
      </c>
      <c r="B31" s="483">
        <v>0</v>
      </c>
      <c r="C31" s="483">
        <f t="shared" si="4"/>
        <v>0</v>
      </c>
      <c r="D31" s="498"/>
      <c r="E31" s="500"/>
      <c r="G31" s="780"/>
    </row>
    <row r="32" spans="1:7" s="490" customFormat="1" ht="13.5" thickBot="1">
      <c r="A32" s="507" t="s">
        <v>64</v>
      </c>
      <c r="B32" s="508">
        <f>B29+B30+B31</f>
        <v>74439.138</v>
      </c>
      <c r="C32" s="508">
        <f t="shared" si="4"/>
        <v>323485.619</v>
      </c>
      <c r="D32" s="509">
        <f aca="true" t="shared" si="7" ref="D32:E32">D29+D30+D31</f>
        <v>0</v>
      </c>
      <c r="E32" s="510">
        <f t="shared" si="7"/>
        <v>323485.619</v>
      </c>
      <c r="G32" s="780"/>
    </row>
    <row r="33" spans="1:7" s="477" customFormat="1" ht="13.5" thickBot="1">
      <c r="A33" s="511" t="s">
        <v>54</v>
      </c>
      <c r="B33" s="512">
        <f>B22+B32</f>
        <v>500199.574</v>
      </c>
      <c r="C33" s="512">
        <f t="shared" si="4"/>
        <v>1263037.949</v>
      </c>
      <c r="D33" s="513">
        <f aca="true" t="shared" si="8" ref="D33:E33">D22+D32</f>
        <v>80780.162</v>
      </c>
      <c r="E33" s="514">
        <f t="shared" si="8"/>
        <v>1182257.787</v>
      </c>
      <c r="G33" s="780"/>
    </row>
    <row r="34" spans="2:5" s="472" customFormat="1" ht="12.75">
      <c r="B34" s="471"/>
      <c r="C34" s="471"/>
      <c r="D34" s="471"/>
      <c r="E34" s="471"/>
    </row>
    <row r="35" spans="2:5" s="472" customFormat="1" ht="12.75">
      <c r="B35" s="471"/>
      <c r="C35" s="471"/>
      <c r="D35" s="471"/>
      <c r="E35" s="471"/>
    </row>
    <row r="36" spans="2:5" s="472" customFormat="1" ht="12.75">
      <c r="B36" s="471"/>
      <c r="C36" s="471"/>
      <c r="D36" s="515"/>
      <c r="E36" s="515"/>
    </row>
    <row r="37" spans="2:5" s="472" customFormat="1" ht="12.75">
      <c r="B37" s="471"/>
      <c r="C37" s="471"/>
      <c r="D37" s="471"/>
      <c r="E37" s="515"/>
    </row>
    <row r="38" spans="2:5" s="472" customFormat="1" ht="12.75">
      <c r="B38" s="471"/>
      <c r="C38" s="471"/>
      <c r="D38" s="471"/>
      <c r="E38" s="515"/>
    </row>
    <row r="39" spans="2:5" s="472" customFormat="1" ht="12.75">
      <c r="B39" s="471"/>
      <c r="C39" s="471"/>
      <c r="D39" s="471"/>
      <c r="E39" s="515"/>
    </row>
    <row r="40" spans="2:5" s="472" customFormat="1" ht="12.75">
      <c r="B40" s="471"/>
      <c r="C40" s="471"/>
      <c r="D40" s="471"/>
      <c r="E40" s="471"/>
    </row>
    <row r="41" spans="2:5" s="472" customFormat="1" ht="12.75">
      <c r="B41" s="471"/>
      <c r="C41" s="471"/>
      <c r="D41" s="471"/>
      <c r="E41" s="471"/>
    </row>
    <row r="42" spans="2:5" s="472" customFormat="1" ht="12.75">
      <c r="B42" s="471"/>
      <c r="C42" s="471"/>
      <c r="D42" s="471"/>
      <c r="E42" s="471"/>
    </row>
    <row r="43" spans="2:5" s="472" customFormat="1" ht="12.75">
      <c r="B43" s="471"/>
      <c r="C43" s="471"/>
      <c r="D43" s="471"/>
      <c r="E43" s="471"/>
    </row>
    <row r="44" spans="2:5" s="472" customFormat="1" ht="12.75">
      <c r="B44" s="471"/>
      <c r="C44" s="471"/>
      <c r="D44" s="471"/>
      <c r="E44" s="471"/>
    </row>
    <row r="45" spans="2:5" s="472" customFormat="1" ht="12.75">
      <c r="B45" s="471"/>
      <c r="C45" s="471"/>
      <c r="D45" s="471"/>
      <c r="E45" s="471"/>
    </row>
    <row r="46" spans="2:5" s="472" customFormat="1" ht="12.75">
      <c r="B46" s="471"/>
      <c r="C46" s="471"/>
      <c r="D46" s="471"/>
      <c r="E46" s="471"/>
    </row>
    <row r="47" spans="2:5" s="472" customFormat="1" ht="12.75">
      <c r="B47" s="471"/>
      <c r="C47" s="471"/>
      <c r="D47" s="471"/>
      <c r="E47" s="471"/>
    </row>
    <row r="48" spans="2:5" s="472" customFormat="1" ht="12.75">
      <c r="B48" s="471"/>
      <c r="C48" s="471"/>
      <c r="D48" s="471"/>
      <c r="E48" s="471"/>
    </row>
    <row r="49" spans="2:5" s="472" customFormat="1" ht="12.75">
      <c r="B49" s="471"/>
      <c r="C49" s="471"/>
      <c r="D49" s="471"/>
      <c r="E49" s="471"/>
    </row>
    <row r="50" spans="2:5" s="472" customFormat="1" ht="12.75">
      <c r="B50" s="471"/>
      <c r="C50" s="471"/>
      <c r="D50" s="471"/>
      <c r="E50" s="471"/>
    </row>
    <row r="51" spans="2:5" s="472" customFormat="1" ht="12.75">
      <c r="B51" s="471"/>
      <c r="C51" s="471"/>
      <c r="D51" s="471"/>
      <c r="E51" s="471"/>
    </row>
    <row r="52" spans="2:5" s="472" customFormat="1" ht="12.75">
      <c r="B52" s="471"/>
      <c r="C52" s="471"/>
      <c r="D52" s="471"/>
      <c r="E52" s="471"/>
    </row>
  </sheetData>
  <mergeCells count="2">
    <mergeCell ref="A3:E3"/>
    <mergeCell ref="A4:E4"/>
  </mergeCells>
  <printOptions/>
  <pageMargins left="0.46" right="0.75" top="0.6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workbookViewId="0" topLeftCell="A7">
      <selection activeCell="D40" sqref="D40"/>
    </sheetView>
  </sheetViews>
  <sheetFormatPr defaultColWidth="9.00390625" defaultRowHeight="12.75"/>
  <cols>
    <col min="1" max="1" width="45.75390625" style="16" customWidth="1"/>
    <col min="2" max="3" width="13.125" style="16" customWidth="1"/>
    <col min="4" max="4" width="45.75390625" style="16" customWidth="1"/>
    <col min="5" max="6" width="12.875" style="16" customWidth="1"/>
    <col min="7" max="16384" width="9.125" style="16" customWidth="1"/>
  </cols>
  <sheetData>
    <row r="3" spans="2:4" ht="12.75">
      <c r="B3" s="424"/>
      <c r="C3" s="424" t="s">
        <v>849</v>
      </c>
      <c r="D3" s="16" t="str">
        <f>'bev-int'!B1</f>
        <v>melléklet a 12/2020.(IX.17.) önkormányzati rendelethez</v>
      </c>
    </row>
    <row r="6" spans="1:6" ht="12.75">
      <c r="A6" s="1144" t="s">
        <v>797</v>
      </c>
      <c r="B6" s="1144"/>
      <c r="C6" s="1144"/>
      <c r="D6" s="1144"/>
      <c r="E6" s="1144"/>
      <c r="F6" s="1144"/>
    </row>
    <row r="7" spans="5:6" ht="13.5" thickBot="1">
      <c r="E7" s="107"/>
      <c r="F7" s="107" t="s">
        <v>59</v>
      </c>
    </row>
    <row r="8" spans="1:6" ht="26.25" thickBot="1">
      <c r="A8" s="46" t="s">
        <v>79</v>
      </c>
      <c r="B8" s="43" t="s">
        <v>763</v>
      </c>
      <c r="C8" s="43" t="s">
        <v>856</v>
      </c>
      <c r="D8" s="425" t="s">
        <v>81</v>
      </c>
      <c r="E8" s="43" t="s">
        <v>763</v>
      </c>
      <c r="F8" s="43" t="s">
        <v>856</v>
      </c>
    </row>
    <row r="9" spans="1:6" s="24" customFormat="1" ht="12.75">
      <c r="A9" s="114" t="str">
        <f>'bev-int'!A15</f>
        <v>Működési célú támogatások ÁH belülről</v>
      </c>
      <c r="B9" s="252">
        <f>'bev-int'!B15</f>
        <v>158813.63</v>
      </c>
      <c r="C9" s="252">
        <f>'bev-int'!C15</f>
        <v>116654.48099999999</v>
      </c>
      <c r="D9" s="110" t="str">
        <f>'kiad-int'!A8</f>
        <v>Személyi juttatások</v>
      </c>
      <c r="E9" s="265">
        <f>'kiad-int'!B8</f>
        <v>76982.646</v>
      </c>
      <c r="F9" s="265">
        <f>'kiad-int'!C8</f>
        <v>87822.764</v>
      </c>
    </row>
    <row r="10" spans="1:6" s="24" customFormat="1" ht="12.75">
      <c r="A10" s="116"/>
      <c r="B10" s="253"/>
      <c r="C10" s="253"/>
      <c r="D10" s="111" t="str">
        <f>'kiad-int'!A9</f>
        <v>Munkaadókat terhelő járulékok</v>
      </c>
      <c r="E10" s="260">
        <f>'kiad-int'!B9</f>
        <v>13524.165</v>
      </c>
      <c r="F10" s="260">
        <f>'kiad-int'!C9</f>
        <v>14631.319</v>
      </c>
    </row>
    <row r="11" spans="1:6" s="24" customFormat="1" ht="12.75">
      <c r="A11" s="116" t="str">
        <f>'bev-int'!A26</f>
        <v>Közhatalmi bevételek</v>
      </c>
      <c r="B11" s="253">
        <f>'bev-int'!B26-b_k_ré!C53</f>
        <v>33900</v>
      </c>
      <c r="C11" s="253">
        <f>'bev-int'!C26-b_k_ré!D53</f>
        <v>29100</v>
      </c>
      <c r="D11" s="111" t="str">
        <f>'kiad-int'!A10</f>
        <v>Készletbeszerzés</v>
      </c>
      <c r="E11" s="260">
        <f>'kiad-int'!B10</f>
        <v>17502.516</v>
      </c>
      <c r="F11" s="260">
        <f>'kiad-int'!C10</f>
        <v>15067.523</v>
      </c>
    </row>
    <row r="12" spans="1:6" s="24" customFormat="1" ht="12.75">
      <c r="A12" s="116" t="str">
        <f>'bev-int'!A27</f>
        <v>Működési bevételek</v>
      </c>
      <c r="B12" s="253">
        <f>'bev-int'!B27</f>
        <v>28035.99</v>
      </c>
      <c r="C12" s="253">
        <f>'bev-int'!C27</f>
        <v>29770.989999999998</v>
      </c>
      <c r="D12" s="111" t="str">
        <f>'kiad-int'!A11</f>
        <v>Kommunikációs szolgáltatások</v>
      </c>
      <c r="E12" s="260">
        <f>'kiad-int'!B11</f>
        <v>2302.32</v>
      </c>
      <c r="F12" s="260">
        <f>'kiad-int'!C11</f>
        <v>2340.267</v>
      </c>
    </row>
    <row r="13" spans="1:6" s="24" customFormat="1" ht="12.75">
      <c r="A13" s="116" t="str">
        <f>'bev-int'!A29</f>
        <v>Működési célú átvett pénzeszközök</v>
      </c>
      <c r="B13" s="253">
        <f>'bev-int'!B29</f>
        <v>0</v>
      </c>
      <c r="C13" s="253">
        <f>'bev-int'!C29</f>
        <v>73.32</v>
      </c>
      <c r="D13" s="111" t="str">
        <f>'kiad-int'!A12</f>
        <v>Szolgáltatási kiadások</v>
      </c>
      <c r="E13" s="260">
        <f>'kiad-int'!B12</f>
        <v>31983.004</v>
      </c>
      <c r="F13" s="260">
        <f>'kiad-int'!C12</f>
        <v>48320.409</v>
      </c>
    </row>
    <row r="14" spans="1:6" s="24" customFormat="1" ht="12.75">
      <c r="A14" s="117"/>
      <c r="B14" s="253"/>
      <c r="C14" s="253"/>
      <c r="D14" s="111" t="str">
        <f>'kiad-int'!A13</f>
        <v>Kiküldetés, reklám- és propagamda kiadások</v>
      </c>
      <c r="E14" s="260">
        <f>'kiad-int'!B13</f>
        <v>2290</v>
      </c>
      <c r="F14" s="260">
        <f>'kiad-int'!C13</f>
        <v>3940</v>
      </c>
    </row>
    <row r="15" spans="1:6" s="24" customFormat="1" ht="12.75">
      <c r="A15" s="116"/>
      <c r="B15" s="253"/>
      <c r="C15" s="253"/>
      <c r="D15" s="112" t="str">
        <f>'kiad-int'!A14</f>
        <v>Különféle befizetések és egyéb dologi kiadások</v>
      </c>
      <c r="E15" s="262">
        <f>'kiad-int'!B14</f>
        <v>13285.762</v>
      </c>
      <c r="F15" s="262">
        <f>'kiad-int'!C14</f>
        <v>19368.717</v>
      </c>
    </row>
    <row r="16" spans="1:6" s="24" customFormat="1" ht="12.75">
      <c r="A16" s="116"/>
      <c r="B16" s="253"/>
      <c r="C16" s="253"/>
      <c r="D16" s="113" t="str">
        <f>'kiad-int'!A16</f>
        <v>Ellátottak pénzbeli juttatásai</v>
      </c>
      <c r="E16" s="253">
        <f>'kiad-int'!B16</f>
        <v>10270</v>
      </c>
      <c r="F16" s="253">
        <f>'kiad-int'!C16</f>
        <v>10270</v>
      </c>
    </row>
    <row r="17" spans="1:6" s="24" customFormat="1" ht="12.75">
      <c r="A17" s="116"/>
      <c r="B17" s="253"/>
      <c r="C17" s="253"/>
      <c r="D17" s="113" t="str">
        <f>'kiad-int'!A17</f>
        <v>Egyéb működési célú kiadások</v>
      </c>
      <c r="E17" s="253">
        <f>'kiad-int'!B17</f>
        <v>153463.867</v>
      </c>
      <c r="F17" s="253">
        <f>'kiad-int'!C17</f>
        <v>58434.941</v>
      </c>
    </row>
    <row r="18" spans="1:6" s="24" customFormat="1" ht="12.75">
      <c r="A18" s="47"/>
      <c r="B18" s="261"/>
      <c r="C18" s="261"/>
      <c r="D18" s="113"/>
      <c r="E18" s="253"/>
      <c r="F18" s="253"/>
    </row>
    <row r="19" spans="1:6" s="24" customFormat="1" ht="13.5" thickBot="1">
      <c r="A19" s="48"/>
      <c r="B19" s="255"/>
      <c r="C19" s="255"/>
      <c r="D19" s="25"/>
      <c r="E19" s="255"/>
      <c r="F19" s="255"/>
    </row>
    <row r="20" spans="1:6" ht="13.5" thickBot="1">
      <c r="A20" s="49" t="str">
        <f>'bev-int'!A31</f>
        <v>Költségvetési bevételek:</v>
      </c>
      <c r="B20" s="256">
        <f>SUM(B9:B19)</f>
        <v>220749.62</v>
      </c>
      <c r="C20" s="256">
        <f>SUM(C9:C19)</f>
        <v>175598.79099999997</v>
      </c>
      <c r="D20" s="29" t="str">
        <f>'kiad-int'!A22</f>
        <v>Költségvetési kiadások:</v>
      </c>
      <c r="E20" s="256">
        <f>SUM(E9:E19)</f>
        <v>321604.28</v>
      </c>
      <c r="F20" s="256">
        <f>SUM(F9:F19)</f>
        <v>260195.94</v>
      </c>
    </row>
    <row r="21" spans="1:6" ht="12.75">
      <c r="A21" s="50" t="str">
        <f>'bev-int'!A32</f>
        <v>Hitel, kölcsönfelvétel ÁH kívülről</v>
      </c>
      <c r="B21" s="257">
        <f>'bev-int'!B32</f>
        <v>0</v>
      </c>
      <c r="C21" s="257">
        <f>'bev-int'!C32</f>
        <v>0</v>
      </c>
      <c r="D21" s="26" t="str">
        <f>'kiad-int'!A23</f>
        <v>Hitel, kölcsöntörlesztés ÁH kívülre</v>
      </c>
      <c r="E21" s="257">
        <f>'kiad-int'!B23</f>
        <v>0</v>
      </c>
      <c r="F21" s="257">
        <f>'kiad-int'!C23</f>
        <v>0</v>
      </c>
    </row>
    <row r="22" spans="1:6" ht="12.75">
      <c r="A22" s="51" t="str">
        <f>'bev-int'!A33</f>
        <v>Belföldi értékpapírok bevételei</v>
      </c>
      <c r="B22" s="257">
        <f>'bev-int'!B33</f>
        <v>0</v>
      </c>
      <c r="C22" s="257">
        <f>'bev-int'!C33</f>
        <v>0</v>
      </c>
      <c r="D22" s="26" t="str">
        <f>'kiad-int'!A24</f>
        <v>Belföldi értékpapírok kiadásai</v>
      </c>
      <c r="E22" s="257">
        <f>'kiad-int'!B24</f>
        <v>0</v>
      </c>
      <c r="F22" s="257">
        <f>'kiad-int'!C24</f>
        <v>0</v>
      </c>
    </row>
    <row r="23" spans="1:6" ht="12.75">
      <c r="A23" s="51" t="str">
        <f>'bev-int'!A34</f>
        <v>Maradvány igénybevétele</v>
      </c>
      <c r="B23" s="257">
        <v>207000</v>
      </c>
      <c r="C23" s="344">
        <f>mérl_!C25-f_mérl_!C23</f>
        <v>215257.21400000004</v>
      </c>
      <c r="D23" s="26" t="str">
        <f>'kiad-int'!A25</f>
        <v>ÁH belüli megelőlegezések</v>
      </c>
      <c r="E23" s="257">
        <f>'kiad-int'!B25</f>
        <v>0</v>
      </c>
      <c r="F23" s="257">
        <f>'kiad-int'!C25</f>
        <v>0</v>
      </c>
    </row>
    <row r="24" spans="1:6" ht="12.75">
      <c r="A24" s="51" t="str">
        <f>'bev-int'!A35</f>
        <v>ÁH belüli megelőlegezések</v>
      </c>
      <c r="B24" s="257">
        <f>'bev-int'!B35</f>
        <v>0</v>
      </c>
      <c r="C24" s="257">
        <f>'bev-int'!C35</f>
        <v>0</v>
      </c>
      <c r="D24" s="26" t="str">
        <f>'kiad-int'!A26</f>
        <v>ÁH belüli megelőlegezések visszafizetése</v>
      </c>
      <c r="E24" s="257">
        <f>'kiad-int'!B26</f>
        <v>6139.184</v>
      </c>
      <c r="F24" s="257">
        <f>'kiad-int'!C26</f>
        <v>6139.184</v>
      </c>
    </row>
    <row r="25" spans="1:6" ht="12.75">
      <c r="A25" s="51" t="str">
        <f>'bev-int'!A36</f>
        <v>ÁH belüli megelőlegezések visszafizetése</v>
      </c>
      <c r="B25" s="257">
        <f>'bev-int'!B36</f>
        <v>0</v>
      </c>
      <c r="C25" s="257">
        <f>'bev-int'!C36</f>
        <v>0</v>
      </c>
      <c r="D25" s="26" t="str">
        <f>'kiad-int'!A27</f>
        <v>Központi, irányító szervi támogatás folyósítása</v>
      </c>
      <c r="E25" s="257">
        <v>64361.226</v>
      </c>
      <c r="F25" s="257">
        <f>'kiad-int'!E27-beruh!G17</f>
        <v>63402.807</v>
      </c>
    </row>
    <row r="26" spans="1:6" ht="12.75">
      <c r="A26" s="51" t="str">
        <f>'bev-int'!A37</f>
        <v>Központi, irányító szervi támogatás</v>
      </c>
      <c r="B26" s="257">
        <v>64361.226</v>
      </c>
      <c r="C26" s="257">
        <f>'bev-int'!D37-beruh!G17</f>
        <v>63402.807</v>
      </c>
      <c r="D26" s="26" t="str">
        <f>'kiad-int'!A28</f>
        <v>Pe.betétként elhelyezése, kincstárjegy vás.</v>
      </c>
      <c r="E26" s="257">
        <f>'kiad-int'!B28</f>
        <v>0</v>
      </c>
      <c r="F26" s="257">
        <f>'kiad-int'!C28</f>
        <v>250004.90000000002</v>
      </c>
    </row>
    <row r="27" spans="1:6" ht="13.5" thickBot="1">
      <c r="A27" s="52" t="str">
        <f>'bev-int'!A38</f>
        <v>Betétek megszüntetése, kincstárjegy vissszavásárlás</v>
      </c>
      <c r="B27" s="344">
        <f>mérl_!B29</f>
        <v>0</v>
      </c>
      <c r="C27" s="344">
        <f>mérl_!C29</f>
        <v>250004.90000000002</v>
      </c>
      <c r="D27" s="26"/>
      <c r="E27" s="257"/>
      <c r="F27" s="257"/>
    </row>
    <row r="28" spans="1:6" s="24" customFormat="1" ht="13.5" thickBot="1">
      <c r="A28" s="49" t="str">
        <f>'bev-int'!A39</f>
        <v>Belföldi finanszírozás bevételei</v>
      </c>
      <c r="B28" s="256">
        <f>SUM(B21:B27)</f>
        <v>271361.226</v>
      </c>
      <c r="C28" s="256">
        <f>SUM(C21:C27)</f>
        <v>528664.9210000001</v>
      </c>
      <c r="D28" s="29" t="str">
        <f>'kiad-int'!A29</f>
        <v>Belföldi finanszírozás kiadásai</v>
      </c>
      <c r="E28" s="256">
        <f>SUM(E21:E27)</f>
        <v>70500.41</v>
      </c>
      <c r="F28" s="256">
        <f>SUM(F21:F27)</f>
        <v>319546.891</v>
      </c>
    </row>
    <row r="29" spans="1:6" s="24" customFormat="1" ht="13.5" thickBot="1">
      <c r="A29" s="49" t="str">
        <f>'bev-int'!A40</f>
        <v>Külföldi finanszírozás bevételei</v>
      </c>
      <c r="B29" s="256">
        <f>'bev-int'!B40</f>
        <v>0</v>
      </c>
      <c r="C29" s="256">
        <f>'bev-int'!C40</f>
        <v>0</v>
      </c>
      <c r="D29" s="29" t="str">
        <f>'kiad-int'!A30</f>
        <v>Külföldi finanszírozás kiadásai</v>
      </c>
      <c r="E29" s="256">
        <f>'kiad-int'!B30</f>
        <v>0</v>
      </c>
      <c r="F29" s="256">
        <f>'kiad-int'!C30</f>
        <v>0</v>
      </c>
    </row>
    <row r="30" spans="1:6" s="24" customFormat="1" ht="13.5" thickBot="1">
      <c r="A30" s="49" t="str">
        <f>'bev-int'!A41</f>
        <v>Adóssághoz nem kapcs.származékos ügyl.bevét.</v>
      </c>
      <c r="B30" s="256">
        <f>'bev-int'!B41</f>
        <v>0</v>
      </c>
      <c r="C30" s="256">
        <f>'bev-int'!C41</f>
        <v>0</v>
      </c>
      <c r="D30" s="29" t="str">
        <f>'kiad-int'!A31</f>
        <v>Adóssághoz nem kapcs.származékos ügyl.kiad.</v>
      </c>
      <c r="E30" s="256">
        <f>'kiad-int'!B31</f>
        <v>0</v>
      </c>
      <c r="F30" s="256">
        <f>'kiad-int'!C31</f>
        <v>0</v>
      </c>
    </row>
    <row r="31" spans="1:6" s="24" customFormat="1" ht="13.5" thickBot="1">
      <c r="A31" s="49" t="str">
        <f>'bev-int'!A42</f>
        <v>Finanszírozási bevételek</v>
      </c>
      <c r="B31" s="256">
        <f>SUM(B28:B30)</f>
        <v>271361.226</v>
      </c>
      <c r="C31" s="256">
        <f>SUM(C28:C30)</f>
        <v>528664.9210000001</v>
      </c>
      <c r="D31" s="29" t="str">
        <f>'kiad-int'!A32</f>
        <v>Finanszírozási kiadások</v>
      </c>
      <c r="E31" s="256">
        <f>SUM(E28:E30)</f>
        <v>70500.41</v>
      </c>
      <c r="F31" s="256">
        <f>SUM(F28:F30)</f>
        <v>319546.891</v>
      </c>
    </row>
    <row r="32" spans="1:6" s="45" customFormat="1" ht="13.5" thickBot="1">
      <c r="A32" s="53" t="s">
        <v>210</v>
      </c>
      <c r="B32" s="264">
        <f>B20+B31</f>
        <v>492110.846</v>
      </c>
      <c r="C32" s="264">
        <f>C20+C31</f>
        <v>704263.712</v>
      </c>
      <c r="D32" s="29" t="str">
        <f>'kiad-int'!A33</f>
        <v>Kiadások összesen:</v>
      </c>
      <c r="E32" s="264">
        <f>E20+E31</f>
        <v>392104.69000000006</v>
      </c>
      <c r="F32" s="264">
        <f>F20+F31</f>
        <v>579742.831</v>
      </c>
    </row>
    <row r="33" spans="2:6" ht="12.75">
      <c r="B33" s="258"/>
      <c r="C33" s="258"/>
      <c r="E33" s="258"/>
      <c r="F33" s="258"/>
    </row>
    <row r="34" spans="1:6" s="24" customFormat="1" ht="12.75">
      <c r="A34" s="24" t="s">
        <v>642</v>
      </c>
      <c r="B34" s="259">
        <f>B32-E32</f>
        <v>100006.15599999996</v>
      </c>
      <c r="C34" s="259">
        <f>C32-F32</f>
        <v>124520.88100000005</v>
      </c>
      <c r="E34" s="259"/>
      <c r="F34" s="259"/>
    </row>
    <row r="35" spans="2:3" ht="12.75">
      <c r="B35" s="258"/>
      <c r="C35" s="258"/>
    </row>
    <row r="37" spans="2:3" ht="12.75">
      <c r="B37" s="89"/>
      <c r="C37" s="664"/>
    </row>
  </sheetData>
  <mergeCells count="1">
    <mergeCell ref="A6:F6"/>
  </mergeCells>
  <printOptions horizontalCentered="1"/>
  <pageMargins left="0.4330708661417323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 topLeftCell="A1">
      <selection activeCell="D28" sqref="D28"/>
    </sheetView>
  </sheetViews>
  <sheetFormatPr defaultColWidth="9.00390625" defaultRowHeight="12.75"/>
  <cols>
    <col min="1" max="1" width="45.75390625" style="16" customWidth="1"/>
    <col min="2" max="3" width="12.875" style="16" bestFit="1" customWidth="1"/>
    <col min="4" max="4" width="45.75390625" style="16" customWidth="1"/>
    <col min="5" max="5" width="12.875" style="16" bestFit="1" customWidth="1"/>
    <col min="6" max="6" width="12.875" style="16" customWidth="1"/>
    <col min="7" max="16384" width="9.125" style="16" customWidth="1"/>
  </cols>
  <sheetData>
    <row r="1" spans="2:4" ht="12.75">
      <c r="B1" s="40"/>
      <c r="C1" s="424" t="s">
        <v>850</v>
      </c>
      <c r="D1" s="16" t="str">
        <f>'bev-int'!B1</f>
        <v>melléklet a 12/2020.(IX.17.) önkormányzati rendelethez</v>
      </c>
    </row>
    <row r="4" spans="1:6" ht="12.75">
      <c r="A4" s="1144" t="s">
        <v>798</v>
      </c>
      <c r="B4" s="1144"/>
      <c r="C4" s="1144"/>
      <c r="D4" s="1144"/>
      <c r="E4" s="1144"/>
      <c r="F4" s="1144"/>
    </row>
    <row r="7" spans="5:6" ht="13.5" thickBot="1">
      <c r="E7" s="40" t="s">
        <v>59</v>
      </c>
      <c r="F7" s="40" t="s">
        <v>59</v>
      </c>
    </row>
    <row r="8" spans="1:6" ht="26.25" thickBot="1">
      <c r="A8" s="46" t="s">
        <v>79</v>
      </c>
      <c r="B8" s="43" t="s">
        <v>763</v>
      </c>
      <c r="C8" s="43" t="s">
        <v>856</v>
      </c>
      <c r="D8" s="425" t="s">
        <v>81</v>
      </c>
      <c r="E8" s="43" t="s">
        <v>763</v>
      </c>
      <c r="F8" s="43" t="s">
        <v>856</v>
      </c>
    </row>
    <row r="9" spans="1:6" s="24" customFormat="1" ht="12.75">
      <c r="A9" s="116" t="str">
        <f>'bev-int'!A28</f>
        <v>Felhalmozási bevételek</v>
      </c>
      <c r="B9" s="252">
        <f>'bev-int'!B28</f>
        <v>0</v>
      </c>
      <c r="C9" s="252">
        <f>'bev-int'!C28</f>
        <v>0</v>
      </c>
      <c r="D9" s="113" t="str">
        <f>'kiad-int'!A19</f>
        <v>Beruházások</v>
      </c>
      <c r="E9" s="265">
        <f>'kiad-int'!B19</f>
        <v>6351.728</v>
      </c>
      <c r="F9" s="265">
        <f>'kiad-int'!C19</f>
        <v>299060.24799999996</v>
      </c>
    </row>
    <row r="10" spans="1:6" s="24" customFormat="1" ht="12.75">
      <c r="A10" s="116" t="str">
        <f>'bev-int'!A30</f>
        <v>Felhalmozási célú átvett pénzeszközök</v>
      </c>
      <c r="B10" s="253">
        <f>'bev-int'!B30</f>
        <v>0</v>
      </c>
      <c r="C10" s="253">
        <f>'bev-int'!C30</f>
        <v>0</v>
      </c>
      <c r="D10" s="113" t="str">
        <f>'kiad-int'!A20</f>
        <v>Felújítások</v>
      </c>
      <c r="E10" s="260">
        <f>'kiad-int'!B20</f>
        <v>94335.074</v>
      </c>
      <c r="F10" s="260">
        <f>'kiad-int'!C20</f>
        <v>285626.78800000006</v>
      </c>
    </row>
    <row r="11" spans="1:6" s="24" customFormat="1" ht="12.75">
      <c r="A11" s="116" t="str">
        <f>'bev-int'!A21</f>
        <v>Felhalmozási célú támogatások ÁH belülről</v>
      </c>
      <c r="B11" s="253">
        <f>'bev-int'!B21</f>
        <v>0</v>
      </c>
      <c r="C11" s="253">
        <f>'bev-int'!C21</f>
        <v>490485.764</v>
      </c>
      <c r="D11" s="113" t="str">
        <f>'kiad-int'!A21</f>
        <v>Egyéb felhalmozási célú kiadások</v>
      </c>
      <c r="E11" s="262">
        <f>'kiad-int'!B21</f>
        <v>3469.354</v>
      </c>
      <c r="F11" s="262">
        <f>'kiad-int'!C21</f>
        <v>94669.35399999999</v>
      </c>
    </row>
    <row r="12" spans="1:6" s="24" customFormat="1" ht="12.75">
      <c r="A12" s="116" t="str">
        <f>'bev-int'!A26</f>
        <v>Közhatalmi bevételek</v>
      </c>
      <c r="B12" s="253">
        <f>b_k_ré!C53</f>
        <v>4150</v>
      </c>
      <c r="C12" s="253">
        <f>b_k_ré!D53</f>
        <v>4150</v>
      </c>
      <c r="D12" s="113"/>
      <c r="E12" s="253"/>
      <c r="F12" s="253"/>
    </row>
    <row r="13" spans="1:6" s="24" customFormat="1" ht="12.75">
      <c r="A13" s="117"/>
      <c r="B13" s="253"/>
      <c r="C13" s="253"/>
      <c r="D13" s="113"/>
      <c r="E13" s="253"/>
      <c r="F13" s="253"/>
    </row>
    <row r="14" spans="1:6" s="24" customFormat="1" ht="12.75">
      <c r="A14" s="116"/>
      <c r="B14" s="253"/>
      <c r="C14" s="253"/>
      <c r="D14" s="113"/>
      <c r="E14" s="253"/>
      <c r="F14" s="253"/>
    </row>
    <row r="15" spans="1:6" s="24" customFormat="1" ht="12.75">
      <c r="A15" s="117"/>
      <c r="B15" s="253"/>
      <c r="C15" s="253"/>
      <c r="D15" s="113"/>
      <c r="E15" s="253"/>
      <c r="F15" s="253"/>
    </row>
    <row r="16" spans="1:6" s="24" customFormat="1" ht="12.75">
      <c r="A16" s="116"/>
      <c r="B16" s="253"/>
      <c r="C16" s="253"/>
      <c r="D16" s="113"/>
      <c r="E16" s="253"/>
      <c r="F16" s="253"/>
    </row>
    <row r="17" spans="1:6" s="24" customFormat="1" ht="12.75">
      <c r="A17" s="116"/>
      <c r="B17" s="253"/>
      <c r="C17" s="253"/>
      <c r="D17" s="113"/>
      <c r="E17" s="253"/>
      <c r="F17" s="253"/>
    </row>
    <row r="18" spans="1:6" s="24" customFormat="1" ht="12.75">
      <c r="A18" s="116"/>
      <c r="B18" s="253"/>
      <c r="C18" s="253"/>
      <c r="D18" s="113"/>
      <c r="E18" s="253"/>
      <c r="F18" s="253"/>
    </row>
    <row r="19" spans="1:6" s="24" customFormat="1" ht="13.5" thickBot="1">
      <c r="A19" s="119"/>
      <c r="B19" s="254"/>
      <c r="C19" s="254"/>
      <c r="D19" s="118"/>
      <c r="E19" s="254"/>
      <c r="F19" s="254"/>
    </row>
    <row r="20" spans="1:6" ht="13.5" thickBot="1">
      <c r="A20" s="49" t="str">
        <f>'bev-int'!A31</f>
        <v>Költségvetési bevételek:</v>
      </c>
      <c r="B20" s="256">
        <f>SUM(B9:B19)</f>
        <v>4150</v>
      </c>
      <c r="C20" s="256">
        <f>SUM(C9:C19)</f>
        <v>494635.764</v>
      </c>
      <c r="D20" s="29" t="str">
        <f>'kiad-int'!A22</f>
        <v>Költségvetési kiadások:</v>
      </c>
      <c r="E20" s="256">
        <f>SUM(E9:E19)</f>
        <v>104156.156</v>
      </c>
      <c r="F20" s="256">
        <f>SUM(F9:F19)</f>
        <v>679356.3900000001</v>
      </c>
    </row>
    <row r="21" spans="1:6" ht="12.75">
      <c r="A21" s="50" t="str">
        <f>'bev-int'!A32</f>
        <v>Hitel, kölcsönfelvétel ÁH kívülről</v>
      </c>
      <c r="B21" s="257"/>
      <c r="C21" s="257"/>
      <c r="D21" s="26" t="str">
        <f>'kiad-int'!A23</f>
        <v>Hitel, kölcsöntörlesztés ÁH kívülre</v>
      </c>
      <c r="E21" s="257"/>
      <c r="F21" s="257"/>
    </row>
    <row r="22" spans="1:6" ht="12.75">
      <c r="A22" s="51" t="str">
        <f>'bev-int'!A33</f>
        <v>Belföldi értékpapírok bevételei</v>
      </c>
      <c r="B22" s="257"/>
      <c r="C22" s="257"/>
      <c r="D22" s="26" t="str">
        <f>'kiad-int'!A24</f>
        <v>Belföldi értékpapírok kiadásai</v>
      </c>
      <c r="E22" s="266"/>
      <c r="F22" s="266"/>
    </row>
    <row r="23" spans="1:6" ht="12.75">
      <c r="A23" s="51" t="str">
        <f>'bev-int'!A34</f>
        <v>Maradvány igénybevétele</v>
      </c>
      <c r="B23" s="257"/>
      <c r="C23" s="965">
        <v>60199.745</v>
      </c>
      <c r="D23" s="26" t="str">
        <f>'kiad-int'!A25</f>
        <v>ÁH belüli megelőlegezések</v>
      </c>
      <c r="E23" s="266"/>
      <c r="F23" s="266"/>
    </row>
    <row r="24" spans="1:6" ht="12.75">
      <c r="A24" s="51" t="str">
        <f>'bev-int'!A35</f>
        <v>ÁH belüli megelőlegezések</v>
      </c>
      <c r="B24" s="257"/>
      <c r="C24" s="257"/>
      <c r="D24" s="26" t="str">
        <f>'kiad-int'!A26</f>
        <v>ÁH belüli megelőlegezések visszafizetése</v>
      </c>
      <c r="E24" s="266"/>
      <c r="F24" s="266"/>
    </row>
    <row r="25" spans="1:6" ht="12.75">
      <c r="A25" s="51" t="str">
        <f>'bev-int'!A36</f>
        <v>ÁH belüli megelőlegezések visszafizetése</v>
      </c>
      <c r="B25" s="257"/>
      <c r="C25" s="257"/>
      <c r="D25" s="26" t="str">
        <f>'kiad-int'!A27</f>
        <v>Központi, irányító szervi támogatás folyósítása</v>
      </c>
      <c r="E25" s="266"/>
      <c r="F25" s="266">
        <v>3938.728</v>
      </c>
    </row>
    <row r="26" spans="1:6" ht="12.75">
      <c r="A26" s="51" t="str">
        <f>'bev-int'!A37</f>
        <v>Központi, irányító szervi támogatás</v>
      </c>
      <c r="B26" s="257">
        <v>3938.728</v>
      </c>
      <c r="C26" s="257">
        <f>beruh!G17</f>
        <v>3938.728</v>
      </c>
      <c r="D26" s="26" t="str">
        <f>'kiad-int'!A28</f>
        <v>Pe.betétként elhelyezése, kincstárjegy vás.</v>
      </c>
      <c r="E26" s="266"/>
      <c r="F26" s="266"/>
    </row>
    <row r="27" spans="1:6" ht="13.5" thickBot="1">
      <c r="A27" s="52" t="str">
        <f>'bev-int'!A38</f>
        <v>Betétek megszüntetése, kincstárjegy vissszavásárlás</v>
      </c>
      <c r="B27" s="344">
        <v>0</v>
      </c>
      <c r="C27" s="344">
        <v>0</v>
      </c>
      <c r="D27" s="26" t="str">
        <f>'kiad-int'!A29</f>
        <v>Belföldi finanszírozás kiadásai</v>
      </c>
      <c r="E27" s="263"/>
      <c r="F27" s="263"/>
    </row>
    <row r="28" spans="1:6" s="24" customFormat="1" ht="13.5" thickBot="1">
      <c r="A28" s="49" t="str">
        <f>'bev-int'!A39</f>
        <v>Belföldi finanszírozás bevételei</v>
      </c>
      <c r="B28" s="256">
        <f>SUM(B21:B27)</f>
        <v>3938.728</v>
      </c>
      <c r="C28" s="256">
        <f>SUM(C21:C27)</f>
        <v>64138.473000000005</v>
      </c>
      <c r="D28" s="29" t="str">
        <f>'kiad-int'!A29</f>
        <v>Belföldi finanszírozás kiadásai</v>
      </c>
      <c r="E28" s="256">
        <f>SUM(E21:E27)</f>
        <v>0</v>
      </c>
      <c r="F28" s="256">
        <f>SUM(F21:F27)</f>
        <v>3938.728</v>
      </c>
    </row>
    <row r="29" spans="1:6" s="24" customFormat="1" ht="13.5" thickBot="1">
      <c r="A29" s="49" t="str">
        <f>'bev-int'!A40</f>
        <v>Külföldi finanszírozás bevételei</v>
      </c>
      <c r="B29" s="256">
        <f>'bev-int'!B40</f>
        <v>0</v>
      </c>
      <c r="C29" s="256">
        <f>'bev-int'!C40</f>
        <v>0</v>
      </c>
      <c r="D29" s="29" t="str">
        <f>'kiad-int'!A30</f>
        <v>Külföldi finanszírozás kiadásai</v>
      </c>
      <c r="E29" s="256">
        <v>0</v>
      </c>
      <c r="F29" s="256">
        <v>0</v>
      </c>
    </row>
    <row r="30" spans="1:6" s="24" customFormat="1" ht="13.5" thickBot="1">
      <c r="A30" s="49" t="str">
        <f>'bev-int'!A41</f>
        <v>Adóssághoz nem kapcs.származékos ügyl.bevét.</v>
      </c>
      <c r="B30" s="256">
        <f>'bev-int'!B41</f>
        <v>0</v>
      </c>
      <c r="C30" s="256">
        <f>'bev-int'!C41</f>
        <v>0</v>
      </c>
      <c r="D30" s="29" t="str">
        <f>'kiad-int'!A31</f>
        <v>Adóssághoz nem kapcs.származékos ügyl.kiad.</v>
      </c>
      <c r="E30" s="256">
        <v>0</v>
      </c>
      <c r="F30" s="256">
        <v>0</v>
      </c>
    </row>
    <row r="31" spans="1:6" s="24" customFormat="1" ht="13.5" thickBot="1">
      <c r="A31" s="49" t="str">
        <f>'bev-int'!A42</f>
        <v>Finanszírozási bevételek</v>
      </c>
      <c r="B31" s="256">
        <f>SUM(B28:B30)</f>
        <v>3938.728</v>
      </c>
      <c r="C31" s="256">
        <f>SUM(C28:C30)</f>
        <v>64138.473000000005</v>
      </c>
      <c r="D31" s="29" t="str">
        <f>'kiad-int'!A32</f>
        <v>Finanszírozási kiadások</v>
      </c>
      <c r="E31" s="256">
        <f>SUM(E28:E30)</f>
        <v>0</v>
      </c>
      <c r="F31" s="256">
        <f>SUM(F28:F30)</f>
        <v>3938.728</v>
      </c>
    </row>
    <row r="32" spans="1:6" s="45" customFormat="1" ht="13.5" thickBot="1">
      <c r="A32" s="53" t="s">
        <v>210</v>
      </c>
      <c r="B32" s="264">
        <f>B20+B31</f>
        <v>8088.728</v>
      </c>
      <c r="C32" s="264">
        <f>C20+C31</f>
        <v>558774.2370000001</v>
      </c>
      <c r="D32" s="29" t="str">
        <f>'kiad-int'!A33</f>
        <v>Kiadások összesen:</v>
      </c>
      <c r="E32" s="264">
        <f>E20+E31</f>
        <v>104156.156</v>
      </c>
      <c r="F32" s="264">
        <f>F20+F31</f>
        <v>683295.1180000001</v>
      </c>
    </row>
    <row r="33" spans="2:3" ht="12.75">
      <c r="B33" s="258"/>
      <c r="C33" s="258"/>
    </row>
    <row r="34" spans="1:3" s="24" customFormat="1" ht="12.75">
      <c r="A34" s="24" t="s">
        <v>643</v>
      </c>
      <c r="B34" s="259">
        <f>B32-E32</f>
        <v>-96067.428</v>
      </c>
      <c r="C34" s="259">
        <f>C32-F32</f>
        <v>-124520.88100000005</v>
      </c>
    </row>
    <row r="35" spans="2:3" ht="12.75">
      <c r="B35" s="258"/>
      <c r="C35" s="258"/>
    </row>
    <row r="36" spans="2:3" ht="12.75">
      <c r="B36" s="258"/>
      <c r="C36" s="258"/>
    </row>
  </sheetData>
  <mergeCells count="1">
    <mergeCell ref="A4:F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 topLeftCell="A7">
      <selection activeCell="A2" sqref="A2"/>
    </sheetView>
  </sheetViews>
  <sheetFormatPr defaultColWidth="9.00390625" defaultRowHeight="12.75"/>
  <cols>
    <col min="1" max="1" width="32.75390625" style="16" customWidth="1"/>
    <col min="2" max="3" width="14.625" style="16" customWidth="1"/>
    <col min="4" max="4" width="15.375" style="16" customWidth="1"/>
    <col min="5" max="16384" width="9.125" style="16" customWidth="1"/>
  </cols>
  <sheetData>
    <row r="2" spans="1:2" ht="12.75">
      <c r="A2" s="424" t="s">
        <v>307</v>
      </c>
      <c r="B2" s="16" t="str">
        <f>'bev-int'!B1</f>
        <v>melléklet a 12/2020.(IX.17.) önkormányzati rendelethez</v>
      </c>
    </row>
    <row r="6" spans="1:5" ht="30" customHeight="1">
      <c r="A6" s="1147" t="s">
        <v>799</v>
      </c>
      <c r="B6" s="1147"/>
      <c r="C6" s="1147"/>
      <c r="D6" s="1147"/>
      <c r="E6" s="72"/>
    </row>
    <row r="13" ht="13.5" thickBot="1">
      <c r="D13" s="107" t="s">
        <v>299</v>
      </c>
    </row>
    <row r="14" spans="1:4" ht="13.5" thickBot="1">
      <c r="A14" s="66" t="s">
        <v>44</v>
      </c>
      <c r="B14" s="1145" t="s">
        <v>98</v>
      </c>
      <c r="C14" s="1145"/>
      <c r="D14" s="1146"/>
    </row>
    <row r="15" spans="1:4" ht="26.25" thickBot="1">
      <c r="A15" s="67"/>
      <c r="B15" s="39" t="s">
        <v>99</v>
      </c>
      <c r="C15" s="39" t="s">
        <v>100</v>
      </c>
      <c r="D15" s="68" t="s">
        <v>101</v>
      </c>
    </row>
    <row r="16" spans="1:4" ht="13.5" thickBot="1">
      <c r="A16" s="69" t="s">
        <v>102</v>
      </c>
      <c r="B16" s="329"/>
      <c r="C16" s="329"/>
      <c r="D16" s="341">
        <f>B16*C16</f>
        <v>0</v>
      </c>
    </row>
    <row r="17" spans="1:4" ht="12.75">
      <c r="A17" s="70" t="s">
        <v>290</v>
      </c>
      <c r="B17" s="823">
        <v>25</v>
      </c>
      <c r="C17" s="330">
        <v>2000</v>
      </c>
      <c r="D17" s="341">
        <f>B17*C17</f>
        <v>50000</v>
      </c>
    </row>
    <row r="18" spans="1:4" ht="12.75">
      <c r="A18" s="70"/>
      <c r="B18" s="330"/>
      <c r="C18" s="330"/>
      <c r="D18" s="340"/>
    </row>
    <row r="19" spans="1:4" ht="12.75">
      <c r="A19" s="720"/>
      <c r="B19" s="330"/>
      <c r="C19" s="330"/>
      <c r="D19" s="331"/>
    </row>
    <row r="20" spans="1:4" ht="12.75">
      <c r="A20" s="69"/>
      <c r="B20" s="332"/>
      <c r="C20" s="332"/>
      <c r="D20" s="331"/>
    </row>
    <row r="21" spans="1:4" ht="13.5" thickBot="1">
      <c r="A21" s="147"/>
      <c r="B21" s="333"/>
      <c r="C21" s="333"/>
      <c r="D21" s="334"/>
    </row>
    <row r="22" spans="1:4" ht="13.5" thickBot="1">
      <c r="A22" s="148" t="s">
        <v>74</v>
      </c>
      <c r="B22" s="335"/>
      <c r="C22" s="336"/>
      <c r="D22" s="337">
        <f>SUM(D16:D20)</f>
        <v>50000</v>
      </c>
    </row>
    <row r="23" spans="2:4" ht="12.75">
      <c r="B23" s="338"/>
      <c r="C23" s="339"/>
      <c r="D23" s="338"/>
    </row>
  </sheetData>
  <mergeCells count="2">
    <mergeCell ref="B14:D14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 topLeftCell="A19">
      <selection activeCell="E55" sqref="E54:H55"/>
    </sheetView>
  </sheetViews>
  <sheetFormatPr defaultColWidth="9.00390625" defaultRowHeight="12.75"/>
  <cols>
    <col min="1" max="1" width="4.875" style="16" customWidth="1"/>
    <col min="2" max="2" width="41.875" style="16" customWidth="1"/>
    <col min="3" max="3" width="13.25390625" style="16" customWidth="1"/>
    <col min="4" max="6" width="12.875" style="16" bestFit="1" customWidth="1"/>
    <col min="7" max="16384" width="9.125" style="16" customWidth="1"/>
  </cols>
  <sheetData>
    <row r="1" spans="1:4" ht="12.75">
      <c r="A1" s="424" t="s">
        <v>851</v>
      </c>
      <c r="B1" s="41" t="str">
        <f>'bev-int'!B1</f>
        <v>melléklet a 12/2020.(IX.17.) önkormányzati rendelethez</v>
      </c>
      <c r="C1" s="42"/>
      <c r="D1" s="42"/>
    </row>
    <row r="4" spans="2:6" ht="12.75">
      <c r="B4" s="1144" t="s">
        <v>800</v>
      </c>
      <c r="C4" s="1144"/>
      <c r="D4" s="1144"/>
      <c r="E4" s="1144"/>
      <c r="F4" s="1144"/>
    </row>
    <row r="5" spans="2:6" ht="12.75">
      <c r="B5" s="1144" t="s">
        <v>268</v>
      </c>
      <c r="C5" s="1144"/>
      <c r="D5" s="1144"/>
      <c r="E5" s="1144"/>
      <c r="F5" s="1144"/>
    </row>
    <row r="6" spans="2:4" ht="12.75">
      <c r="B6" s="30"/>
      <c r="C6" s="30"/>
      <c r="D6" s="30"/>
    </row>
    <row r="7" spans="2:4" ht="12.75">
      <c r="B7" s="30"/>
      <c r="C7" s="30"/>
      <c r="D7" s="30"/>
    </row>
    <row r="8" ht="13.5" thickBot="1">
      <c r="F8" s="107" t="s">
        <v>59</v>
      </c>
    </row>
    <row r="9" spans="2:6" ht="15.75" thickBot="1">
      <c r="B9" s="125" t="s">
        <v>44</v>
      </c>
      <c r="C9" s="426" t="s">
        <v>313</v>
      </c>
      <c r="D9" s="426" t="s">
        <v>645</v>
      </c>
      <c r="E9" s="426" t="s">
        <v>735</v>
      </c>
      <c r="F9" s="426" t="s">
        <v>764</v>
      </c>
    </row>
    <row r="10" spans="2:6" ht="12.75">
      <c r="B10" s="126" t="str">
        <f>m_mérl_!A9</f>
        <v>Működési célú támogatások ÁH belülről</v>
      </c>
      <c r="C10" s="267">
        <f>m_mérl_!C9</f>
        <v>116654.48099999999</v>
      </c>
      <c r="D10" s="216">
        <f>C10*1.03</f>
        <v>120154.11542999999</v>
      </c>
      <c r="E10" s="268">
        <v>120000</v>
      </c>
      <c r="F10" s="268">
        <v>125000</v>
      </c>
    </row>
    <row r="11" spans="2:6" ht="12.75">
      <c r="B11" s="127" t="str">
        <f>m_mérl_!A11</f>
        <v>Közhatalmi bevételek</v>
      </c>
      <c r="C11" s="269">
        <f>m_mérl_!C11</f>
        <v>29100</v>
      </c>
      <c r="D11" s="216">
        <f aca="true" t="shared" si="0" ref="D11:D16">C11*1.03</f>
        <v>29973</v>
      </c>
      <c r="E11" s="270">
        <v>30000</v>
      </c>
      <c r="F11" s="270">
        <v>30500</v>
      </c>
    </row>
    <row r="12" spans="2:6" ht="12.75">
      <c r="B12" s="127" t="str">
        <f>m_mérl_!A12</f>
        <v>Működési bevételek</v>
      </c>
      <c r="C12" s="269">
        <f>m_mérl_!C12</f>
        <v>29770.989999999998</v>
      </c>
      <c r="D12" s="216">
        <f t="shared" si="0"/>
        <v>30664.1197</v>
      </c>
      <c r="E12" s="270">
        <v>31000</v>
      </c>
      <c r="F12" s="270">
        <v>32500</v>
      </c>
    </row>
    <row r="13" spans="2:6" ht="12.75">
      <c r="B13" s="127" t="str">
        <f>m_mérl_!A13</f>
        <v>Működési célú átvett pénzeszközök</v>
      </c>
      <c r="C13" s="269">
        <f>m_mérl_!C13</f>
        <v>73.32</v>
      </c>
      <c r="D13" s="216">
        <f t="shared" si="0"/>
        <v>75.5196</v>
      </c>
      <c r="E13" s="270">
        <v>0</v>
      </c>
      <c r="F13" s="270">
        <v>0</v>
      </c>
    </row>
    <row r="14" spans="2:6" ht="12.75">
      <c r="B14" s="127" t="str">
        <f>m_mérl_!A23</f>
        <v>Maradvány igénybevétele</v>
      </c>
      <c r="C14" s="269">
        <f>m_mérl_!C23</f>
        <v>215257.21400000004</v>
      </c>
      <c r="D14" s="216">
        <v>78000</v>
      </c>
      <c r="E14" s="270">
        <v>48000</v>
      </c>
      <c r="F14" s="270">
        <v>75200</v>
      </c>
    </row>
    <row r="15" spans="2:6" ht="12.75">
      <c r="B15" s="127" t="str">
        <f>m_mérl_!A26</f>
        <v>Központi, irányító szervi támogatás</v>
      </c>
      <c r="C15" s="269">
        <f>m_mérl_!C26</f>
        <v>63402.807</v>
      </c>
      <c r="D15" s="216">
        <f t="shared" si="0"/>
        <v>65304.89121</v>
      </c>
      <c r="E15" s="270">
        <v>68000</v>
      </c>
      <c r="F15" s="270">
        <v>69000</v>
      </c>
    </row>
    <row r="16" spans="2:6" ht="12.75">
      <c r="B16" s="127" t="s">
        <v>221</v>
      </c>
      <c r="C16" s="269">
        <f>mérl_!C29</f>
        <v>250004.90000000002</v>
      </c>
      <c r="D16" s="216">
        <f t="shared" si="0"/>
        <v>257505.04700000002</v>
      </c>
      <c r="E16" s="270">
        <v>0</v>
      </c>
      <c r="F16" s="270">
        <v>0</v>
      </c>
    </row>
    <row r="17" spans="2:6" ht="13.5" thickBot="1">
      <c r="B17" s="128"/>
      <c r="C17" s="271"/>
      <c r="D17" s="220"/>
      <c r="E17" s="272"/>
      <c r="F17" s="272"/>
    </row>
    <row r="18" spans="2:6" ht="13.5" thickBot="1">
      <c r="B18" s="129" t="s">
        <v>92</v>
      </c>
      <c r="C18" s="273">
        <f>SUM(C10:C17)</f>
        <v>704263.712</v>
      </c>
      <c r="D18" s="274">
        <f>SUM(D10:D17)</f>
        <v>581676.69294</v>
      </c>
      <c r="E18" s="275">
        <f>SUM(E10:E17)</f>
        <v>297000</v>
      </c>
      <c r="F18" s="275">
        <f>SUM(F10:F17)</f>
        <v>332200</v>
      </c>
    </row>
    <row r="19" spans="2:6" ht="12.75">
      <c r="B19" s="124" t="str">
        <f>m_mérl_!D9</f>
        <v>Személyi juttatások</v>
      </c>
      <c r="C19" s="276">
        <f>m_mérl_!F9</f>
        <v>87822.764</v>
      </c>
      <c r="D19" s="216">
        <f aca="true" t="shared" si="1" ref="D19:D36">C19*1.03</f>
        <v>90457.44692</v>
      </c>
      <c r="E19" s="277">
        <v>90000</v>
      </c>
      <c r="F19" s="277">
        <v>92000</v>
      </c>
    </row>
    <row r="20" spans="2:6" ht="12.75">
      <c r="B20" s="108" t="str">
        <f>m_mérl_!D10</f>
        <v>Munkaadókat terhelő járulékok</v>
      </c>
      <c r="C20" s="278">
        <f>m_mérl_!F10</f>
        <v>14631.319</v>
      </c>
      <c r="D20" s="216">
        <f t="shared" si="1"/>
        <v>15070.25857</v>
      </c>
      <c r="E20" s="270">
        <v>15000</v>
      </c>
      <c r="F20" s="270">
        <v>15200</v>
      </c>
    </row>
    <row r="21" spans="2:6" ht="12.75">
      <c r="B21" s="108" t="str">
        <f>m_mérl_!D11</f>
        <v>Készletbeszerzés</v>
      </c>
      <c r="C21" s="278">
        <f>m_mérl_!F11</f>
        <v>15067.523</v>
      </c>
      <c r="D21" s="216">
        <f t="shared" si="1"/>
        <v>15519.54869</v>
      </c>
      <c r="E21" s="270">
        <v>16800</v>
      </c>
      <c r="F21" s="270">
        <v>17000</v>
      </c>
    </row>
    <row r="22" spans="2:6" ht="12.75">
      <c r="B22" s="108" t="str">
        <f>m_mérl_!D12</f>
        <v>Kommunikációs szolgáltatások</v>
      </c>
      <c r="C22" s="278">
        <f>m_mérl_!F12</f>
        <v>2340.267</v>
      </c>
      <c r="D22" s="216">
        <f t="shared" si="1"/>
        <v>2410.4750099999997</v>
      </c>
      <c r="E22" s="270">
        <v>2300</v>
      </c>
      <c r="F22" s="270">
        <v>2350</v>
      </c>
    </row>
    <row r="23" spans="2:6" ht="12.75">
      <c r="B23" s="108" t="str">
        <f>m_mérl_!D13</f>
        <v>Szolgáltatási kiadások</v>
      </c>
      <c r="C23" s="278">
        <f>m_mérl_!F13</f>
        <v>48320.409</v>
      </c>
      <c r="D23" s="216">
        <f t="shared" si="1"/>
        <v>49770.02127</v>
      </c>
      <c r="E23" s="270">
        <v>35000</v>
      </c>
      <c r="F23" s="270">
        <v>36000</v>
      </c>
    </row>
    <row r="24" spans="2:6" ht="12.75">
      <c r="B24" s="108" t="str">
        <f>m_mérl_!D14</f>
        <v>Kiküldetés, reklám- és propagamda kiadások</v>
      </c>
      <c r="C24" s="278">
        <f>m_mérl_!F14</f>
        <v>3940</v>
      </c>
      <c r="D24" s="216">
        <f t="shared" si="1"/>
        <v>4058.2000000000003</v>
      </c>
      <c r="E24" s="270">
        <v>3000</v>
      </c>
      <c r="F24" s="270">
        <v>3200</v>
      </c>
    </row>
    <row r="25" spans="2:6" ht="12.75">
      <c r="B25" s="108" t="str">
        <f>m_mérl_!D15</f>
        <v>Különféle befizetések és egyéb dologi kiadások</v>
      </c>
      <c r="C25" s="278">
        <f>m_mérl_!F15</f>
        <v>19368.717</v>
      </c>
      <c r="D25" s="216">
        <f t="shared" si="1"/>
        <v>19949.77851</v>
      </c>
      <c r="E25" s="270">
        <v>19000</v>
      </c>
      <c r="F25" s="270">
        <v>19300</v>
      </c>
    </row>
    <row r="26" spans="2:6" ht="12.75">
      <c r="B26" s="108" t="str">
        <f>m_mérl_!D16</f>
        <v>Ellátottak pénzbeli juttatásai</v>
      </c>
      <c r="C26" s="278">
        <f>m_mérl_!F16</f>
        <v>10270</v>
      </c>
      <c r="D26" s="216">
        <f t="shared" si="1"/>
        <v>10578.1</v>
      </c>
      <c r="E26" s="270">
        <v>10800</v>
      </c>
      <c r="F26" s="270">
        <v>11000</v>
      </c>
    </row>
    <row r="27" spans="2:6" ht="12.75">
      <c r="B27" s="32" t="str">
        <f>m_mérl_!D17</f>
        <v>Egyéb működési célú kiadások</v>
      </c>
      <c r="C27" s="216">
        <f>m_mérl_!F17</f>
        <v>58434.941</v>
      </c>
      <c r="D27" s="216">
        <v>75000</v>
      </c>
      <c r="E27" s="270">
        <v>78000</v>
      </c>
      <c r="F27" s="270">
        <v>79000</v>
      </c>
    </row>
    <row r="28" spans="2:6" ht="12.75">
      <c r="B28" s="32" t="str">
        <f>m_mérl_!D21</f>
        <v>Hitel, kölcsöntörlesztés ÁH kívülre</v>
      </c>
      <c r="C28" s="218">
        <f>m_mérl_!F21</f>
        <v>0</v>
      </c>
      <c r="D28" s="216">
        <f t="shared" si="1"/>
        <v>0</v>
      </c>
      <c r="E28" s="270">
        <v>0</v>
      </c>
      <c r="F28" s="270">
        <v>0</v>
      </c>
    </row>
    <row r="29" spans="2:6" ht="12.75">
      <c r="B29" s="32" t="str">
        <f>m_mérl_!D25</f>
        <v>Központi, irányító szervi támogatás folyósítása</v>
      </c>
      <c r="C29" s="218">
        <f>m_mérl_!F25</f>
        <v>63402.807</v>
      </c>
      <c r="D29" s="216">
        <f t="shared" si="1"/>
        <v>65304.89121</v>
      </c>
      <c r="E29" s="270">
        <v>68000</v>
      </c>
      <c r="F29" s="270">
        <v>69000</v>
      </c>
    </row>
    <row r="30" spans="2:6" ht="12.75">
      <c r="B30" s="32" t="s">
        <v>222</v>
      </c>
      <c r="C30" s="218">
        <f>m_mérl_!F24</f>
        <v>6139.184</v>
      </c>
      <c r="D30" s="216">
        <v>5000</v>
      </c>
      <c r="E30" s="279">
        <v>5300</v>
      </c>
      <c r="F30" s="279">
        <v>5500</v>
      </c>
    </row>
    <row r="31" spans="2:6" ht="13.5" thickBot="1">
      <c r="B31" s="33" t="s">
        <v>141</v>
      </c>
      <c r="C31" s="220">
        <f>m_mérl_!F26</f>
        <v>250004.90000000002</v>
      </c>
      <c r="D31" s="216">
        <f t="shared" si="1"/>
        <v>257505.04700000002</v>
      </c>
      <c r="E31" s="280">
        <v>0</v>
      </c>
      <c r="F31" s="280">
        <v>0</v>
      </c>
    </row>
    <row r="32" spans="2:6" ht="13.5" thickBot="1">
      <c r="B32" s="34" t="s">
        <v>95</v>
      </c>
      <c r="C32" s="235">
        <f>SUM(C19:C31)</f>
        <v>579742.831</v>
      </c>
      <c r="D32" s="281">
        <f>SUM(D19:D31)</f>
        <v>610623.7671800001</v>
      </c>
      <c r="E32" s="275">
        <f>SUM(E19:E31)</f>
        <v>343200</v>
      </c>
      <c r="F32" s="275">
        <f>SUM(F19:F31)</f>
        <v>349550</v>
      </c>
    </row>
    <row r="33" spans="2:6" ht="12.75">
      <c r="B33" s="31" t="str">
        <f>f_mérl_!A9</f>
        <v>Felhalmozási bevételek</v>
      </c>
      <c r="C33" s="282">
        <f>f_mérl_!C9</f>
        <v>0</v>
      </c>
      <c r="D33" s="216">
        <f t="shared" si="1"/>
        <v>0</v>
      </c>
      <c r="E33" s="283">
        <v>0</v>
      </c>
      <c r="F33" s="283">
        <v>0</v>
      </c>
    </row>
    <row r="34" spans="2:6" ht="12.75">
      <c r="B34" s="32" t="str">
        <f>f_mérl_!A10</f>
        <v>Felhalmozási célú átvett pénzeszközök</v>
      </c>
      <c r="C34" s="218">
        <f>f_mérl_!C10</f>
        <v>0</v>
      </c>
      <c r="D34" s="216">
        <f t="shared" si="1"/>
        <v>0</v>
      </c>
      <c r="E34" s="284">
        <v>0</v>
      </c>
      <c r="F34" s="284">
        <v>0</v>
      </c>
    </row>
    <row r="35" spans="2:6" ht="12.75">
      <c r="B35" s="32" t="str">
        <f>f_mérl_!A11</f>
        <v>Felhalmozási célú támogatások ÁH belülről</v>
      </c>
      <c r="C35" s="218">
        <f>f_mérl_!C11</f>
        <v>490485.764</v>
      </c>
      <c r="D35" s="216">
        <v>23324</v>
      </c>
      <c r="E35" s="284">
        <v>23000</v>
      </c>
      <c r="F35" s="284">
        <v>10000</v>
      </c>
    </row>
    <row r="36" spans="2:6" ht="12.75">
      <c r="B36" s="32" t="str">
        <f>f_mérl_!A12</f>
        <v>Közhatalmi bevételek</v>
      </c>
      <c r="C36" s="218">
        <f>f_mérl_!C12</f>
        <v>4150</v>
      </c>
      <c r="D36" s="216">
        <f t="shared" si="1"/>
        <v>4274.5</v>
      </c>
      <c r="E36" s="284">
        <v>4500</v>
      </c>
      <c r="F36" s="284">
        <v>5500</v>
      </c>
    </row>
    <row r="37" spans="2:6" ht="12.75">
      <c r="B37" s="32" t="str">
        <f>f_mérl_!A23</f>
        <v>Maradvány igénybevétele</v>
      </c>
      <c r="C37" s="218">
        <f>f_mérl_!C23</f>
        <v>60199.745</v>
      </c>
      <c r="D37" s="216">
        <v>42000</v>
      </c>
      <c r="E37" s="284">
        <v>50000</v>
      </c>
      <c r="F37" s="284">
        <v>52000</v>
      </c>
    </row>
    <row r="38" spans="2:6" ht="13.5" thickBot="1">
      <c r="B38" s="32" t="str">
        <f>B44</f>
        <v>Központi, irányító szervi támogatás folyósítása</v>
      </c>
      <c r="C38" s="218">
        <v>3938.728</v>
      </c>
      <c r="D38" s="217">
        <v>4056.89</v>
      </c>
      <c r="E38" s="284">
        <v>1270</v>
      </c>
      <c r="F38" s="284">
        <v>1270</v>
      </c>
    </row>
    <row r="39" spans="2:6" ht="13.5" thickBot="1">
      <c r="B39" s="34" t="s">
        <v>96</v>
      </c>
      <c r="C39" s="235">
        <f>SUM(C33:C38)</f>
        <v>558774.2370000001</v>
      </c>
      <c r="D39" s="281">
        <f>SUM(D33:D38)</f>
        <v>73655.39</v>
      </c>
      <c r="E39" s="285">
        <f>SUM(E33:E38)</f>
        <v>78770</v>
      </c>
      <c r="F39" s="285">
        <f>SUM(F33:F38)</f>
        <v>68770</v>
      </c>
    </row>
    <row r="40" spans="2:6" ht="12.75">
      <c r="B40" s="31" t="str">
        <f>f_mérl_!D9</f>
        <v>Beruházások</v>
      </c>
      <c r="C40" s="286">
        <f>f_mérl_!F9</f>
        <v>299060.24799999996</v>
      </c>
      <c r="D40" s="216">
        <v>37083.172</v>
      </c>
      <c r="E40" s="283">
        <v>21800</v>
      </c>
      <c r="F40" s="283">
        <v>40150</v>
      </c>
    </row>
    <row r="41" spans="2:6" ht="12.75">
      <c r="B41" s="32" t="str">
        <f>f_mérl_!D10</f>
        <v>Felújítások</v>
      </c>
      <c r="C41" s="287">
        <f>f_mérl_!F10</f>
        <v>285626.78800000006</v>
      </c>
      <c r="D41" s="216">
        <v>4500</v>
      </c>
      <c r="E41" s="284">
        <v>7000</v>
      </c>
      <c r="F41" s="284">
        <v>10000</v>
      </c>
    </row>
    <row r="42" spans="2:6" ht="12.75">
      <c r="B42" s="32" t="str">
        <f>f_mérl_!D11</f>
        <v>Egyéb felhalmozási célú kiadások</v>
      </c>
      <c r="C42" s="216">
        <f>f_mérl_!F11</f>
        <v>94669.35399999999</v>
      </c>
      <c r="D42" s="216">
        <v>3000</v>
      </c>
      <c r="E42" s="284">
        <v>2500</v>
      </c>
      <c r="F42" s="284">
        <v>0</v>
      </c>
    </row>
    <row r="43" spans="2:6" ht="12.75">
      <c r="B43" s="32" t="str">
        <f>f_mérl_!D21</f>
        <v>Hitel, kölcsöntörlesztés ÁH kívülre</v>
      </c>
      <c r="C43" s="218">
        <f>f_mérl_!F21</f>
        <v>0</v>
      </c>
      <c r="D43" s="216">
        <f aca="true" t="shared" si="2" ref="D43:D44">C43*1.03</f>
        <v>0</v>
      </c>
      <c r="E43" s="284">
        <v>0</v>
      </c>
      <c r="F43" s="284">
        <v>0</v>
      </c>
    </row>
    <row r="44" spans="2:6" ht="12.75">
      <c r="B44" s="32" t="str">
        <f>f_mérl_!D25</f>
        <v>Központi, irányító szervi támogatás folyósítása</v>
      </c>
      <c r="C44" s="218">
        <f>f_mérl_!F25</f>
        <v>3938.728</v>
      </c>
      <c r="D44" s="216">
        <f t="shared" si="2"/>
        <v>4056.8898400000003</v>
      </c>
      <c r="E44" s="284">
        <v>1270</v>
      </c>
      <c r="F44" s="284">
        <v>1270</v>
      </c>
    </row>
    <row r="45" spans="2:6" ht="12.75">
      <c r="B45" s="32"/>
      <c r="C45" s="218"/>
      <c r="D45" s="217"/>
      <c r="E45" s="284"/>
      <c r="F45" s="284"/>
    </row>
    <row r="46" spans="2:6" ht="12.75">
      <c r="B46" s="35"/>
      <c r="C46" s="216"/>
      <c r="D46" s="217"/>
      <c r="E46" s="284"/>
      <c r="F46" s="284"/>
    </row>
    <row r="47" spans="2:6" ht="13.5" thickBot="1">
      <c r="B47" s="33"/>
      <c r="C47" s="216"/>
      <c r="D47" s="217"/>
      <c r="E47" s="280"/>
      <c r="F47" s="280"/>
    </row>
    <row r="48" spans="2:6" ht="13.5" thickBot="1">
      <c r="B48" s="34" t="s">
        <v>97</v>
      </c>
      <c r="C48" s="235">
        <f>SUM(C40:C47)</f>
        <v>683295.1180000001</v>
      </c>
      <c r="D48" s="281">
        <f>SUM(D40:D47)</f>
        <v>48640.06184</v>
      </c>
      <c r="E48" s="288">
        <f>SUM(E40:E47)</f>
        <v>32570</v>
      </c>
      <c r="F48" s="288">
        <f>SUM(F40:F47)</f>
        <v>51420</v>
      </c>
    </row>
    <row r="49" spans="2:6" ht="13.5" thickBot="1">
      <c r="B49" s="36" t="s">
        <v>49</v>
      </c>
      <c r="C49" s="223">
        <f>C18+C39</f>
        <v>1263037.949</v>
      </c>
      <c r="D49" s="289">
        <f>D18+D39</f>
        <v>655332.08294</v>
      </c>
      <c r="E49" s="290">
        <f>E18+E39</f>
        <v>375770</v>
      </c>
      <c r="F49" s="290">
        <f>F18+F39</f>
        <v>400970</v>
      </c>
    </row>
    <row r="50" spans="2:6" ht="13.5" thickBot="1">
      <c r="B50" s="36" t="s">
        <v>54</v>
      </c>
      <c r="C50" s="223">
        <f>C32+C48</f>
        <v>1263037.949</v>
      </c>
      <c r="D50" s="289">
        <f>D32+D48</f>
        <v>659263.8290200001</v>
      </c>
      <c r="E50" s="290">
        <f>E32+E48</f>
        <v>375770</v>
      </c>
      <c r="F50" s="290">
        <f>F32+F48</f>
        <v>400970</v>
      </c>
    </row>
    <row r="51" spans="3:6" ht="12.75">
      <c r="C51" s="258"/>
      <c r="D51" s="258"/>
      <c r="E51" s="258"/>
      <c r="F51" s="258"/>
    </row>
    <row r="52" spans="2:6" ht="12.75" hidden="1">
      <c r="B52" s="37"/>
      <c r="C52" s="258">
        <f>C49-C50</f>
        <v>0</v>
      </c>
      <c r="D52" s="258">
        <f aca="true" t="shared" si="3" ref="D52:F52">D49-D50</f>
        <v>-3931.74608000007</v>
      </c>
      <c r="E52" s="258">
        <f t="shared" si="3"/>
        <v>0</v>
      </c>
      <c r="F52" s="258">
        <f t="shared" si="3"/>
        <v>0</v>
      </c>
    </row>
    <row r="53" spans="2:6" ht="12.75">
      <c r="B53" s="37"/>
      <c r="C53" s="258"/>
      <c r="D53" s="258"/>
      <c r="E53" s="258"/>
      <c r="F53" s="258"/>
    </row>
  </sheetData>
  <mergeCells count="2">
    <mergeCell ref="B4:F4"/>
    <mergeCell ref="B5:F5"/>
  </mergeCells>
  <printOptions horizontalCentered="1"/>
  <pageMargins left="0.27" right="0.17" top="1.29921259842519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 topLeftCell="A1">
      <selection activeCell="B18" sqref="B18:M18"/>
    </sheetView>
  </sheetViews>
  <sheetFormatPr defaultColWidth="9.00390625" defaultRowHeight="12.75"/>
  <cols>
    <col min="1" max="1" width="36.125" style="541" customWidth="1"/>
    <col min="2" max="13" width="9.125" style="541" customWidth="1"/>
    <col min="14" max="14" width="10.25390625" style="541" customWidth="1"/>
    <col min="15" max="16" width="9.125" style="541" customWidth="1"/>
    <col min="17" max="17" width="12.25390625" style="542" customWidth="1"/>
    <col min="18" max="19" width="9.125" style="541" customWidth="1"/>
    <col min="20" max="16384" width="9.125" style="541" customWidth="1"/>
  </cols>
  <sheetData>
    <row r="1" spans="8:9" ht="12.75">
      <c r="H1" s="424" t="s">
        <v>117</v>
      </c>
      <c r="I1" s="541" t="str">
        <f>'bev-int'!B1</f>
        <v>melléklet a 12/2020.(IX.17.) önkormányzati rendelethez</v>
      </c>
    </row>
    <row r="3" spans="1:14" ht="12.75">
      <c r="A3" s="1144" t="s">
        <v>801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</row>
    <row r="4" spans="14:15" ht="12.75">
      <c r="N4" s="541" t="s">
        <v>59</v>
      </c>
      <c r="O4" s="543"/>
    </row>
    <row r="5" spans="1:15" ht="15">
      <c r="A5" s="544" t="s">
        <v>44</v>
      </c>
      <c r="B5" s="545" t="s">
        <v>69</v>
      </c>
      <c r="C5" s="546" t="s">
        <v>103</v>
      </c>
      <c r="D5" s="546" t="s">
        <v>104</v>
      </c>
      <c r="E5" s="546" t="s">
        <v>105</v>
      </c>
      <c r="F5" s="546" t="s">
        <v>106</v>
      </c>
      <c r="G5" s="546" t="s">
        <v>107</v>
      </c>
      <c r="H5" s="546" t="s">
        <v>108</v>
      </c>
      <c r="I5" s="546" t="s">
        <v>109</v>
      </c>
      <c r="J5" s="546" t="s">
        <v>110</v>
      </c>
      <c r="K5" s="546" t="s">
        <v>111</v>
      </c>
      <c r="L5" s="546" t="s">
        <v>112</v>
      </c>
      <c r="M5" s="547" t="s">
        <v>113</v>
      </c>
      <c r="N5" s="548" t="s">
        <v>74</v>
      </c>
      <c r="O5" s="543"/>
    </row>
    <row r="6" spans="1:15" ht="12.75">
      <c r="A6" s="549" t="s">
        <v>114</v>
      </c>
      <c r="B6" s="550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2"/>
      <c r="N6" s="553"/>
      <c r="O6" s="543"/>
    </row>
    <row r="7" spans="1:17" ht="12.75">
      <c r="A7" s="554" t="str">
        <f>'bev-int'!A15</f>
        <v>Működési célú támogatások ÁH belülről</v>
      </c>
      <c r="B7" s="555">
        <v>21000</v>
      </c>
      <c r="C7" s="555">
        <v>21000</v>
      </c>
      <c r="D7" s="555">
        <v>0</v>
      </c>
      <c r="E7" s="555">
        <v>8294</v>
      </c>
      <c r="F7" s="555">
        <v>8295</v>
      </c>
      <c r="G7" s="555">
        <v>8295</v>
      </c>
      <c r="H7" s="555">
        <v>8295</v>
      </c>
      <c r="I7" s="555">
        <v>8295</v>
      </c>
      <c r="J7" s="555">
        <v>8295</v>
      </c>
      <c r="K7" s="555">
        <v>8295</v>
      </c>
      <c r="L7" s="555">
        <v>8295</v>
      </c>
      <c r="M7" s="555">
        <v>8295</v>
      </c>
      <c r="N7" s="556">
        <f>SUM(B7:M7)</f>
        <v>116654</v>
      </c>
      <c r="O7" s="543">
        <f>'bev-int'!C15</f>
        <v>116654.48099999999</v>
      </c>
      <c r="P7" s="541">
        <f>O7-N7</f>
        <v>0.48099999998521525</v>
      </c>
      <c r="Q7" s="542">
        <f>'bev-int'!C15</f>
        <v>116654.48099999999</v>
      </c>
    </row>
    <row r="8" spans="1:17" ht="12.75">
      <c r="A8" s="554" t="str">
        <f>'bev-int'!A21</f>
        <v>Felhalmozási célú támogatások ÁH belülről</v>
      </c>
      <c r="B8" s="555"/>
      <c r="C8" s="557"/>
      <c r="D8" s="557"/>
      <c r="E8" s="557"/>
      <c r="F8" s="557">
        <v>298337</v>
      </c>
      <c r="G8" s="557">
        <v>168773</v>
      </c>
      <c r="H8" s="557">
        <f>3384+19992</f>
        <v>23376</v>
      </c>
      <c r="I8" s="557"/>
      <c r="J8" s="557"/>
      <c r="K8" s="557"/>
      <c r="L8" s="557"/>
      <c r="M8" s="558"/>
      <c r="N8" s="556">
        <f aca="true" t="shared" si="0" ref="N8:N18">SUM(B8:M8)</f>
        <v>490486</v>
      </c>
      <c r="O8" s="543">
        <f>'bev-int'!C21</f>
        <v>490485.764</v>
      </c>
      <c r="P8" s="541">
        <f aca="true" t="shared" si="1" ref="P8:P10">O8-N8</f>
        <v>-0.23599999997531995</v>
      </c>
      <c r="Q8" s="542">
        <f>'bev-int'!C21</f>
        <v>490485.764</v>
      </c>
    </row>
    <row r="9" spans="1:17" ht="12.75">
      <c r="A9" s="554" t="str">
        <f>'bev-int'!A26</f>
        <v>Közhatalmi bevételek</v>
      </c>
      <c r="B9" s="555"/>
      <c r="C9" s="555"/>
      <c r="D9" s="555">
        <v>15600</v>
      </c>
      <c r="E9" s="555"/>
      <c r="F9" s="555">
        <v>1025</v>
      </c>
      <c r="G9" s="555"/>
      <c r="H9" s="555"/>
      <c r="I9" s="555"/>
      <c r="J9" s="555">
        <v>15600</v>
      </c>
      <c r="K9" s="555"/>
      <c r="L9" s="555"/>
      <c r="M9" s="555">
        <v>1025</v>
      </c>
      <c r="N9" s="556">
        <f t="shared" si="0"/>
        <v>33250</v>
      </c>
      <c r="O9" s="543">
        <f>'bev-int'!C26</f>
        <v>33250</v>
      </c>
      <c r="P9" s="541">
        <f t="shared" si="1"/>
        <v>0</v>
      </c>
      <c r="Q9" s="542">
        <f>'bev-int'!C26</f>
        <v>33250</v>
      </c>
    </row>
    <row r="10" spans="1:17" ht="12.75">
      <c r="A10" s="554" t="str">
        <f>'bev-int'!A27</f>
        <v>Működési bevételek</v>
      </c>
      <c r="B10" s="555">
        <v>2313</v>
      </c>
      <c r="C10" s="555">
        <v>2313</v>
      </c>
      <c r="D10" s="555">
        <v>2381</v>
      </c>
      <c r="E10" s="555">
        <v>2381</v>
      </c>
      <c r="F10" s="555">
        <f>2381+195</f>
        <v>2576</v>
      </c>
      <c r="G10" s="555">
        <f>2381+230+700</f>
        <v>3311</v>
      </c>
      <c r="H10" s="555">
        <f>2381+210</f>
        <v>2591</v>
      </c>
      <c r="I10" s="555">
        <v>2381</v>
      </c>
      <c r="J10" s="555">
        <v>2381</v>
      </c>
      <c r="K10" s="555">
        <v>2381</v>
      </c>
      <c r="L10" s="555">
        <v>2381</v>
      </c>
      <c r="M10" s="555">
        <v>2381</v>
      </c>
      <c r="N10" s="556">
        <f t="shared" si="0"/>
        <v>29771</v>
      </c>
      <c r="O10" s="543">
        <f>'bev-int'!C27</f>
        <v>29770.989999999998</v>
      </c>
      <c r="P10" s="541">
        <f t="shared" si="1"/>
        <v>-0.010000000002037268</v>
      </c>
      <c r="Q10" s="542">
        <f>'bev-int'!C27</f>
        <v>29770.989999999998</v>
      </c>
    </row>
    <row r="11" spans="1:17" ht="12.75">
      <c r="A11" s="554" t="str">
        <f>'bev-int'!A28</f>
        <v>Felhalmozási bevételek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6">
        <f t="shared" si="0"/>
        <v>0</v>
      </c>
      <c r="O11" s="543">
        <f>'bev-int'!C28</f>
        <v>0</v>
      </c>
      <c r="P11" s="541">
        <f aca="true" t="shared" si="2" ref="P11:P18">O11-N11</f>
        <v>0</v>
      </c>
      <c r="Q11" s="542">
        <f>'bev-int'!C28</f>
        <v>0</v>
      </c>
    </row>
    <row r="12" spans="1:17" ht="12.75">
      <c r="A12" s="554" t="str">
        <f>'bev-int'!A29</f>
        <v>Működési célú átvett pénzeszközök</v>
      </c>
      <c r="B12" s="555"/>
      <c r="C12" s="557"/>
      <c r="D12" s="557"/>
      <c r="E12" s="557"/>
      <c r="F12" s="557"/>
      <c r="G12" s="557"/>
      <c r="H12" s="557">
        <v>12</v>
      </c>
      <c r="I12" s="557">
        <v>12</v>
      </c>
      <c r="J12" s="557">
        <v>12</v>
      </c>
      <c r="K12" s="557">
        <v>13</v>
      </c>
      <c r="L12" s="557">
        <v>12</v>
      </c>
      <c r="M12" s="557">
        <v>12</v>
      </c>
      <c r="N12" s="556">
        <f t="shared" si="0"/>
        <v>73</v>
      </c>
      <c r="O12" s="543">
        <f>'bev-int'!C29</f>
        <v>73.32</v>
      </c>
      <c r="P12" s="541">
        <f t="shared" si="2"/>
        <v>0.3199999999999932</v>
      </c>
      <c r="Q12" s="542">
        <f>'bev-int'!C29</f>
        <v>73.32</v>
      </c>
    </row>
    <row r="13" spans="1:17" ht="12.75">
      <c r="A13" s="554" t="str">
        <f>'bev-int'!A30</f>
        <v>Felhalmozási célú átvett pénzeszközök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6">
        <f t="shared" si="0"/>
        <v>0</v>
      </c>
      <c r="O13" s="543">
        <f>'bev-int'!C30</f>
        <v>0</v>
      </c>
      <c r="P13" s="541">
        <f t="shared" si="2"/>
        <v>0</v>
      </c>
      <c r="Q13" s="542">
        <f>'bev-int'!C30</f>
        <v>0</v>
      </c>
    </row>
    <row r="14" spans="1:16" ht="12.75">
      <c r="A14" s="554" t="s">
        <v>214</v>
      </c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6">
        <f t="shared" si="0"/>
        <v>0</v>
      </c>
      <c r="O14" s="543">
        <f>'bev-int'!C32</f>
        <v>0</v>
      </c>
      <c r="P14" s="541">
        <f t="shared" si="2"/>
        <v>0</v>
      </c>
    </row>
    <row r="15" spans="1:15" ht="12.75">
      <c r="A15" s="784" t="s">
        <v>751</v>
      </c>
      <c r="B15" s="783"/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556">
        <f t="shared" si="0"/>
        <v>0</v>
      </c>
      <c r="O15" s="543"/>
    </row>
    <row r="16" spans="1:17" ht="12.75">
      <c r="A16" s="554" t="str">
        <f>'bev-int'!A34</f>
        <v>Maradvány igénybevétele</v>
      </c>
      <c r="B16" s="555">
        <v>275457</v>
      </c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6">
        <f t="shared" si="0"/>
        <v>275457</v>
      </c>
      <c r="O16" s="543">
        <f>'bev-int'!C34</f>
        <v>275456.95900000003</v>
      </c>
      <c r="P16" s="541">
        <f t="shared" si="2"/>
        <v>-0.04099999996833503</v>
      </c>
      <c r="Q16" s="542">
        <f>'bev-int'!C34</f>
        <v>275456.95900000003</v>
      </c>
    </row>
    <row r="17" spans="1:17" ht="12.75">
      <c r="A17" s="554" t="str">
        <f>'bev-int'!A37</f>
        <v>Központi, irányító szervi támogatás</v>
      </c>
      <c r="B17" s="559">
        <v>5692</v>
      </c>
      <c r="C17" s="559">
        <v>5692</v>
      </c>
      <c r="D17" s="559">
        <v>5692</v>
      </c>
      <c r="E17" s="559">
        <v>5692</v>
      </c>
      <c r="F17" s="559">
        <v>5692</v>
      </c>
      <c r="G17" s="559">
        <v>5692</v>
      </c>
      <c r="H17" s="559">
        <v>5690</v>
      </c>
      <c r="I17" s="559">
        <v>5500</v>
      </c>
      <c r="J17" s="559">
        <v>5500</v>
      </c>
      <c r="K17" s="559">
        <v>5500</v>
      </c>
      <c r="L17" s="559">
        <v>5500</v>
      </c>
      <c r="M17" s="559">
        <v>5500</v>
      </c>
      <c r="N17" s="556">
        <f t="shared" si="0"/>
        <v>67342</v>
      </c>
      <c r="O17" s="543">
        <f>'bev-int'!C37</f>
        <v>67341.535</v>
      </c>
      <c r="P17" s="541">
        <f t="shared" si="2"/>
        <v>-0.46499999999650754</v>
      </c>
      <c r="Q17" s="542">
        <f>'bev-int'!C37</f>
        <v>67341.535</v>
      </c>
    </row>
    <row r="18" spans="1:17" ht="12.75">
      <c r="A18" s="560" t="s">
        <v>623</v>
      </c>
      <c r="B18" s="559">
        <v>35000</v>
      </c>
      <c r="C18" s="561">
        <v>15001</v>
      </c>
      <c r="D18" s="561">
        <v>25000</v>
      </c>
      <c r="E18" s="561">
        <v>35000</v>
      </c>
      <c r="F18" s="561">
        <v>15000</v>
      </c>
      <c r="G18" s="561">
        <v>25000</v>
      </c>
      <c r="H18" s="559">
        <v>35000</v>
      </c>
      <c r="I18" s="559">
        <v>15000</v>
      </c>
      <c r="J18" s="559">
        <v>25000</v>
      </c>
      <c r="K18" s="559">
        <v>10000</v>
      </c>
      <c r="L18" s="559">
        <v>10000</v>
      </c>
      <c r="M18" s="567">
        <v>5004</v>
      </c>
      <c r="N18" s="556">
        <f t="shared" si="0"/>
        <v>250005</v>
      </c>
      <c r="O18" s="543">
        <f>'bev-int'!C38</f>
        <v>250004.90000000002</v>
      </c>
      <c r="P18" s="541">
        <f t="shared" si="2"/>
        <v>-0.09999999997671694</v>
      </c>
      <c r="Q18" s="542">
        <f>'bev-int'!C38</f>
        <v>250004.90000000002</v>
      </c>
    </row>
    <row r="19" spans="1:17" ht="12.75">
      <c r="A19" s="562" t="s">
        <v>49</v>
      </c>
      <c r="B19" s="563">
        <f>SUM(B6:B18)</f>
        <v>339462</v>
      </c>
      <c r="C19" s="563">
        <f aca="true" t="shared" si="3" ref="C19:K19">SUM(C6:C18)</f>
        <v>44006</v>
      </c>
      <c r="D19" s="563">
        <f t="shared" si="3"/>
        <v>48673</v>
      </c>
      <c r="E19" s="563">
        <f t="shared" si="3"/>
        <v>51367</v>
      </c>
      <c r="F19" s="563">
        <f t="shared" si="3"/>
        <v>330925</v>
      </c>
      <c r="G19" s="563">
        <f t="shared" si="3"/>
        <v>211071</v>
      </c>
      <c r="H19" s="563">
        <f t="shared" si="3"/>
        <v>74964</v>
      </c>
      <c r="I19" s="563">
        <f t="shared" si="3"/>
        <v>31188</v>
      </c>
      <c r="J19" s="563">
        <f t="shared" si="3"/>
        <v>56788</v>
      </c>
      <c r="K19" s="563">
        <f t="shared" si="3"/>
        <v>26189</v>
      </c>
      <c r="L19" s="563">
        <f>SUM(L6:L18)</f>
        <v>26188</v>
      </c>
      <c r="M19" s="563">
        <f>SUM(M6:M18)</f>
        <v>22217</v>
      </c>
      <c r="N19" s="564">
        <f>SUM(B19:M19)</f>
        <v>1263038</v>
      </c>
      <c r="O19" s="565">
        <f>'bev-int'!C43</f>
        <v>1263037.949</v>
      </c>
      <c r="P19" s="566">
        <f>SUM(N7:N18)</f>
        <v>1263038</v>
      </c>
      <c r="Q19" s="542">
        <f>'bev-int'!C43</f>
        <v>1263037.949</v>
      </c>
    </row>
    <row r="20" spans="1:16" ht="12.75">
      <c r="A20" s="549" t="s">
        <v>81</v>
      </c>
      <c r="B20" s="550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2"/>
      <c r="N20" s="553"/>
      <c r="O20" s="543"/>
      <c r="P20" s="566"/>
    </row>
    <row r="21" spans="1:17" ht="12.75">
      <c r="A21" s="554" t="str">
        <f>'kiad-int'!A8</f>
        <v>Személyi juttatások</v>
      </c>
      <c r="B21" s="555">
        <v>6463</v>
      </c>
      <c r="C21" s="555">
        <v>6463</v>
      </c>
      <c r="D21" s="555">
        <v>7349</v>
      </c>
      <c r="E21" s="555">
        <v>7348</v>
      </c>
      <c r="F21" s="555">
        <v>7348</v>
      </c>
      <c r="G21" s="555">
        <v>7848</v>
      </c>
      <c r="H21" s="555">
        <v>7500</v>
      </c>
      <c r="I21" s="555">
        <v>7500</v>
      </c>
      <c r="J21" s="555">
        <v>7501</v>
      </c>
      <c r="K21" s="555">
        <v>7501</v>
      </c>
      <c r="L21" s="555">
        <v>7501</v>
      </c>
      <c r="M21" s="555">
        <v>7501</v>
      </c>
      <c r="N21" s="556">
        <f>SUM(B21:M21)</f>
        <v>87823</v>
      </c>
      <c r="O21" s="543">
        <f>'kiad-int'!C8</f>
        <v>87822.764</v>
      </c>
      <c r="P21" s="541">
        <f aca="true" t="shared" si="4" ref="P21:P31">O21-N21</f>
        <v>-0.23600000000442378</v>
      </c>
      <c r="Q21" s="542">
        <f>'kiad-int'!C8</f>
        <v>87822.764</v>
      </c>
    </row>
    <row r="22" spans="1:17" ht="12.75">
      <c r="A22" s="554" t="str">
        <f>'kiad-int'!A9</f>
        <v>Munkaadókat terhelő járulékok</v>
      </c>
      <c r="B22" s="555">
        <v>1121</v>
      </c>
      <c r="C22" s="555">
        <v>1121</v>
      </c>
      <c r="D22" s="555">
        <v>1216</v>
      </c>
      <c r="E22" s="555">
        <v>1216</v>
      </c>
      <c r="F22" s="555">
        <v>1216</v>
      </c>
      <c r="G22" s="555">
        <v>1303</v>
      </c>
      <c r="H22" s="555">
        <v>1240</v>
      </c>
      <c r="I22" s="555">
        <v>1240</v>
      </c>
      <c r="J22" s="555">
        <v>1240</v>
      </c>
      <c r="K22" s="555">
        <v>1239</v>
      </c>
      <c r="L22" s="555">
        <v>1240</v>
      </c>
      <c r="M22" s="555">
        <v>1239</v>
      </c>
      <c r="N22" s="556">
        <f aca="true" t="shared" si="5" ref="N22:N30">SUM(B22:M22)</f>
        <v>14631</v>
      </c>
      <c r="O22" s="543">
        <f>'kiad-int'!C9</f>
        <v>14631.319</v>
      </c>
      <c r="P22" s="541">
        <f t="shared" si="4"/>
        <v>0.31899999999950523</v>
      </c>
      <c r="Q22" s="542">
        <f>'kiad-int'!C9</f>
        <v>14631.319</v>
      </c>
    </row>
    <row r="23" spans="1:17" ht="12.75">
      <c r="A23" s="554" t="str">
        <f>'kiad-int'!A15</f>
        <v>Dologi kiadások</v>
      </c>
      <c r="B23" s="555">
        <v>5587</v>
      </c>
      <c r="C23" s="555">
        <v>5587</v>
      </c>
      <c r="D23" s="555">
        <v>5587</v>
      </c>
      <c r="E23" s="555">
        <v>6000</v>
      </c>
      <c r="F23" s="555">
        <v>9395</v>
      </c>
      <c r="G23" s="555">
        <v>7830</v>
      </c>
      <c r="H23" s="555">
        <v>9210</v>
      </c>
      <c r="I23" s="555">
        <v>7000</v>
      </c>
      <c r="J23" s="555">
        <v>7000</v>
      </c>
      <c r="K23" s="555">
        <v>7500</v>
      </c>
      <c r="L23" s="555">
        <v>7500</v>
      </c>
      <c r="M23" s="555">
        <v>8675</v>
      </c>
      <c r="N23" s="556">
        <f t="shared" si="5"/>
        <v>86871</v>
      </c>
      <c r="O23" s="543">
        <f>'kiad-int'!C15</f>
        <v>89036.916</v>
      </c>
      <c r="P23" s="541">
        <f t="shared" si="4"/>
        <v>2165.9159999999974</v>
      </c>
      <c r="Q23" s="542">
        <f>'kiad-int'!C15</f>
        <v>89036.916</v>
      </c>
    </row>
    <row r="24" spans="1:17" ht="12.75">
      <c r="A24" s="554" t="str">
        <f>'kiad-int'!A16</f>
        <v>Ellátottak pénzbeli juttatásai</v>
      </c>
      <c r="B24" s="555">
        <v>980</v>
      </c>
      <c r="C24" s="555">
        <v>910</v>
      </c>
      <c r="D24" s="555">
        <v>800</v>
      </c>
      <c r="E24" s="555">
        <v>800</v>
      </c>
      <c r="F24" s="555">
        <v>800</v>
      </c>
      <c r="G24" s="555">
        <v>800</v>
      </c>
      <c r="H24" s="555">
        <v>800</v>
      </c>
      <c r="I24" s="555">
        <v>800</v>
      </c>
      <c r="J24" s="555">
        <v>980</v>
      </c>
      <c r="K24" s="555">
        <v>800</v>
      </c>
      <c r="L24" s="555">
        <v>800</v>
      </c>
      <c r="M24" s="555">
        <v>1000</v>
      </c>
      <c r="N24" s="556">
        <f t="shared" si="5"/>
        <v>10270</v>
      </c>
      <c r="O24" s="543">
        <f>'kiad-int'!C16</f>
        <v>10270</v>
      </c>
      <c r="P24" s="541">
        <f t="shared" si="4"/>
        <v>0</v>
      </c>
      <c r="Q24" s="542">
        <f>'kiad-int'!C16</f>
        <v>10270</v>
      </c>
    </row>
    <row r="25" spans="1:17" ht="12.75">
      <c r="A25" s="554" t="str">
        <f>'kiad-int'!A17</f>
        <v>Egyéb működési célú kiadások</v>
      </c>
      <c r="B25" s="555">
        <v>5000</v>
      </c>
      <c r="C25" s="555">
        <v>5054</v>
      </c>
      <c r="D25" s="555">
        <v>5055</v>
      </c>
      <c r="E25" s="555">
        <v>5054</v>
      </c>
      <c r="F25" s="555">
        <v>5055</v>
      </c>
      <c r="G25" s="555">
        <v>5055</v>
      </c>
      <c r="H25" s="555">
        <v>5054</v>
      </c>
      <c r="I25" s="555">
        <v>5055</v>
      </c>
      <c r="J25" s="555">
        <v>5055</v>
      </c>
      <c r="K25" s="555">
        <v>5055</v>
      </c>
      <c r="L25" s="555">
        <v>5054</v>
      </c>
      <c r="M25" s="555">
        <v>5055</v>
      </c>
      <c r="N25" s="556">
        <f t="shared" si="5"/>
        <v>60601</v>
      </c>
      <c r="O25" s="543">
        <f>'kiad-int'!C17</f>
        <v>58434.941</v>
      </c>
      <c r="P25" s="541">
        <f t="shared" si="4"/>
        <v>-2166.059000000001</v>
      </c>
      <c r="Q25" s="542">
        <f>'kiad-int'!C17</f>
        <v>58434.941</v>
      </c>
    </row>
    <row r="26" spans="1:17" ht="12.75">
      <c r="A26" s="554" t="str">
        <f>'kiad-int'!A19</f>
        <v>Beruházások</v>
      </c>
      <c r="B26" s="555"/>
      <c r="C26" s="557"/>
      <c r="D26" s="557"/>
      <c r="E26" s="557"/>
      <c r="F26" s="557">
        <v>5000</v>
      </c>
      <c r="G26" s="557">
        <v>100000</v>
      </c>
      <c r="H26" s="557">
        <v>70000</v>
      </c>
      <c r="I26" s="557">
        <v>28000</v>
      </c>
      <c r="J26" s="557">
        <v>76000</v>
      </c>
      <c r="K26" s="557">
        <v>12000</v>
      </c>
      <c r="L26" s="557">
        <v>3000</v>
      </c>
      <c r="M26" s="558">
        <v>5060</v>
      </c>
      <c r="N26" s="556">
        <f t="shared" si="5"/>
        <v>299060</v>
      </c>
      <c r="O26" s="543">
        <f>'kiad-int'!C19</f>
        <v>299060.24799999996</v>
      </c>
      <c r="P26" s="541">
        <f t="shared" si="4"/>
        <v>0.24799999996321276</v>
      </c>
      <c r="Q26" s="542">
        <f>'kiad-int'!C19</f>
        <v>299060.24799999996</v>
      </c>
    </row>
    <row r="27" spans="1:17" ht="12.75">
      <c r="A27" s="554" t="str">
        <f>'kiad-int'!A20</f>
        <v>Felújítások</v>
      </c>
      <c r="B27" s="555"/>
      <c r="C27" s="557"/>
      <c r="D27" s="557"/>
      <c r="E27" s="557"/>
      <c r="F27" s="557"/>
      <c r="G27" s="557">
        <v>45000</v>
      </c>
      <c r="H27" s="557">
        <v>30000</v>
      </c>
      <c r="I27" s="557">
        <v>19335</v>
      </c>
      <c r="J27" s="557">
        <v>171766</v>
      </c>
      <c r="K27" s="557">
        <v>19526</v>
      </c>
      <c r="L27" s="557"/>
      <c r="M27" s="558"/>
      <c r="N27" s="556">
        <f t="shared" si="5"/>
        <v>285627</v>
      </c>
      <c r="O27" s="543">
        <f>'kiad-int'!C20</f>
        <v>285626.78800000006</v>
      </c>
      <c r="P27" s="541">
        <f t="shared" si="4"/>
        <v>-0.21199999994132668</v>
      </c>
      <c r="Q27" s="542">
        <f>'kiad-int'!C20</f>
        <v>285626.78800000006</v>
      </c>
    </row>
    <row r="28" spans="1:17" ht="12.75">
      <c r="A28" s="554" t="str">
        <f>'kiad-int'!A21</f>
        <v>Egyéb felhalmozási célú kiadások</v>
      </c>
      <c r="B28" s="555">
        <v>90000</v>
      </c>
      <c r="C28" s="555"/>
      <c r="D28" s="555"/>
      <c r="E28" s="555"/>
      <c r="F28" s="555">
        <v>3469</v>
      </c>
      <c r="G28" s="555"/>
      <c r="H28" s="555">
        <v>1200</v>
      </c>
      <c r="I28" s="555"/>
      <c r="J28" s="555"/>
      <c r="K28" s="555"/>
      <c r="L28" s="557"/>
      <c r="M28" s="558"/>
      <c r="N28" s="556">
        <f t="shared" si="5"/>
        <v>94669</v>
      </c>
      <c r="O28" s="543">
        <f>'kiad-int'!C21</f>
        <v>94669.35399999999</v>
      </c>
      <c r="P28" s="541">
        <f t="shared" si="4"/>
        <v>0.35399999999208376</v>
      </c>
      <c r="Q28" s="542">
        <f>'kiad-int'!C21</f>
        <v>94669.35399999999</v>
      </c>
    </row>
    <row r="29" spans="1:17" ht="12.75">
      <c r="A29" s="784" t="s">
        <v>752</v>
      </c>
      <c r="B29" s="555">
        <v>6139</v>
      </c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8"/>
      <c r="N29" s="556">
        <f t="shared" si="5"/>
        <v>6139</v>
      </c>
      <c r="O29" s="543">
        <f>'kiad-int'!E26</f>
        <v>6139.184</v>
      </c>
      <c r="P29" s="541">
        <f t="shared" si="4"/>
        <v>0.18400000000019645</v>
      </c>
      <c r="Q29" s="542">
        <f>'kiad-int'!C26</f>
        <v>6139.184</v>
      </c>
    </row>
    <row r="30" spans="1:17" ht="12.75">
      <c r="A30" s="560" t="s">
        <v>624</v>
      </c>
      <c r="B30" s="559">
        <v>35000</v>
      </c>
      <c r="C30" s="561">
        <v>15001</v>
      </c>
      <c r="D30" s="561">
        <v>25000</v>
      </c>
      <c r="E30" s="561">
        <v>35000</v>
      </c>
      <c r="F30" s="561">
        <v>15000</v>
      </c>
      <c r="G30" s="561">
        <v>25000</v>
      </c>
      <c r="H30" s="559">
        <v>35000</v>
      </c>
      <c r="I30" s="559">
        <v>15000</v>
      </c>
      <c r="J30" s="559">
        <v>25000</v>
      </c>
      <c r="K30" s="559">
        <v>10000</v>
      </c>
      <c r="L30" s="559">
        <v>10000</v>
      </c>
      <c r="M30" s="567">
        <v>5004</v>
      </c>
      <c r="N30" s="556">
        <f t="shared" si="5"/>
        <v>250005</v>
      </c>
      <c r="O30" s="543"/>
      <c r="P30" s="541">
        <f t="shared" si="4"/>
        <v>-250005</v>
      </c>
      <c r="Q30" s="542">
        <f>'kiad-int'!C28</f>
        <v>250004.90000000002</v>
      </c>
    </row>
    <row r="31" spans="1:17" ht="13.5" thickBot="1">
      <c r="A31" s="560" t="str">
        <f>'kiad-int'!A27</f>
        <v>Központi, irányító szervi támogatás folyósítása</v>
      </c>
      <c r="B31" s="559">
        <v>5692</v>
      </c>
      <c r="C31" s="559">
        <v>5692</v>
      </c>
      <c r="D31" s="559">
        <v>5692</v>
      </c>
      <c r="E31" s="559">
        <v>5692</v>
      </c>
      <c r="F31" s="559">
        <v>5692</v>
      </c>
      <c r="G31" s="559">
        <v>5692</v>
      </c>
      <c r="H31" s="559">
        <v>5690</v>
      </c>
      <c r="I31" s="559">
        <v>5500</v>
      </c>
      <c r="J31" s="559">
        <v>5500</v>
      </c>
      <c r="K31" s="559">
        <v>5500</v>
      </c>
      <c r="L31" s="559">
        <v>5500</v>
      </c>
      <c r="M31" s="559">
        <v>5500</v>
      </c>
      <c r="N31" s="556">
        <f>SUM(B31:M31)</f>
        <v>67342</v>
      </c>
      <c r="O31" s="543">
        <f>'kiad-int'!E27</f>
        <v>67341.535</v>
      </c>
      <c r="P31" s="541">
        <f t="shared" si="4"/>
        <v>-0.46499999999650754</v>
      </c>
      <c r="Q31" s="542">
        <f>'kiad-int'!C27</f>
        <v>67341.535</v>
      </c>
    </row>
    <row r="32" spans="1:17" ht="13.5" thickBot="1">
      <c r="A32" s="568" t="s">
        <v>54</v>
      </c>
      <c r="B32" s="569">
        <f>SUM(B21:B31)</f>
        <v>155982</v>
      </c>
      <c r="C32" s="570">
        <f aca="true" t="shared" si="6" ref="C32:M32">SUM(C21:C31)</f>
        <v>39828</v>
      </c>
      <c r="D32" s="570">
        <f t="shared" si="6"/>
        <v>50699</v>
      </c>
      <c r="E32" s="570">
        <f t="shared" si="6"/>
        <v>61110</v>
      </c>
      <c r="F32" s="570">
        <f t="shared" si="6"/>
        <v>52975</v>
      </c>
      <c r="G32" s="570">
        <f>SUM(G21:G31)</f>
        <v>198528</v>
      </c>
      <c r="H32" s="570">
        <f>SUM(H21:H31)</f>
        <v>165694</v>
      </c>
      <c r="I32" s="570">
        <f t="shared" si="6"/>
        <v>89430</v>
      </c>
      <c r="J32" s="570">
        <f t="shared" si="6"/>
        <v>300042</v>
      </c>
      <c r="K32" s="570">
        <f t="shared" si="6"/>
        <v>69121</v>
      </c>
      <c r="L32" s="570">
        <f t="shared" si="6"/>
        <v>40595</v>
      </c>
      <c r="M32" s="571">
        <f t="shared" si="6"/>
        <v>39034</v>
      </c>
      <c r="N32" s="572">
        <f aca="true" t="shared" si="7" ref="N32">SUM(B32:M32)</f>
        <v>1263038</v>
      </c>
      <c r="O32" s="565">
        <f>'kiad-int'!C33</f>
        <v>1263037.949</v>
      </c>
      <c r="P32" s="566">
        <f>SUM(N21:N31)</f>
        <v>1263038</v>
      </c>
      <c r="Q32" s="542">
        <f>'kiad-int'!C33</f>
        <v>1263037.949</v>
      </c>
    </row>
    <row r="33" spans="1:16" ht="13.5" thickBot="1">
      <c r="A33" s="573" t="s">
        <v>216</v>
      </c>
      <c r="B33" s="574">
        <f aca="true" t="shared" si="8" ref="B33:M33">B19-B32</f>
        <v>183480</v>
      </c>
      <c r="C33" s="574">
        <f t="shared" si="8"/>
        <v>4178</v>
      </c>
      <c r="D33" s="574">
        <f t="shared" si="8"/>
        <v>-2026</v>
      </c>
      <c r="E33" s="574">
        <f t="shared" si="8"/>
        <v>-9743</v>
      </c>
      <c r="F33" s="574">
        <f t="shared" si="8"/>
        <v>277950</v>
      </c>
      <c r="G33" s="574">
        <f t="shared" si="8"/>
        <v>12543</v>
      </c>
      <c r="H33" s="574">
        <f t="shared" si="8"/>
        <v>-90730</v>
      </c>
      <c r="I33" s="574">
        <f t="shared" si="8"/>
        <v>-58242</v>
      </c>
      <c r="J33" s="574">
        <f t="shared" si="8"/>
        <v>-243254</v>
      </c>
      <c r="K33" s="574">
        <f t="shared" si="8"/>
        <v>-42932</v>
      </c>
      <c r="L33" s="574">
        <f t="shared" si="8"/>
        <v>-14407</v>
      </c>
      <c r="M33" s="574">
        <f t="shared" si="8"/>
        <v>-16817</v>
      </c>
      <c r="N33" s="575">
        <f>SUM(B33:M33)</f>
        <v>0</v>
      </c>
      <c r="O33" s="543"/>
      <c r="P33" s="566"/>
    </row>
    <row r="34" spans="15:16" ht="12.75">
      <c r="O34" s="543"/>
      <c r="P34" s="566"/>
    </row>
    <row r="35" spans="15:16" ht="12.75">
      <c r="O35" s="543"/>
      <c r="P35" s="566"/>
    </row>
  </sheetData>
  <mergeCells count="1">
    <mergeCell ref="A3:N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workbookViewId="0" topLeftCell="A35">
      <selection activeCell="F198" sqref="F198"/>
    </sheetView>
  </sheetViews>
  <sheetFormatPr defaultColWidth="9.00390625" defaultRowHeight="12.75"/>
  <cols>
    <col min="1" max="1" width="5.75390625" style="338" customWidth="1"/>
    <col min="2" max="2" width="11.75390625" style="16" customWidth="1"/>
    <col min="3" max="3" width="109.00390625" style="71" customWidth="1"/>
    <col min="4" max="4" width="10.25390625" style="16" customWidth="1"/>
    <col min="5" max="5" width="10.875" style="16" bestFit="1" customWidth="1"/>
    <col min="6" max="6" width="9.875" style="149" bestFit="1" customWidth="1"/>
    <col min="7" max="7" width="14.375" style="16" bestFit="1" customWidth="1"/>
    <col min="8" max="8" width="10.875" style="16" bestFit="1" customWidth="1"/>
    <col min="9" max="9" width="9.875" style="16" bestFit="1" customWidth="1"/>
    <col min="10" max="16384" width="9.125" style="16" customWidth="1"/>
  </cols>
  <sheetData>
    <row r="1" spans="1:2" ht="12.75">
      <c r="A1" s="825" t="s">
        <v>118</v>
      </c>
      <c r="B1" s="41" t="str">
        <f>'bev-int'!B1</f>
        <v>melléklet a 12/2020.(IX.17.) önkormányzati rendelethez</v>
      </c>
    </row>
    <row r="2" spans="1:2" ht="12.75">
      <c r="A2" s="733"/>
      <c r="B2" s="41"/>
    </row>
    <row r="3" spans="1:6" s="154" customFormat="1" ht="15.75">
      <c r="A3" s="1149" t="s">
        <v>802</v>
      </c>
      <c r="B3" s="1149"/>
      <c r="C3" s="1149"/>
      <c r="D3" s="1149"/>
      <c r="E3" s="1149"/>
      <c r="F3" s="623"/>
    </row>
    <row r="4" spans="1:6" s="154" customFormat="1" ht="17.25" customHeight="1">
      <c r="A4" s="734"/>
      <c r="C4" s="624"/>
      <c r="F4" s="623"/>
    </row>
    <row r="5" spans="1:7" s="157" customFormat="1" ht="25.5">
      <c r="A5" s="735" t="s">
        <v>327</v>
      </c>
      <c r="B5" s="156" t="s">
        <v>328</v>
      </c>
      <c r="C5" s="625" t="s">
        <v>329</v>
      </c>
      <c r="D5" s="625" t="s">
        <v>330</v>
      </c>
      <c r="E5" s="625" t="s">
        <v>331</v>
      </c>
      <c r="F5" s="625" t="s">
        <v>332</v>
      </c>
      <c r="G5" s="625" t="s">
        <v>333</v>
      </c>
    </row>
    <row r="6" spans="1:7" s="157" customFormat="1" ht="38.25">
      <c r="A6" s="668" t="s">
        <v>315</v>
      </c>
      <c r="B6" s="626" t="s">
        <v>334</v>
      </c>
      <c r="C6" s="626" t="s">
        <v>335</v>
      </c>
      <c r="D6" s="627" t="s">
        <v>646</v>
      </c>
      <c r="E6" s="628"/>
      <c r="F6" s="719"/>
      <c r="G6" s="628">
        <v>0</v>
      </c>
    </row>
    <row r="7" spans="1:7" s="157" customFormat="1" ht="12.75">
      <c r="A7" s="668" t="s">
        <v>82</v>
      </c>
      <c r="B7" s="155" t="s">
        <v>647</v>
      </c>
      <c r="C7" s="155" t="s">
        <v>648</v>
      </c>
      <c r="D7" s="629" t="s">
        <v>336</v>
      </c>
      <c r="E7" s="159">
        <v>5450000</v>
      </c>
      <c r="F7" s="665"/>
      <c r="G7" s="159">
        <v>0</v>
      </c>
    </row>
    <row r="8" spans="1:7" s="157" customFormat="1" ht="12.75">
      <c r="A8" s="668" t="s">
        <v>316</v>
      </c>
      <c r="B8" s="155" t="s">
        <v>649</v>
      </c>
      <c r="C8" s="155" t="s">
        <v>650</v>
      </c>
      <c r="D8" s="629"/>
      <c r="E8" s="159"/>
      <c r="F8" s="159"/>
      <c r="G8" s="159"/>
    </row>
    <row r="9" spans="1:7" s="157" customFormat="1" ht="12.75">
      <c r="A9" s="668" t="s">
        <v>83</v>
      </c>
      <c r="B9" s="630" t="s">
        <v>651</v>
      </c>
      <c r="C9" s="630" t="s">
        <v>558</v>
      </c>
      <c r="D9" s="631" t="s">
        <v>336</v>
      </c>
      <c r="E9" s="632" t="s">
        <v>337</v>
      </c>
      <c r="F9" s="632" t="s">
        <v>337</v>
      </c>
      <c r="G9" s="632">
        <f>SUM(G10:G18)</f>
        <v>11581790</v>
      </c>
    </row>
    <row r="10" spans="1:7" s="157" customFormat="1" ht="12.75">
      <c r="A10" s="668" t="s">
        <v>84</v>
      </c>
      <c r="B10" s="155" t="s">
        <v>338</v>
      </c>
      <c r="C10" s="155" t="s">
        <v>339</v>
      </c>
      <c r="D10" s="629" t="s">
        <v>340</v>
      </c>
      <c r="E10" s="159">
        <v>25200</v>
      </c>
      <c r="F10" s="159" t="s">
        <v>337</v>
      </c>
      <c r="G10" s="159"/>
    </row>
    <row r="11" spans="1:7" s="157" customFormat="1" ht="12.75">
      <c r="A11" s="668" t="s">
        <v>85</v>
      </c>
      <c r="B11" s="155" t="s">
        <v>341</v>
      </c>
      <c r="C11" s="155" t="s">
        <v>342</v>
      </c>
      <c r="D11" s="629" t="s">
        <v>343</v>
      </c>
      <c r="E11" s="159" t="s">
        <v>337</v>
      </c>
      <c r="F11" s="159" t="s">
        <v>337</v>
      </c>
      <c r="G11" s="159"/>
    </row>
    <row r="12" spans="1:7" s="157" customFormat="1" ht="12.75">
      <c r="A12" s="668" t="s">
        <v>86</v>
      </c>
      <c r="B12" s="155" t="s">
        <v>344</v>
      </c>
      <c r="C12" s="155" t="s">
        <v>345</v>
      </c>
      <c r="D12" s="629" t="s">
        <v>346</v>
      </c>
      <c r="E12" s="159" t="s">
        <v>337</v>
      </c>
      <c r="F12" s="159" t="s">
        <v>337</v>
      </c>
      <c r="G12" s="159"/>
    </row>
    <row r="13" spans="1:7" s="157" customFormat="1" ht="12.75">
      <c r="A13" s="668" t="s">
        <v>304</v>
      </c>
      <c r="B13" s="155" t="s">
        <v>347</v>
      </c>
      <c r="C13" s="155" t="s">
        <v>348</v>
      </c>
      <c r="D13" s="629" t="s">
        <v>343</v>
      </c>
      <c r="E13" s="159" t="s">
        <v>337</v>
      </c>
      <c r="F13" s="159" t="s">
        <v>337</v>
      </c>
      <c r="G13" s="159"/>
    </row>
    <row r="14" spans="1:7" s="157" customFormat="1" ht="12.75">
      <c r="A14" s="668" t="s">
        <v>87</v>
      </c>
      <c r="B14" s="155" t="s">
        <v>652</v>
      </c>
      <c r="C14" s="155" t="s">
        <v>653</v>
      </c>
      <c r="D14" s="629" t="s">
        <v>336</v>
      </c>
      <c r="E14" s="159" t="s">
        <v>337</v>
      </c>
      <c r="F14" s="159" t="s">
        <v>337</v>
      </c>
      <c r="G14" s="159">
        <v>0</v>
      </c>
    </row>
    <row r="15" spans="1:7" s="157" customFormat="1" ht="12.75">
      <c r="A15" s="668" t="s">
        <v>305</v>
      </c>
      <c r="B15" s="155" t="s">
        <v>654</v>
      </c>
      <c r="C15" s="155" t="s">
        <v>655</v>
      </c>
      <c r="D15" s="629" t="s">
        <v>336</v>
      </c>
      <c r="E15" s="159"/>
      <c r="F15" s="159" t="s">
        <v>337</v>
      </c>
      <c r="G15" s="159">
        <v>4289040</v>
      </c>
    </row>
    <row r="16" spans="1:7" s="157" customFormat="1" ht="12.75">
      <c r="A16" s="668" t="s">
        <v>88</v>
      </c>
      <c r="B16" s="155" t="s">
        <v>656</v>
      </c>
      <c r="C16" s="155" t="s">
        <v>657</v>
      </c>
      <c r="D16" s="629" t="s">
        <v>336</v>
      </c>
      <c r="E16" s="159" t="s">
        <v>337</v>
      </c>
      <c r="F16" s="159" t="s">
        <v>337</v>
      </c>
      <c r="G16" s="159">
        <v>4512000</v>
      </c>
    </row>
    <row r="17" spans="1:7" s="157" customFormat="1" ht="12.75">
      <c r="A17" s="668" t="s">
        <v>89</v>
      </c>
      <c r="B17" s="155" t="s">
        <v>658</v>
      </c>
      <c r="C17" s="155" t="s">
        <v>659</v>
      </c>
      <c r="D17" s="629" t="s">
        <v>336</v>
      </c>
      <c r="E17" s="159" t="s">
        <v>337</v>
      </c>
      <c r="F17" s="159" t="s">
        <v>337</v>
      </c>
      <c r="G17" s="159">
        <v>0</v>
      </c>
    </row>
    <row r="18" spans="1:7" s="157" customFormat="1" ht="12.75">
      <c r="A18" s="668" t="s">
        <v>90</v>
      </c>
      <c r="B18" s="155" t="s">
        <v>660</v>
      </c>
      <c r="C18" s="155" t="s">
        <v>661</v>
      </c>
      <c r="D18" s="629" t="s">
        <v>336</v>
      </c>
      <c r="E18" s="159" t="s">
        <v>337</v>
      </c>
      <c r="F18" s="159" t="s">
        <v>337</v>
      </c>
      <c r="G18" s="159">
        <v>2780750</v>
      </c>
    </row>
    <row r="19" spans="1:7" s="157" customFormat="1" ht="12.75">
      <c r="A19" s="668" t="s">
        <v>306</v>
      </c>
      <c r="B19" s="630" t="s">
        <v>349</v>
      </c>
      <c r="C19" s="630" t="s">
        <v>224</v>
      </c>
      <c r="D19" s="631" t="s">
        <v>350</v>
      </c>
      <c r="E19" s="632">
        <v>2700</v>
      </c>
      <c r="F19" s="632" t="s">
        <v>337</v>
      </c>
      <c r="G19" s="632">
        <v>7000000</v>
      </c>
    </row>
    <row r="20" spans="1:7" s="157" customFormat="1" ht="12.75">
      <c r="A20" s="668" t="s">
        <v>317</v>
      </c>
      <c r="B20" s="155" t="s">
        <v>662</v>
      </c>
      <c r="C20" s="155" t="s">
        <v>663</v>
      </c>
      <c r="D20" s="629" t="s">
        <v>336</v>
      </c>
      <c r="E20" s="159"/>
      <c r="F20" s="159" t="s">
        <v>337</v>
      </c>
      <c r="G20" s="159">
        <v>7000000</v>
      </c>
    </row>
    <row r="21" spans="1:7" s="157" customFormat="1" ht="25.5">
      <c r="A21" s="668" t="s">
        <v>307</v>
      </c>
      <c r="B21" s="626" t="s">
        <v>351</v>
      </c>
      <c r="C21" s="626" t="s">
        <v>352</v>
      </c>
      <c r="D21" s="627" t="s">
        <v>353</v>
      </c>
      <c r="E21" s="628">
        <v>2550</v>
      </c>
      <c r="F21" s="628" t="s">
        <v>337</v>
      </c>
      <c r="G21" s="628">
        <v>308550</v>
      </c>
    </row>
    <row r="22" spans="1:7" s="157" customFormat="1" ht="12.75">
      <c r="A22" s="668" t="s">
        <v>117</v>
      </c>
      <c r="B22" s="155" t="s">
        <v>664</v>
      </c>
      <c r="C22" s="155" t="s">
        <v>665</v>
      </c>
      <c r="D22" s="629" t="s">
        <v>336</v>
      </c>
      <c r="E22" s="159"/>
      <c r="F22" s="159" t="s">
        <v>337</v>
      </c>
      <c r="G22" s="159">
        <v>0</v>
      </c>
    </row>
    <row r="23" spans="1:7" s="157" customFormat="1" ht="38.25">
      <c r="A23" s="668" t="s">
        <v>118</v>
      </c>
      <c r="B23" s="630" t="s">
        <v>354</v>
      </c>
      <c r="C23" s="630" t="s">
        <v>225</v>
      </c>
      <c r="D23" s="631" t="s">
        <v>666</v>
      </c>
      <c r="E23" s="632">
        <v>1</v>
      </c>
      <c r="F23" s="632" t="s">
        <v>337</v>
      </c>
      <c r="G23" s="632"/>
    </row>
    <row r="24" spans="1:7" s="157" customFormat="1" ht="12.75">
      <c r="A24" s="668" t="s">
        <v>119</v>
      </c>
      <c r="B24" s="155" t="s">
        <v>667</v>
      </c>
      <c r="C24" s="155" t="s">
        <v>668</v>
      </c>
      <c r="D24" s="629" t="s">
        <v>336</v>
      </c>
      <c r="E24" s="159"/>
      <c r="F24" s="159" t="s">
        <v>337</v>
      </c>
      <c r="G24" s="159">
        <v>0</v>
      </c>
    </row>
    <row r="25" spans="1:7" s="157" customFormat="1" ht="12.75">
      <c r="A25" s="668" t="s">
        <v>318</v>
      </c>
      <c r="B25" s="633" t="s">
        <v>355</v>
      </c>
      <c r="C25" s="633" t="s">
        <v>226</v>
      </c>
      <c r="D25" s="634" t="s">
        <v>336</v>
      </c>
      <c r="E25" s="635" t="s">
        <v>337</v>
      </c>
      <c r="F25" s="635" t="s">
        <v>337</v>
      </c>
      <c r="G25" s="635"/>
    </row>
    <row r="26" spans="1:7" s="672" customFormat="1" ht="12.75">
      <c r="A26" s="668"/>
      <c r="B26" s="669"/>
      <c r="C26" s="669"/>
      <c r="D26" s="670"/>
      <c r="E26" s="671"/>
      <c r="F26" s="671"/>
      <c r="G26" s="671"/>
    </row>
    <row r="27" spans="1:7" s="672" customFormat="1" ht="12.75">
      <c r="A27" s="668"/>
      <c r="B27" s="630"/>
      <c r="C27" s="630" t="s">
        <v>767</v>
      </c>
      <c r="D27" s="631"/>
      <c r="E27" s="632"/>
      <c r="F27" s="632"/>
      <c r="G27" s="632"/>
    </row>
    <row r="28" spans="1:7" s="672" customFormat="1" ht="12.75">
      <c r="A28" s="668"/>
      <c r="B28" s="731"/>
      <c r="C28" s="731"/>
      <c r="D28" s="984"/>
      <c r="E28" s="369"/>
      <c r="F28" s="369"/>
      <c r="G28" s="369"/>
    </row>
    <row r="29" spans="1:7" s="672" customFormat="1" ht="12.75">
      <c r="A29" s="668"/>
      <c r="B29" s="669" t="s">
        <v>804</v>
      </c>
      <c r="C29" s="668" t="s">
        <v>805</v>
      </c>
      <c r="D29" s="670"/>
      <c r="E29" s="671"/>
      <c r="F29" s="671"/>
      <c r="G29" s="671">
        <v>142200</v>
      </c>
    </row>
    <row r="30" spans="1:7" s="157" customFormat="1" ht="12.75">
      <c r="A30" s="668" t="s">
        <v>319</v>
      </c>
      <c r="B30" s="161" t="s">
        <v>356</v>
      </c>
      <c r="C30" s="161" t="s">
        <v>357</v>
      </c>
      <c r="D30" s="636" t="s">
        <v>336</v>
      </c>
      <c r="E30" s="162" t="s">
        <v>337</v>
      </c>
      <c r="F30" s="162" t="s">
        <v>337</v>
      </c>
      <c r="G30" s="162">
        <f>G6+G9+G19+G21+G23-G25+G29+G27+G28</f>
        <v>19032540</v>
      </c>
    </row>
    <row r="31" spans="1:7" s="157" customFormat="1" ht="12.75">
      <c r="A31" s="668" t="s">
        <v>320</v>
      </c>
      <c r="B31" s="155"/>
      <c r="C31" s="155"/>
      <c r="D31" s="629"/>
      <c r="E31" s="159"/>
      <c r="F31" s="159"/>
      <c r="G31" s="159"/>
    </row>
    <row r="32" spans="1:7" s="157" customFormat="1" ht="12.75">
      <c r="A32" s="668" t="s">
        <v>321</v>
      </c>
      <c r="B32" s="630" t="s">
        <v>358</v>
      </c>
      <c r="C32" s="630"/>
      <c r="D32" s="637"/>
      <c r="E32" s="638"/>
      <c r="F32" s="638"/>
      <c r="G32" s="632">
        <f>SUM(G34:G44)</f>
        <v>38889050</v>
      </c>
    </row>
    <row r="33" spans="1:7" s="157" customFormat="1" ht="12.75">
      <c r="A33" s="668" t="s">
        <v>322</v>
      </c>
      <c r="B33" s="155"/>
      <c r="C33" s="155"/>
      <c r="D33" s="629"/>
      <c r="E33" s="159"/>
      <c r="F33" s="159"/>
      <c r="G33" s="159"/>
    </row>
    <row r="34" spans="1:9" s="157" customFormat="1" ht="12.75">
      <c r="A34" s="668" t="s">
        <v>323</v>
      </c>
      <c r="B34" s="155" t="s">
        <v>861</v>
      </c>
      <c r="C34" s="155" t="s">
        <v>359</v>
      </c>
      <c r="D34" s="629" t="s">
        <v>350</v>
      </c>
      <c r="E34" s="159">
        <v>4371500</v>
      </c>
      <c r="F34" s="673">
        <v>6.7</v>
      </c>
      <c r="G34" s="159">
        <f>E34*F34</f>
        <v>29289050</v>
      </c>
      <c r="I34" s="737"/>
    </row>
    <row r="35" spans="1:9" s="157" customFormat="1" ht="12.75">
      <c r="A35" s="668" t="s">
        <v>538</v>
      </c>
      <c r="B35" s="155" t="s">
        <v>862</v>
      </c>
      <c r="C35" s="155" t="s">
        <v>360</v>
      </c>
      <c r="D35" s="629" t="s">
        <v>350</v>
      </c>
      <c r="E35" s="159">
        <v>2400000</v>
      </c>
      <c r="F35" s="673">
        <v>4</v>
      </c>
      <c r="G35" s="159">
        <v>9600000</v>
      </c>
      <c r="I35" s="737"/>
    </row>
    <row r="36" spans="1:9" s="157" customFormat="1" ht="12.75" hidden="1">
      <c r="A36" s="668" t="s">
        <v>539</v>
      </c>
      <c r="B36" s="155" t="s">
        <v>361</v>
      </c>
      <c r="C36" s="155" t="s">
        <v>362</v>
      </c>
      <c r="D36" s="629" t="s">
        <v>350</v>
      </c>
      <c r="E36" s="159">
        <v>4371500</v>
      </c>
      <c r="F36" s="673"/>
      <c r="G36" s="159"/>
      <c r="I36" s="737"/>
    </row>
    <row r="37" spans="1:9" s="157" customFormat="1" ht="12.75" hidden="1">
      <c r="A37" s="668"/>
      <c r="B37" s="155"/>
      <c r="C37" s="155"/>
      <c r="D37" s="629"/>
      <c r="E37" s="159"/>
      <c r="F37" s="673"/>
      <c r="G37" s="159"/>
      <c r="I37" s="737"/>
    </row>
    <row r="38" spans="1:9" s="157" customFormat="1" ht="12.75" hidden="1">
      <c r="A38" s="668"/>
      <c r="B38" s="155" t="s">
        <v>363</v>
      </c>
      <c r="C38" s="155" t="s">
        <v>359</v>
      </c>
      <c r="D38" s="629" t="s">
        <v>350</v>
      </c>
      <c r="E38" s="159"/>
      <c r="F38" s="673"/>
      <c r="G38" s="159"/>
      <c r="I38" s="737"/>
    </row>
    <row r="39" spans="1:9" s="157" customFormat="1" ht="12.75" hidden="1">
      <c r="A39" s="668"/>
      <c r="B39" s="155" t="s">
        <v>364</v>
      </c>
      <c r="C39" s="155" t="s">
        <v>360</v>
      </c>
      <c r="D39" s="629" t="s">
        <v>350</v>
      </c>
      <c r="E39" s="159"/>
      <c r="F39" s="673"/>
      <c r="G39" s="159"/>
      <c r="I39" s="737"/>
    </row>
    <row r="40" spans="1:9" s="157" customFormat="1" ht="12.75" hidden="1">
      <c r="A40" s="668"/>
      <c r="B40" s="155" t="s">
        <v>365</v>
      </c>
      <c r="C40" s="155" t="s">
        <v>362</v>
      </c>
      <c r="D40" s="629" t="s">
        <v>350</v>
      </c>
      <c r="E40" s="159"/>
      <c r="F40" s="673"/>
      <c r="G40" s="159"/>
      <c r="I40" s="737"/>
    </row>
    <row r="41" spans="1:9" s="157" customFormat="1" ht="12.75" hidden="1">
      <c r="A41" s="668"/>
      <c r="B41" s="155"/>
      <c r="C41" s="155"/>
      <c r="D41" s="629"/>
      <c r="E41" s="159"/>
      <c r="F41" s="673"/>
      <c r="G41" s="159"/>
      <c r="I41" s="737"/>
    </row>
    <row r="42" spans="1:9" s="157" customFormat="1" ht="12.75" hidden="1">
      <c r="A42" s="668" t="s">
        <v>540</v>
      </c>
      <c r="B42" s="155" t="s">
        <v>366</v>
      </c>
      <c r="C42" s="155" t="s">
        <v>359</v>
      </c>
      <c r="D42" s="629" t="s">
        <v>350</v>
      </c>
      <c r="E42" s="159">
        <v>4371500</v>
      </c>
      <c r="F42" s="673"/>
      <c r="G42" s="159"/>
      <c r="I42" s="737"/>
    </row>
    <row r="43" spans="1:7" s="157" customFormat="1" ht="12.75" hidden="1">
      <c r="A43" s="668" t="s">
        <v>622</v>
      </c>
      <c r="B43" s="155" t="s">
        <v>367</v>
      </c>
      <c r="C43" s="155" t="s">
        <v>360</v>
      </c>
      <c r="D43" s="629" t="s">
        <v>350</v>
      </c>
      <c r="E43" s="159">
        <v>2400000</v>
      </c>
      <c r="F43" s="673"/>
      <c r="G43" s="159"/>
    </row>
    <row r="44" spans="1:7" s="157" customFormat="1" ht="12.75" hidden="1">
      <c r="A44" s="668" t="s">
        <v>541</v>
      </c>
      <c r="B44" s="155" t="s">
        <v>368</v>
      </c>
      <c r="C44" s="155" t="s">
        <v>362</v>
      </c>
      <c r="D44" s="629" t="s">
        <v>350</v>
      </c>
      <c r="E44" s="159">
        <v>4371500</v>
      </c>
      <c r="F44" s="673"/>
      <c r="G44" s="159">
        <f aca="true" t="shared" si="0" ref="G44">E44*F44/12*4</f>
        <v>0</v>
      </c>
    </row>
    <row r="45" spans="1:7" s="157" customFormat="1" ht="12.75" hidden="1">
      <c r="A45" s="668"/>
      <c r="B45" s="155"/>
      <c r="C45" s="155"/>
      <c r="D45" s="629"/>
      <c r="E45" s="159"/>
      <c r="F45" s="159"/>
      <c r="G45" s="159"/>
    </row>
    <row r="46" spans="1:7" s="157" customFormat="1" ht="12.75" hidden="1">
      <c r="A46" s="668"/>
      <c r="B46" s="155" t="s">
        <v>369</v>
      </c>
      <c r="C46" s="155" t="s">
        <v>359</v>
      </c>
      <c r="D46" s="629" t="s">
        <v>350</v>
      </c>
      <c r="E46" s="159">
        <v>2209500</v>
      </c>
      <c r="F46" s="159">
        <v>0</v>
      </c>
      <c r="G46" s="159">
        <v>0</v>
      </c>
    </row>
    <row r="47" spans="1:7" s="157" customFormat="1" ht="12.75" hidden="1">
      <c r="A47" s="668"/>
      <c r="B47" s="155" t="s">
        <v>370</v>
      </c>
      <c r="C47" s="155" t="s">
        <v>360</v>
      </c>
      <c r="D47" s="629" t="s">
        <v>350</v>
      </c>
      <c r="E47" s="159">
        <v>1102500</v>
      </c>
      <c r="F47" s="159">
        <v>0</v>
      </c>
      <c r="G47" s="159">
        <v>0</v>
      </c>
    </row>
    <row r="48" spans="1:7" s="157" customFormat="1" ht="12.75" hidden="1">
      <c r="A48" s="668"/>
      <c r="B48" s="155" t="s">
        <v>371</v>
      </c>
      <c r="C48" s="155" t="s">
        <v>362</v>
      </c>
      <c r="D48" s="629" t="s">
        <v>350</v>
      </c>
      <c r="E48" s="159">
        <v>2209500</v>
      </c>
      <c r="F48" s="159">
        <v>0</v>
      </c>
      <c r="G48" s="159">
        <v>0</v>
      </c>
    </row>
    <row r="49" spans="1:7" s="157" customFormat="1" ht="6.75" customHeight="1">
      <c r="A49" s="668"/>
      <c r="B49" s="155"/>
      <c r="C49" s="155"/>
      <c r="D49" s="629"/>
      <c r="E49" s="159"/>
      <c r="F49" s="159"/>
      <c r="G49" s="159"/>
    </row>
    <row r="50" spans="1:7" s="157" customFormat="1" ht="12.75">
      <c r="A50" s="668" t="s">
        <v>626</v>
      </c>
      <c r="B50" s="630" t="s">
        <v>372</v>
      </c>
      <c r="C50" s="639"/>
      <c r="D50" s="637"/>
      <c r="E50" s="638"/>
      <c r="F50" s="638"/>
      <c r="G50" s="632">
        <f>SUM(G51:G52)</f>
        <v>6749820</v>
      </c>
    </row>
    <row r="51" spans="1:7" s="157" customFormat="1" ht="12.75">
      <c r="A51" s="668" t="s">
        <v>627</v>
      </c>
      <c r="B51" s="155" t="s">
        <v>863</v>
      </c>
      <c r="C51" s="155" t="s">
        <v>373</v>
      </c>
      <c r="D51" s="629" t="s">
        <v>350</v>
      </c>
      <c r="E51" s="159">
        <v>97400</v>
      </c>
      <c r="F51" s="673">
        <v>69.3</v>
      </c>
      <c r="G51" s="159">
        <f>E51*F51</f>
        <v>6749820</v>
      </c>
    </row>
    <row r="52" spans="1:7" s="157" customFormat="1" ht="12.75" hidden="1">
      <c r="A52" s="668" t="s">
        <v>630</v>
      </c>
      <c r="B52" s="155" t="s">
        <v>374</v>
      </c>
      <c r="C52" s="155" t="s">
        <v>373</v>
      </c>
      <c r="D52" s="629" t="s">
        <v>350</v>
      </c>
      <c r="E52" s="159">
        <v>97400</v>
      </c>
      <c r="F52" s="159"/>
      <c r="G52" s="159"/>
    </row>
    <row r="53" spans="1:7" s="157" customFormat="1" ht="12.75" hidden="1">
      <c r="A53" s="668"/>
      <c r="B53" s="155"/>
      <c r="C53" s="155"/>
      <c r="D53" s="629"/>
      <c r="E53" s="159"/>
      <c r="F53" s="159"/>
      <c r="G53" s="159"/>
    </row>
    <row r="54" spans="1:7" s="157" customFormat="1" ht="12.75" hidden="1">
      <c r="A54" s="668"/>
      <c r="B54" s="155" t="s">
        <v>375</v>
      </c>
      <c r="C54" s="155" t="s">
        <v>376</v>
      </c>
      <c r="D54" s="629" t="s">
        <v>350</v>
      </c>
      <c r="E54" s="159">
        <v>189000</v>
      </c>
      <c r="F54" s="159">
        <v>0</v>
      </c>
      <c r="G54" s="159">
        <v>0</v>
      </c>
    </row>
    <row r="55" spans="1:7" s="157" customFormat="1" ht="12.75" hidden="1">
      <c r="A55" s="668"/>
      <c r="B55" s="155" t="s">
        <v>377</v>
      </c>
      <c r="C55" s="155" t="s">
        <v>378</v>
      </c>
      <c r="D55" s="629" t="s">
        <v>350</v>
      </c>
      <c r="E55" s="159">
        <v>189000</v>
      </c>
      <c r="F55" s="159">
        <v>0</v>
      </c>
      <c r="G55" s="159">
        <v>0</v>
      </c>
    </row>
    <row r="56" spans="1:7" s="157" customFormat="1" ht="7.5" customHeight="1">
      <c r="A56" s="668"/>
      <c r="B56" s="155"/>
      <c r="C56" s="155"/>
      <c r="D56" s="629"/>
      <c r="E56" s="159"/>
      <c r="F56" s="159"/>
      <c r="G56" s="159"/>
    </row>
    <row r="57" spans="1:7" s="157" customFormat="1" ht="12.75">
      <c r="A57" s="668" t="s">
        <v>631</v>
      </c>
      <c r="B57" s="630" t="s">
        <v>379</v>
      </c>
      <c r="C57" s="639"/>
      <c r="D57" s="637"/>
      <c r="E57" s="638"/>
      <c r="F57" s="638"/>
      <c r="G57" s="632">
        <f>SUM(G59:H68)</f>
        <v>317360</v>
      </c>
    </row>
    <row r="58" spans="1:7" s="157" customFormat="1" ht="12.75" hidden="1">
      <c r="A58" s="668"/>
      <c r="B58" s="155"/>
      <c r="C58" s="155"/>
      <c r="D58" s="629"/>
      <c r="E58" s="159"/>
      <c r="F58" s="159"/>
      <c r="G58" s="159"/>
    </row>
    <row r="59" spans="1:7" s="157" customFormat="1" ht="12.75">
      <c r="A59" s="668" t="s">
        <v>632</v>
      </c>
      <c r="B59" s="155" t="s">
        <v>380</v>
      </c>
      <c r="C59" s="155" t="s">
        <v>669</v>
      </c>
      <c r="D59" s="629" t="s">
        <v>350</v>
      </c>
      <c r="E59" s="159">
        <v>396700</v>
      </c>
      <c r="F59" s="673">
        <v>0.8</v>
      </c>
      <c r="G59" s="159">
        <f>E59*F59</f>
        <v>317360</v>
      </c>
    </row>
    <row r="60" spans="1:7" s="157" customFormat="1" ht="12.75" hidden="1">
      <c r="A60" s="668"/>
      <c r="B60" s="155" t="s">
        <v>381</v>
      </c>
      <c r="C60" s="155" t="s">
        <v>670</v>
      </c>
      <c r="D60" s="629" t="s">
        <v>350</v>
      </c>
      <c r="E60" s="159"/>
      <c r="F60" s="159"/>
      <c r="G60" s="159"/>
    </row>
    <row r="61" spans="1:7" s="157" customFormat="1" ht="12.75" hidden="1">
      <c r="A61" s="668"/>
      <c r="B61" s="155" t="s">
        <v>382</v>
      </c>
      <c r="C61" s="155" t="s">
        <v>671</v>
      </c>
      <c r="D61" s="629" t="s">
        <v>350</v>
      </c>
      <c r="E61" s="159"/>
      <c r="F61" s="159"/>
      <c r="G61" s="159"/>
    </row>
    <row r="62" spans="1:7" s="157" customFormat="1" ht="12.75" hidden="1">
      <c r="A62" s="668"/>
      <c r="B62" s="155" t="s">
        <v>383</v>
      </c>
      <c r="C62" s="155" t="s">
        <v>672</v>
      </c>
      <c r="D62" s="629" t="s">
        <v>350</v>
      </c>
      <c r="E62" s="159"/>
      <c r="F62" s="159"/>
      <c r="G62" s="159"/>
    </row>
    <row r="63" spans="1:7" s="157" customFormat="1" ht="12.75" hidden="1">
      <c r="A63" s="668"/>
      <c r="B63" s="155" t="s">
        <v>384</v>
      </c>
      <c r="C63" s="155" t="s">
        <v>673</v>
      </c>
      <c r="D63" s="629" t="s">
        <v>350</v>
      </c>
      <c r="E63" s="159"/>
      <c r="F63" s="159"/>
      <c r="G63" s="159"/>
    </row>
    <row r="64" spans="1:7" s="157" customFormat="1" ht="12.75" hidden="1">
      <c r="A64" s="668"/>
      <c r="B64" s="155" t="s">
        <v>385</v>
      </c>
      <c r="C64" s="155" t="s">
        <v>674</v>
      </c>
      <c r="D64" s="629" t="s">
        <v>350</v>
      </c>
      <c r="E64" s="159"/>
      <c r="F64" s="159"/>
      <c r="G64" s="159"/>
    </row>
    <row r="65" spans="1:7" s="157" customFormat="1" ht="12.75" hidden="1">
      <c r="A65" s="668"/>
      <c r="B65" s="155" t="s">
        <v>386</v>
      </c>
      <c r="C65" s="155" t="s">
        <v>675</v>
      </c>
      <c r="D65" s="629" t="s">
        <v>350</v>
      </c>
      <c r="E65" s="159"/>
      <c r="F65" s="159"/>
      <c r="G65" s="159"/>
    </row>
    <row r="66" spans="1:7" s="157" customFormat="1" ht="12.75" hidden="1">
      <c r="A66" s="668"/>
      <c r="B66" s="155" t="s">
        <v>387</v>
      </c>
      <c r="C66" s="155" t="s">
        <v>676</v>
      </c>
      <c r="D66" s="629" t="s">
        <v>350</v>
      </c>
      <c r="E66" s="159"/>
      <c r="F66" s="159"/>
      <c r="G66" s="159"/>
    </row>
    <row r="67" spans="1:7" s="157" customFormat="1" ht="12.75" hidden="1">
      <c r="A67" s="668"/>
      <c r="B67" s="155"/>
      <c r="C67" s="155"/>
      <c r="D67" s="629"/>
      <c r="E67" s="159"/>
      <c r="F67" s="159"/>
      <c r="G67" s="159"/>
    </row>
    <row r="68" spans="1:7" s="157" customFormat="1" ht="12.75" hidden="1">
      <c r="A68" s="668"/>
      <c r="B68" s="155" t="s">
        <v>388</v>
      </c>
      <c r="C68" s="155" t="s">
        <v>669</v>
      </c>
      <c r="D68" s="629" t="s">
        <v>350</v>
      </c>
      <c r="E68" s="159"/>
      <c r="F68" s="159"/>
      <c r="G68" s="159"/>
    </row>
    <row r="69" spans="1:7" s="157" customFormat="1" ht="12.75" hidden="1">
      <c r="A69" s="668"/>
      <c r="B69" s="155" t="s">
        <v>389</v>
      </c>
      <c r="C69" s="155" t="s">
        <v>670</v>
      </c>
      <c r="D69" s="629" t="s">
        <v>350</v>
      </c>
      <c r="E69" s="159">
        <v>183792</v>
      </c>
      <c r="F69" s="159">
        <v>0</v>
      </c>
      <c r="G69" s="159">
        <v>0</v>
      </c>
    </row>
    <row r="70" spans="1:7" s="157" customFormat="1" ht="12.75" hidden="1">
      <c r="A70" s="668"/>
      <c r="B70" s="155" t="s">
        <v>390</v>
      </c>
      <c r="C70" s="155" t="s">
        <v>671</v>
      </c>
      <c r="D70" s="629" t="s">
        <v>350</v>
      </c>
      <c r="E70" s="159">
        <v>731500</v>
      </c>
      <c r="F70" s="159">
        <v>0</v>
      </c>
      <c r="G70" s="159">
        <v>0</v>
      </c>
    </row>
    <row r="71" spans="1:7" s="157" customFormat="1" ht="12.75" hidden="1">
      <c r="A71" s="668"/>
      <c r="B71" s="155" t="s">
        <v>391</v>
      </c>
      <c r="C71" s="155" t="s">
        <v>672</v>
      </c>
      <c r="D71" s="629" t="s">
        <v>350</v>
      </c>
      <c r="E71" s="159">
        <v>670542</v>
      </c>
      <c r="F71" s="159">
        <v>0</v>
      </c>
      <c r="G71" s="159">
        <v>0</v>
      </c>
    </row>
    <row r="72" spans="1:7" s="157" customFormat="1" ht="12.75" hidden="1">
      <c r="A72" s="668"/>
      <c r="B72" s="155" t="s">
        <v>392</v>
      </c>
      <c r="C72" s="155" t="s">
        <v>673</v>
      </c>
      <c r="D72" s="629" t="s">
        <v>350</v>
      </c>
      <c r="E72" s="159">
        <v>219500</v>
      </c>
      <c r="F72" s="159">
        <v>0</v>
      </c>
      <c r="G72" s="159">
        <v>0</v>
      </c>
    </row>
    <row r="73" spans="1:7" s="157" customFormat="1" ht="12.75" hidden="1">
      <c r="A73" s="668"/>
      <c r="B73" s="155" t="s">
        <v>393</v>
      </c>
      <c r="C73" s="155" t="s">
        <v>674</v>
      </c>
      <c r="D73" s="629" t="s">
        <v>350</v>
      </c>
      <c r="E73" s="159">
        <v>201209</v>
      </c>
      <c r="F73" s="159">
        <v>0</v>
      </c>
      <c r="G73" s="159">
        <v>0</v>
      </c>
    </row>
    <row r="74" spans="1:7" s="157" customFormat="1" ht="12.75" hidden="1">
      <c r="A74" s="668"/>
      <c r="B74" s="155" t="s">
        <v>394</v>
      </c>
      <c r="C74" s="155" t="s">
        <v>675</v>
      </c>
      <c r="D74" s="629" t="s">
        <v>350</v>
      </c>
      <c r="E74" s="159">
        <v>805500</v>
      </c>
      <c r="F74" s="159">
        <v>0</v>
      </c>
      <c r="G74" s="159">
        <v>0</v>
      </c>
    </row>
    <row r="75" spans="1:7" s="157" customFormat="1" ht="12.75" hidden="1">
      <c r="A75" s="668"/>
      <c r="B75" s="155" t="s">
        <v>395</v>
      </c>
      <c r="C75" s="155" t="s">
        <v>676</v>
      </c>
      <c r="D75" s="629" t="s">
        <v>350</v>
      </c>
      <c r="E75" s="159">
        <v>738375</v>
      </c>
      <c r="F75" s="159">
        <v>0</v>
      </c>
      <c r="G75" s="159">
        <v>0</v>
      </c>
    </row>
    <row r="76" spans="1:7" s="732" customFormat="1" ht="12.75">
      <c r="A76" s="731"/>
      <c r="B76" s="626"/>
      <c r="C76" s="626" t="s">
        <v>917</v>
      </c>
      <c r="D76" s="627"/>
      <c r="E76" s="628"/>
      <c r="F76" s="628"/>
      <c r="G76" s="628">
        <v>3397150</v>
      </c>
    </row>
    <row r="77" spans="1:7" s="157" customFormat="1" ht="12.75">
      <c r="A77" s="668" t="s">
        <v>633</v>
      </c>
      <c r="B77" s="161" t="s">
        <v>396</v>
      </c>
      <c r="C77" s="161" t="s">
        <v>397</v>
      </c>
      <c r="D77" s="636" t="s">
        <v>336</v>
      </c>
      <c r="E77" s="162" t="s">
        <v>337</v>
      </c>
      <c r="F77" s="162" t="s">
        <v>337</v>
      </c>
      <c r="G77" s="162">
        <f>G32+G50+G57+G76</f>
        <v>49353380</v>
      </c>
    </row>
    <row r="78" spans="1:7" s="157" customFormat="1" ht="10.5" customHeight="1">
      <c r="A78" s="668"/>
      <c r="B78" s="155"/>
      <c r="C78" s="155"/>
      <c r="D78" s="629"/>
      <c r="E78" s="159"/>
      <c r="F78" s="159"/>
      <c r="G78" s="159"/>
    </row>
    <row r="79" spans="1:7" s="157" customFormat="1" ht="10.5" customHeight="1">
      <c r="A79" s="668"/>
      <c r="B79" s="985" t="s">
        <v>806</v>
      </c>
      <c r="C79" s="985" t="s">
        <v>807</v>
      </c>
      <c r="D79" s="986" t="s">
        <v>336</v>
      </c>
      <c r="E79" s="987"/>
      <c r="F79" s="987"/>
      <c r="G79" s="987">
        <v>9443000</v>
      </c>
    </row>
    <row r="80" spans="1:7" s="157" customFormat="1" ht="12.75">
      <c r="A80" s="668" t="s">
        <v>634</v>
      </c>
      <c r="B80" s="630" t="s">
        <v>398</v>
      </c>
      <c r="C80" s="630" t="s">
        <v>399</v>
      </c>
      <c r="D80" s="631" t="s">
        <v>336</v>
      </c>
      <c r="E80" s="632" t="s">
        <v>337</v>
      </c>
      <c r="F80" s="632" t="s">
        <v>337</v>
      </c>
      <c r="G80" s="632">
        <v>0</v>
      </c>
    </row>
    <row r="81" spans="1:7" s="157" customFormat="1" ht="12.75">
      <c r="A81" s="668" t="s">
        <v>635</v>
      </c>
      <c r="B81" s="630" t="s">
        <v>677</v>
      </c>
      <c r="C81" s="630" t="s">
        <v>678</v>
      </c>
      <c r="D81" s="631"/>
      <c r="E81" s="632"/>
      <c r="F81" s="632"/>
      <c r="G81" s="632">
        <f>G82+G84+G85+G88+G90+G91+G95+G137+G83+G87+G94</f>
        <v>2919840</v>
      </c>
    </row>
    <row r="82" spans="1:7" s="157" customFormat="1" ht="25.5" hidden="1">
      <c r="A82" s="668" t="s">
        <v>636</v>
      </c>
      <c r="B82" s="451" t="s">
        <v>227</v>
      </c>
      <c r="C82" s="451" t="s">
        <v>228</v>
      </c>
      <c r="D82" s="156" t="s">
        <v>400</v>
      </c>
      <c r="E82" s="640">
        <v>3780000</v>
      </c>
      <c r="F82" s="640"/>
      <c r="G82" s="640"/>
    </row>
    <row r="83" spans="1:7" s="732" customFormat="1" ht="12.75" hidden="1">
      <c r="A83" s="731"/>
      <c r="B83" s="626"/>
      <c r="C83" s="626"/>
      <c r="D83" s="627"/>
      <c r="E83" s="628"/>
      <c r="F83" s="628"/>
      <c r="G83" s="628"/>
    </row>
    <row r="84" spans="1:7" s="157" customFormat="1" ht="25.5" hidden="1">
      <c r="A84" s="668" t="s">
        <v>637</v>
      </c>
      <c r="B84" s="451" t="s">
        <v>401</v>
      </c>
      <c r="C84" s="451" t="s">
        <v>402</v>
      </c>
      <c r="D84" s="156" t="s">
        <v>400</v>
      </c>
      <c r="E84" s="640">
        <v>3300000</v>
      </c>
      <c r="F84" s="640"/>
      <c r="G84" s="640"/>
    </row>
    <row r="85" spans="1:7" s="157" customFormat="1" ht="12.75">
      <c r="A85" s="668" t="s">
        <v>638</v>
      </c>
      <c r="B85" s="155" t="s">
        <v>403</v>
      </c>
      <c r="C85" s="155" t="s">
        <v>404</v>
      </c>
      <c r="D85" s="629" t="s">
        <v>350</v>
      </c>
      <c r="E85" s="159">
        <v>65360</v>
      </c>
      <c r="F85" s="159">
        <v>44</v>
      </c>
      <c r="G85" s="159">
        <f>E85*F85</f>
        <v>2875840</v>
      </c>
    </row>
    <row r="86" spans="1:7" s="157" customFormat="1" ht="12.75" hidden="1">
      <c r="A86" s="668"/>
      <c r="B86" s="155" t="s">
        <v>405</v>
      </c>
      <c r="C86" s="155" t="s">
        <v>406</v>
      </c>
      <c r="D86" s="629" t="s">
        <v>350</v>
      </c>
      <c r="E86" s="159"/>
      <c r="F86" s="159"/>
      <c r="G86" s="159"/>
    </row>
    <row r="87" spans="1:7" s="732" customFormat="1" ht="12.75">
      <c r="A87" s="731"/>
      <c r="B87" s="626"/>
      <c r="C87" s="626" t="s">
        <v>917</v>
      </c>
      <c r="D87" s="627"/>
      <c r="E87" s="628"/>
      <c r="F87" s="628"/>
      <c r="G87" s="628">
        <v>44000</v>
      </c>
    </row>
    <row r="88" spans="1:7" s="157" customFormat="1" ht="12.75" hidden="1">
      <c r="A88" s="668" t="s">
        <v>707</v>
      </c>
      <c r="B88" s="155" t="s">
        <v>407</v>
      </c>
      <c r="C88" s="155" t="s">
        <v>408</v>
      </c>
      <c r="D88" s="629" t="s">
        <v>350</v>
      </c>
      <c r="E88" s="159">
        <v>25000</v>
      </c>
      <c r="F88" s="159"/>
      <c r="G88" s="159"/>
    </row>
    <row r="89" spans="1:7" s="157" customFormat="1" ht="12.75" hidden="1">
      <c r="A89" s="668"/>
      <c r="B89" s="155" t="s">
        <v>409</v>
      </c>
      <c r="C89" s="155" t="s">
        <v>410</v>
      </c>
      <c r="D89" s="629" t="s">
        <v>350</v>
      </c>
      <c r="E89" s="159"/>
      <c r="F89" s="159"/>
      <c r="G89" s="159"/>
    </row>
    <row r="90" spans="1:7" s="157" customFormat="1" ht="12.75" hidden="1">
      <c r="A90" s="668" t="s">
        <v>708</v>
      </c>
      <c r="B90" s="155" t="s">
        <v>411</v>
      </c>
      <c r="C90" s="155" t="s">
        <v>412</v>
      </c>
      <c r="D90" s="629" t="s">
        <v>350</v>
      </c>
      <c r="E90" s="159">
        <v>429000</v>
      </c>
      <c r="F90" s="159"/>
      <c r="G90" s="159"/>
    </row>
    <row r="91" spans="1:7" s="157" customFormat="1" ht="25.5" hidden="1">
      <c r="A91" s="668" t="s">
        <v>709</v>
      </c>
      <c r="B91" s="155" t="s">
        <v>413</v>
      </c>
      <c r="C91" s="155" t="s">
        <v>414</v>
      </c>
      <c r="D91" s="629" t="s">
        <v>415</v>
      </c>
      <c r="E91" s="159">
        <v>4250000</v>
      </c>
      <c r="F91" s="159"/>
      <c r="G91" s="159"/>
    </row>
    <row r="92" spans="1:7" s="157" customFormat="1" ht="12.75" hidden="1">
      <c r="A92" s="668"/>
      <c r="B92" s="155" t="s">
        <v>416</v>
      </c>
      <c r="C92" s="155"/>
      <c r="D92" s="629"/>
      <c r="E92" s="159"/>
      <c r="F92" s="159"/>
      <c r="G92" s="159"/>
    </row>
    <row r="93" spans="1:7" s="157" customFormat="1" ht="12.75" hidden="1">
      <c r="A93" s="668"/>
      <c r="B93" s="155" t="s">
        <v>417</v>
      </c>
      <c r="C93" s="155" t="s">
        <v>418</v>
      </c>
      <c r="D93" s="629" t="s">
        <v>350</v>
      </c>
      <c r="E93" s="159"/>
      <c r="F93" s="159"/>
      <c r="G93" s="159"/>
    </row>
    <row r="94" spans="1:7" s="732" customFormat="1" ht="12.75" hidden="1">
      <c r="A94" s="731"/>
      <c r="B94" s="626"/>
      <c r="C94" s="626"/>
      <c r="D94" s="627"/>
      <c r="E94" s="628"/>
      <c r="F94" s="628"/>
      <c r="G94" s="628"/>
    </row>
    <row r="95" spans="1:7" s="157" customFormat="1" ht="12.75" hidden="1">
      <c r="A95" s="668" t="s">
        <v>710</v>
      </c>
      <c r="B95" s="155" t="s">
        <v>417</v>
      </c>
      <c r="C95" s="155" t="s">
        <v>745</v>
      </c>
      <c r="D95" s="629" t="s">
        <v>350</v>
      </c>
      <c r="E95" s="159">
        <v>190000</v>
      </c>
      <c r="F95" s="159"/>
      <c r="G95" s="159"/>
    </row>
    <row r="96" spans="1:7" s="157" customFormat="1" ht="12.75" hidden="1">
      <c r="A96" s="668"/>
      <c r="B96" s="155" t="s">
        <v>419</v>
      </c>
      <c r="C96" s="155" t="s">
        <v>420</v>
      </c>
      <c r="D96" s="629" t="s">
        <v>350</v>
      </c>
      <c r="E96" s="159">
        <v>43600</v>
      </c>
      <c r="F96" s="159">
        <v>0</v>
      </c>
      <c r="G96" s="159">
        <v>0</v>
      </c>
    </row>
    <row r="97" spans="1:7" s="157" customFormat="1" ht="12.75" hidden="1">
      <c r="A97" s="668"/>
      <c r="B97" s="155" t="s">
        <v>421</v>
      </c>
      <c r="C97" s="155" t="s">
        <v>422</v>
      </c>
      <c r="D97" s="629" t="s">
        <v>350</v>
      </c>
      <c r="E97" s="159">
        <v>65400</v>
      </c>
      <c r="F97" s="159">
        <v>0</v>
      </c>
      <c r="G97" s="159">
        <v>0</v>
      </c>
    </row>
    <row r="98" spans="1:7" s="157" customFormat="1" ht="12.75" hidden="1">
      <c r="A98" s="668"/>
      <c r="B98" s="155" t="s">
        <v>423</v>
      </c>
      <c r="C98" s="155"/>
      <c r="D98" s="629"/>
      <c r="E98" s="159"/>
      <c r="F98" s="159"/>
      <c r="G98" s="159"/>
    </row>
    <row r="99" spans="1:7" s="157" customFormat="1" ht="12.75" hidden="1">
      <c r="A99" s="668"/>
      <c r="B99" s="155" t="s">
        <v>424</v>
      </c>
      <c r="C99" s="155" t="s">
        <v>425</v>
      </c>
      <c r="D99" s="629" t="s">
        <v>350</v>
      </c>
      <c r="E99" s="159">
        <v>500000</v>
      </c>
      <c r="F99" s="159">
        <v>0</v>
      </c>
      <c r="G99" s="159">
        <v>0</v>
      </c>
    </row>
    <row r="100" spans="1:7" s="157" customFormat="1" ht="12.75" hidden="1">
      <c r="A100" s="668"/>
      <c r="B100" s="155" t="s">
        <v>426</v>
      </c>
      <c r="C100" s="155" t="s">
        <v>427</v>
      </c>
      <c r="D100" s="629" t="s">
        <v>350</v>
      </c>
      <c r="E100" s="159">
        <v>550000</v>
      </c>
      <c r="F100" s="159">
        <v>0</v>
      </c>
      <c r="G100" s="159">
        <v>0</v>
      </c>
    </row>
    <row r="101" spans="1:7" s="157" customFormat="1" ht="12.75" hidden="1">
      <c r="A101" s="668"/>
      <c r="B101" s="155" t="s">
        <v>428</v>
      </c>
      <c r="C101" s="155" t="s">
        <v>429</v>
      </c>
      <c r="D101" s="629" t="s">
        <v>350</v>
      </c>
      <c r="E101" s="159">
        <v>200000</v>
      </c>
      <c r="F101" s="159">
        <v>0</v>
      </c>
      <c r="G101" s="159">
        <v>0</v>
      </c>
    </row>
    <row r="102" spans="1:7" s="157" customFormat="1" ht="12.75" hidden="1">
      <c r="A102" s="668"/>
      <c r="B102" s="155" t="s">
        <v>430</v>
      </c>
      <c r="C102" s="155" t="s">
        <v>431</v>
      </c>
      <c r="D102" s="629" t="s">
        <v>350</v>
      </c>
      <c r="E102" s="159">
        <v>220000</v>
      </c>
      <c r="F102" s="159">
        <v>0</v>
      </c>
      <c r="G102" s="159">
        <v>0</v>
      </c>
    </row>
    <row r="103" spans="1:7" s="157" customFormat="1" ht="12.75" hidden="1">
      <c r="A103" s="668"/>
      <c r="B103" s="155" t="s">
        <v>432</v>
      </c>
      <c r="C103" s="155" t="s">
        <v>433</v>
      </c>
      <c r="D103" s="629" t="s">
        <v>350</v>
      </c>
      <c r="E103" s="159">
        <v>500000</v>
      </c>
      <c r="F103" s="159">
        <v>0</v>
      </c>
      <c r="G103" s="159">
        <v>0</v>
      </c>
    </row>
    <row r="104" spans="1:7" s="157" customFormat="1" ht="12.75" hidden="1">
      <c r="A104" s="668"/>
      <c r="B104" s="155" t="s">
        <v>434</v>
      </c>
      <c r="C104" s="155" t="s">
        <v>435</v>
      </c>
      <c r="D104" s="629" t="s">
        <v>350</v>
      </c>
      <c r="E104" s="159">
        <v>550000</v>
      </c>
      <c r="F104" s="159">
        <v>0</v>
      </c>
      <c r="G104" s="159">
        <v>0</v>
      </c>
    </row>
    <row r="105" spans="1:7" s="157" customFormat="1" ht="12.75" hidden="1">
      <c r="A105" s="668"/>
      <c r="B105" s="155" t="s">
        <v>436</v>
      </c>
      <c r="C105" s="155" t="s">
        <v>437</v>
      </c>
      <c r="D105" s="629" t="s">
        <v>350</v>
      </c>
      <c r="E105" s="159">
        <v>200000</v>
      </c>
      <c r="F105" s="159">
        <v>0</v>
      </c>
      <c r="G105" s="159">
        <v>0</v>
      </c>
    </row>
    <row r="106" spans="1:7" s="157" customFormat="1" ht="12.75" hidden="1">
      <c r="A106" s="668"/>
      <c r="B106" s="155" t="s">
        <v>438</v>
      </c>
      <c r="C106" s="155" t="s">
        <v>439</v>
      </c>
      <c r="D106" s="629" t="s">
        <v>350</v>
      </c>
      <c r="E106" s="159">
        <v>220000</v>
      </c>
      <c r="F106" s="159">
        <v>0</v>
      </c>
      <c r="G106" s="159">
        <v>0</v>
      </c>
    </row>
    <row r="107" spans="1:7" s="157" customFormat="1" ht="12.75" hidden="1">
      <c r="A107" s="668"/>
      <c r="B107" s="155" t="s">
        <v>440</v>
      </c>
      <c r="C107" s="155"/>
      <c r="D107" s="629"/>
      <c r="E107" s="159"/>
      <c r="F107" s="159"/>
      <c r="G107" s="159"/>
    </row>
    <row r="108" spans="1:7" s="157" customFormat="1" ht="12.75" hidden="1">
      <c r="A108" s="668"/>
      <c r="B108" s="155" t="s">
        <v>441</v>
      </c>
      <c r="C108" s="155" t="s">
        <v>442</v>
      </c>
      <c r="D108" s="629" t="s">
        <v>350</v>
      </c>
      <c r="E108" s="159">
        <v>310000</v>
      </c>
      <c r="F108" s="159">
        <v>0</v>
      </c>
      <c r="G108" s="159">
        <v>0</v>
      </c>
    </row>
    <row r="109" spans="1:7" s="157" customFormat="1" ht="12.75" hidden="1">
      <c r="A109" s="668"/>
      <c r="B109" s="155" t="s">
        <v>443</v>
      </c>
      <c r="C109" s="155" t="s">
        <v>444</v>
      </c>
      <c r="D109" s="629" t="s">
        <v>350</v>
      </c>
      <c r="E109" s="159">
        <v>372000</v>
      </c>
      <c r="F109" s="159">
        <v>0</v>
      </c>
      <c r="G109" s="159">
        <v>0</v>
      </c>
    </row>
    <row r="110" spans="1:7" s="157" customFormat="1" ht="12.75" hidden="1">
      <c r="A110" s="668"/>
      <c r="B110" s="155" t="s">
        <v>445</v>
      </c>
      <c r="C110" s="155" t="s">
        <v>446</v>
      </c>
      <c r="D110" s="629" t="s">
        <v>350</v>
      </c>
      <c r="E110" s="159">
        <v>124000</v>
      </c>
      <c r="F110" s="159">
        <v>0</v>
      </c>
      <c r="G110" s="159">
        <v>0</v>
      </c>
    </row>
    <row r="111" spans="1:7" s="157" customFormat="1" ht="12.75" hidden="1">
      <c r="A111" s="668"/>
      <c r="B111" s="155" t="s">
        <v>447</v>
      </c>
      <c r="C111" s="155" t="s">
        <v>448</v>
      </c>
      <c r="D111" s="629" t="s">
        <v>350</v>
      </c>
      <c r="E111" s="159">
        <v>148800</v>
      </c>
      <c r="F111" s="159">
        <v>0</v>
      </c>
      <c r="G111" s="159">
        <v>0</v>
      </c>
    </row>
    <row r="112" spans="1:7" s="157" customFormat="1" ht="12.75" hidden="1">
      <c r="A112" s="668"/>
      <c r="B112" s="155" t="s">
        <v>449</v>
      </c>
      <c r="C112" s="155" t="s">
        <v>450</v>
      </c>
      <c r="D112" s="629" t="s">
        <v>350</v>
      </c>
      <c r="E112" s="159">
        <v>310000</v>
      </c>
      <c r="F112" s="159">
        <v>0</v>
      </c>
      <c r="G112" s="159">
        <v>0</v>
      </c>
    </row>
    <row r="113" spans="1:7" s="157" customFormat="1" ht="12.75" hidden="1">
      <c r="A113" s="668"/>
      <c r="B113" s="155" t="s">
        <v>451</v>
      </c>
      <c r="C113" s="155" t="s">
        <v>452</v>
      </c>
      <c r="D113" s="629" t="s">
        <v>350</v>
      </c>
      <c r="E113" s="159">
        <v>372000</v>
      </c>
      <c r="F113" s="159">
        <v>0</v>
      </c>
      <c r="G113" s="159">
        <v>0</v>
      </c>
    </row>
    <row r="114" spans="1:7" s="157" customFormat="1" ht="12.75" hidden="1">
      <c r="A114" s="668"/>
      <c r="B114" s="155" t="s">
        <v>453</v>
      </c>
      <c r="C114" s="155" t="s">
        <v>454</v>
      </c>
      <c r="D114" s="629" t="s">
        <v>350</v>
      </c>
      <c r="E114" s="159">
        <v>124000</v>
      </c>
      <c r="F114" s="159">
        <v>0</v>
      </c>
      <c r="G114" s="159">
        <v>0</v>
      </c>
    </row>
    <row r="115" spans="1:7" s="157" customFormat="1" ht="12.75" hidden="1">
      <c r="A115" s="668"/>
      <c r="B115" s="155" t="s">
        <v>455</v>
      </c>
      <c r="C115" s="155" t="s">
        <v>456</v>
      </c>
      <c r="D115" s="629" t="s">
        <v>350</v>
      </c>
      <c r="E115" s="159">
        <v>148800</v>
      </c>
      <c r="F115" s="159">
        <v>0</v>
      </c>
      <c r="G115" s="159">
        <v>0</v>
      </c>
    </row>
    <row r="116" spans="1:7" s="157" customFormat="1" ht="12.75" hidden="1">
      <c r="A116" s="668"/>
      <c r="B116" s="155" t="s">
        <v>457</v>
      </c>
      <c r="C116" s="155"/>
      <c r="D116" s="629"/>
      <c r="E116" s="159"/>
      <c r="F116" s="159"/>
      <c r="G116" s="159"/>
    </row>
    <row r="117" spans="1:7" s="157" customFormat="1" ht="12.75" hidden="1">
      <c r="A117" s="668"/>
      <c r="B117" s="155" t="s">
        <v>458</v>
      </c>
      <c r="C117" s="155" t="s">
        <v>459</v>
      </c>
      <c r="D117" s="629" t="s">
        <v>350</v>
      </c>
      <c r="E117" s="159">
        <v>206100</v>
      </c>
      <c r="F117" s="159">
        <v>0</v>
      </c>
      <c r="G117" s="159">
        <v>0</v>
      </c>
    </row>
    <row r="118" spans="1:7" s="157" customFormat="1" ht="12.75" hidden="1">
      <c r="A118" s="668"/>
      <c r="B118" s="155" t="s">
        <v>460</v>
      </c>
      <c r="C118" s="155" t="s">
        <v>461</v>
      </c>
      <c r="D118" s="629" t="s">
        <v>350</v>
      </c>
      <c r="E118" s="159">
        <v>247320</v>
      </c>
      <c r="F118" s="159">
        <v>0</v>
      </c>
      <c r="G118" s="159">
        <v>0</v>
      </c>
    </row>
    <row r="119" spans="1:7" s="157" customFormat="1" ht="12.75" hidden="1">
      <c r="A119" s="668"/>
      <c r="B119" s="155" t="s">
        <v>679</v>
      </c>
      <c r="C119" s="155"/>
      <c r="D119" s="629"/>
      <c r="E119" s="159"/>
      <c r="F119" s="159"/>
      <c r="G119" s="159"/>
    </row>
    <row r="120" spans="1:7" s="157" customFormat="1" ht="12.75" hidden="1">
      <c r="A120" s="668"/>
      <c r="B120" s="155" t="s">
        <v>680</v>
      </c>
      <c r="C120" s="155" t="s">
        <v>462</v>
      </c>
      <c r="D120" s="629" t="s">
        <v>350</v>
      </c>
      <c r="E120" s="159">
        <v>360000</v>
      </c>
      <c r="F120" s="159">
        <v>0</v>
      </c>
      <c r="G120" s="159">
        <v>0</v>
      </c>
    </row>
    <row r="121" spans="1:7" s="157" customFormat="1" ht="12.75" hidden="1">
      <c r="A121" s="668"/>
      <c r="B121" s="155" t="s">
        <v>681</v>
      </c>
      <c r="C121" s="155" t="s">
        <v>463</v>
      </c>
      <c r="D121" s="629" t="s">
        <v>350</v>
      </c>
      <c r="E121" s="159">
        <v>468000</v>
      </c>
      <c r="F121" s="159">
        <v>0</v>
      </c>
      <c r="G121" s="159">
        <v>0</v>
      </c>
    </row>
    <row r="122" spans="1:7" s="157" customFormat="1" ht="12.75" hidden="1">
      <c r="A122" s="668"/>
      <c r="B122" s="155" t="s">
        <v>682</v>
      </c>
      <c r="C122" s="155" t="s">
        <v>683</v>
      </c>
      <c r="D122" s="629" t="s">
        <v>350</v>
      </c>
      <c r="E122" s="159">
        <v>279000</v>
      </c>
      <c r="F122" s="159">
        <v>0</v>
      </c>
      <c r="G122" s="159">
        <v>0</v>
      </c>
    </row>
    <row r="123" spans="1:7" s="157" customFormat="1" ht="12.75" hidden="1">
      <c r="A123" s="668"/>
      <c r="B123" s="155" t="s">
        <v>464</v>
      </c>
      <c r="C123" s="155"/>
      <c r="D123" s="629"/>
      <c r="E123" s="159"/>
      <c r="F123" s="159"/>
      <c r="G123" s="159"/>
    </row>
    <row r="124" spans="1:7" s="157" customFormat="1" ht="12.75" hidden="1">
      <c r="A124" s="668"/>
      <c r="B124" s="155" t="s">
        <v>465</v>
      </c>
      <c r="C124" s="155" t="s">
        <v>466</v>
      </c>
      <c r="D124" s="629" t="s">
        <v>467</v>
      </c>
      <c r="E124" s="159">
        <v>468350</v>
      </c>
      <c r="F124" s="159">
        <v>0</v>
      </c>
      <c r="G124" s="159">
        <v>0</v>
      </c>
    </row>
    <row r="125" spans="1:7" s="157" customFormat="1" ht="12.75" hidden="1">
      <c r="A125" s="668"/>
      <c r="B125" s="155" t="s">
        <v>468</v>
      </c>
      <c r="C125" s="155" t="s">
        <v>469</v>
      </c>
      <c r="D125" s="629" t="s">
        <v>467</v>
      </c>
      <c r="E125" s="159">
        <v>515185</v>
      </c>
      <c r="F125" s="159">
        <v>0</v>
      </c>
      <c r="G125" s="159">
        <v>0</v>
      </c>
    </row>
    <row r="126" spans="1:7" s="157" customFormat="1" ht="12.75" hidden="1">
      <c r="A126" s="668"/>
      <c r="B126" s="155" t="s">
        <v>470</v>
      </c>
      <c r="C126" s="155" t="s">
        <v>471</v>
      </c>
      <c r="D126" s="629" t="s">
        <v>467</v>
      </c>
      <c r="E126" s="159">
        <v>234175</v>
      </c>
      <c r="F126" s="159">
        <v>0</v>
      </c>
      <c r="G126" s="159">
        <v>0</v>
      </c>
    </row>
    <row r="127" spans="1:7" s="157" customFormat="1" ht="12.75" hidden="1">
      <c r="A127" s="668"/>
      <c r="B127" s="155" t="s">
        <v>684</v>
      </c>
      <c r="C127" s="155"/>
      <c r="D127" s="629"/>
      <c r="E127" s="159"/>
      <c r="F127" s="159"/>
      <c r="G127" s="159"/>
    </row>
    <row r="128" spans="1:7" s="157" customFormat="1" ht="25.5" hidden="1">
      <c r="A128" s="668"/>
      <c r="B128" s="155" t="s">
        <v>685</v>
      </c>
      <c r="C128" s="155" t="s">
        <v>472</v>
      </c>
      <c r="D128" s="629" t="s">
        <v>415</v>
      </c>
      <c r="E128" s="159">
        <v>3000000</v>
      </c>
      <c r="F128" s="159">
        <v>0</v>
      </c>
      <c r="G128" s="159">
        <v>0</v>
      </c>
    </row>
    <row r="129" spans="1:7" s="157" customFormat="1" ht="25.5" hidden="1">
      <c r="A129" s="668"/>
      <c r="B129" s="155" t="s">
        <v>686</v>
      </c>
      <c r="C129" s="155" t="s">
        <v>473</v>
      </c>
      <c r="D129" s="629" t="s">
        <v>474</v>
      </c>
      <c r="E129" s="159">
        <v>1800</v>
      </c>
      <c r="F129" s="159">
        <v>0</v>
      </c>
      <c r="G129" s="159">
        <v>0</v>
      </c>
    </row>
    <row r="130" spans="1:7" s="157" customFormat="1" ht="12.75" hidden="1">
      <c r="A130" s="668"/>
      <c r="B130" s="155" t="s">
        <v>687</v>
      </c>
      <c r="C130" s="155"/>
      <c r="D130" s="629"/>
      <c r="E130" s="159"/>
      <c r="F130" s="159"/>
      <c r="G130" s="159"/>
    </row>
    <row r="131" spans="1:7" s="157" customFormat="1" ht="25.5" hidden="1">
      <c r="A131" s="668"/>
      <c r="B131" s="155" t="s">
        <v>688</v>
      </c>
      <c r="C131" s="155" t="s">
        <v>475</v>
      </c>
      <c r="D131" s="629" t="s">
        <v>415</v>
      </c>
      <c r="E131" s="159">
        <v>2000000</v>
      </c>
      <c r="F131" s="159">
        <v>0</v>
      </c>
      <c r="G131" s="159">
        <v>0</v>
      </c>
    </row>
    <row r="132" spans="1:7" s="157" customFormat="1" ht="25.5" hidden="1">
      <c r="A132" s="668"/>
      <c r="B132" s="155" t="s">
        <v>689</v>
      </c>
      <c r="C132" s="155" t="s">
        <v>476</v>
      </c>
      <c r="D132" s="629" t="s">
        <v>474</v>
      </c>
      <c r="E132" s="159">
        <v>150000</v>
      </c>
      <c r="F132" s="159">
        <v>0</v>
      </c>
      <c r="G132" s="159">
        <v>0</v>
      </c>
    </row>
    <row r="133" spans="1:7" s="157" customFormat="1" ht="25.5" hidden="1">
      <c r="A133" s="668"/>
      <c r="B133" s="155" t="s">
        <v>690</v>
      </c>
      <c r="C133" s="155" t="s">
        <v>477</v>
      </c>
      <c r="D133" s="629" t="s">
        <v>415</v>
      </c>
      <c r="E133" s="159">
        <v>2000000</v>
      </c>
      <c r="F133" s="159">
        <v>0</v>
      </c>
      <c r="G133" s="159">
        <v>0</v>
      </c>
    </row>
    <row r="134" spans="1:7" s="157" customFormat="1" ht="25.5" hidden="1">
      <c r="A134" s="668"/>
      <c r="B134" s="155" t="s">
        <v>691</v>
      </c>
      <c r="C134" s="155" t="s">
        <v>478</v>
      </c>
      <c r="D134" s="629" t="s">
        <v>474</v>
      </c>
      <c r="E134" s="159">
        <v>150000</v>
      </c>
      <c r="F134" s="159">
        <v>0</v>
      </c>
      <c r="G134" s="159">
        <v>0</v>
      </c>
    </row>
    <row r="135" spans="1:7" s="157" customFormat="1" ht="12.75" hidden="1">
      <c r="A135" s="668"/>
      <c r="B135" s="155" t="s">
        <v>692</v>
      </c>
      <c r="C135" s="155"/>
      <c r="D135" s="629"/>
      <c r="E135" s="159"/>
      <c r="F135" s="159"/>
      <c r="G135" s="159"/>
    </row>
    <row r="136" spans="1:7" s="157" customFormat="1" ht="12.75" hidden="1">
      <c r="A136" s="668"/>
      <c r="B136" s="155" t="s">
        <v>693</v>
      </c>
      <c r="C136" s="155" t="s">
        <v>694</v>
      </c>
      <c r="D136" s="629" t="s">
        <v>337</v>
      </c>
      <c r="E136" s="159" t="s">
        <v>337</v>
      </c>
      <c r="F136" s="159" t="s">
        <v>337</v>
      </c>
      <c r="G136" s="159">
        <v>0</v>
      </c>
    </row>
    <row r="137" spans="1:7" s="732" customFormat="1" ht="12.75" hidden="1">
      <c r="A137" s="731"/>
      <c r="B137" s="626"/>
      <c r="C137" s="626"/>
      <c r="D137" s="627"/>
      <c r="E137" s="628"/>
      <c r="F137" s="628"/>
      <c r="G137" s="628"/>
    </row>
    <row r="138" spans="1:8" s="157" customFormat="1" ht="12.75" hidden="1">
      <c r="A138" s="668" t="s">
        <v>711</v>
      </c>
      <c r="B138" s="630" t="s">
        <v>695</v>
      </c>
      <c r="C138" s="630"/>
      <c r="D138" s="637"/>
      <c r="E138" s="638"/>
      <c r="F138" s="638"/>
      <c r="G138" s="632">
        <f>G139+G140+G141</f>
        <v>0</v>
      </c>
      <c r="H138" s="641"/>
    </row>
    <row r="139" spans="1:7" s="157" customFormat="1" ht="12.75" hidden="1">
      <c r="A139" s="668" t="s">
        <v>712</v>
      </c>
      <c r="B139" s="155" t="s">
        <v>479</v>
      </c>
      <c r="C139" s="155" t="s">
        <v>480</v>
      </c>
      <c r="D139" s="629" t="s">
        <v>350</v>
      </c>
      <c r="E139" s="159">
        <v>3858040</v>
      </c>
      <c r="F139" s="159"/>
      <c r="G139" s="159"/>
    </row>
    <row r="140" spans="1:7" s="157" customFormat="1" ht="12.75" hidden="1">
      <c r="A140" s="668" t="s">
        <v>713</v>
      </c>
      <c r="B140" s="155" t="s">
        <v>481</v>
      </c>
      <c r="C140" s="155" t="s">
        <v>482</v>
      </c>
      <c r="D140" s="629" t="s">
        <v>336</v>
      </c>
      <c r="E140" s="159" t="s">
        <v>337</v>
      </c>
      <c r="F140" s="159"/>
      <c r="G140" s="159"/>
    </row>
    <row r="141" spans="1:7" s="732" customFormat="1" ht="12.75" hidden="1">
      <c r="A141" s="731"/>
      <c r="B141" s="626"/>
      <c r="C141" s="626"/>
      <c r="D141" s="627"/>
      <c r="E141" s="628"/>
      <c r="F141" s="628"/>
      <c r="G141" s="628"/>
    </row>
    <row r="142" spans="1:7" s="157" customFormat="1" ht="12.75">
      <c r="A142" s="668" t="s">
        <v>714</v>
      </c>
      <c r="B142" s="630" t="s">
        <v>483</v>
      </c>
      <c r="C142" s="630"/>
      <c r="D142" s="631"/>
      <c r="E142" s="632"/>
      <c r="F142" s="632"/>
      <c r="G142" s="632">
        <f>G143+G144+G145</f>
        <v>16776508</v>
      </c>
    </row>
    <row r="143" spans="1:7" s="157" customFormat="1" ht="12.75">
      <c r="A143" s="668" t="s">
        <v>715</v>
      </c>
      <c r="B143" s="155" t="s">
        <v>484</v>
      </c>
      <c r="C143" s="155" t="s">
        <v>485</v>
      </c>
      <c r="D143" s="629" t="s">
        <v>350</v>
      </c>
      <c r="E143" s="159">
        <v>2200000</v>
      </c>
      <c r="F143" s="665">
        <v>3.56</v>
      </c>
      <c r="G143" s="159">
        <f>E143*F143</f>
        <v>7832000</v>
      </c>
    </row>
    <row r="144" spans="1:7" s="157" customFormat="1" ht="12.75">
      <c r="A144" s="668" t="s">
        <v>716</v>
      </c>
      <c r="B144" s="155" t="s">
        <v>486</v>
      </c>
      <c r="C144" s="155" t="s">
        <v>229</v>
      </c>
      <c r="D144" s="629" t="s">
        <v>336</v>
      </c>
      <c r="E144" s="159" t="s">
        <v>337</v>
      </c>
      <c r="F144" s="159"/>
      <c r="G144" s="159">
        <f>10333804-2015856</f>
        <v>8317948</v>
      </c>
    </row>
    <row r="145" spans="1:7" s="732" customFormat="1" ht="12.75">
      <c r="A145" s="731"/>
      <c r="B145" s="626"/>
      <c r="C145" s="626" t="s">
        <v>918</v>
      </c>
      <c r="D145" s="627"/>
      <c r="E145" s="628"/>
      <c r="F145" s="628"/>
      <c r="G145" s="628">
        <v>626560</v>
      </c>
    </row>
    <row r="146" spans="1:7" s="157" customFormat="1" ht="12.75">
      <c r="A146" s="668" t="s">
        <v>717</v>
      </c>
      <c r="B146" s="630" t="s">
        <v>696</v>
      </c>
      <c r="C146" s="630"/>
      <c r="D146" s="631"/>
      <c r="E146" s="632"/>
      <c r="F146" s="632"/>
      <c r="G146" s="632">
        <f>G147</f>
        <v>0</v>
      </c>
    </row>
    <row r="147" spans="1:7" s="157" customFormat="1" ht="12.75" hidden="1">
      <c r="A147" s="668" t="s">
        <v>718</v>
      </c>
      <c r="B147" s="155" t="s">
        <v>487</v>
      </c>
      <c r="C147" s="155" t="s">
        <v>488</v>
      </c>
      <c r="D147" s="629" t="s">
        <v>336</v>
      </c>
      <c r="E147" s="159"/>
      <c r="F147" s="159"/>
      <c r="G147" s="159"/>
    </row>
    <row r="148" spans="1:7" s="157" customFormat="1" ht="12.75" hidden="1">
      <c r="A148" s="668"/>
      <c r="B148" s="155" t="s">
        <v>697</v>
      </c>
      <c r="C148" s="155"/>
      <c r="D148" s="629"/>
      <c r="E148" s="159"/>
      <c r="F148" s="159"/>
      <c r="G148" s="159"/>
    </row>
    <row r="149" spans="1:7" s="157" customFormat="1" ht="12.75" hidden="1">
      <c r="A149" s="668"/>
      <c r="B149" s="155" t="s">
        <v>698</v>
      </c>
      <c r="C149" s="155" t="s">
        <v>699</v>
      </c>
      <c r="D149" s="629" t="s">
        <v>350</v>
      </c>
      <c r="E149" s="159">
        <v>4419000</v>
      </c>
      <c r="F149" s="159">
        <v>0</v>
      </c>
      <c r="G149" s="159">
        <v>0</v>
      </c>
    </row>
    <row r="150" spans="1:7" s="157" customFormat="1" ht="12.75" hidden="1">
      <c r="A150" s="668"/>
      <c r="B150" s="155" t="s">
        <v>700</v>
      </c>
      <c r="C150" s="155" t="s">
        <v>701</v>
      </c>
      <c r="D150" s="629" t="s">
        <v>350</v>
      </c>
      <c r="E150" s="159">
        <v>2993000</v>
      </c>
      <c r="F150" s="159">
        <v>0</v>
      </c>
      <c r="G150" s="159">
        <v>0</v>
      </c>
    </row>
    <row r="151" spans="1:7" s="157" customFormat="1" ht="12.75" hidden="1">
      <c r="A151" s="668"/>
      <c r="B151" s="155" t="s">
        <v>702</v>
      </c>
      <c r="C151" s="155" t="s">
        <v>703</v>
      </c>
      <c r="D151" s="629" t="s">
        <v>336</v>
      </c>
      <c r="E151" s="159" t="s">
        <v>337</v>
      </c>
      <c r="F151" s="159" t="s">
        <v>337</v>
      </c>
      <c r="G151" s="159">
        <v>0</v>
      </c>
    </row>
    <row r="152" spans="1:7" s="157" customFormat="1" ht="12.75" hidden="1">
      <c r="A152" s="668"/>
      <c r="B152" s="630"/>
      <c r="C152" s="630" t="s">
        <v>730</v>
      </c>
      <c r="D152" s="631"/>
      <c r="E152" s="632"/>
      <c r="F152" s="632"/>
      <c r="G152" s="632"/>
    </row>
    <row r="153" spans="1:7" s="157" customFormat="1" ht="12.75" hidden="1">
      <c r="A153" s="668"/>
      <c r="B153" s="630"/>
      <c r="C153" s="630"/>
      <c r="D153" s="631"/>
      <c r="E153" s="632"/>
      <c r="F153" s="632"/>
      <c r="G153" s="632"/>
    </row>
    <row r="154" spans="1:7" s="157" customFormat="1" ht="12.75" hidden="1">
      <c r="A154" s="668"/>
      <c r="B154" s="630"/>
      <c r="C154" s="630" t="s">
        <v>731</v>
      </c>
      <c r="D154" s="631"/>
      <c r="E154" s="632"/>
      <c r="F154" s="632"/>
      <c r="G154" s="632"/>
    </row>
    <row r="155" spans="1:7" s="157" customFormat="1" ht="12.75">
      <c r="A155" s="668" t="s">
        <v>719</v>
      </c>
      <c r="B155" s="161" t="s">
        <v>104</v>
      </c>
      <c r="C155" s="161" t="s">
        <v>489</v>
      </c>
      <c r="D155" s="636" t="s">
        <v>336</v>
      </c>
      <c r="E155" s="162" t="s">
        <v>337</v>
      </c>
      <c r="F155" s="162" t="s">
        <v>337</v>
      </c>
      <c r="G155" s="162">
        <f>G80+G81+G138+G142+G146+G152+G154+G153+G79</f>
        <v>29139348</v>
      </c>
    </row>
    <row r="156" spans="1:7" s="157" customFormat="1" ht="4.5" customHeight="1">
      <c r="A156" s="668"/>
      <c r="B156" s="155"/>
      <c r="C156" s="155"/>
      <c r="D156" s="629"/>
      <c r="E156" s="159"/>
      <c r="F156" s="159"/>
      <c r="G156" s="159"/>
    </row>
    <row r="157" spans="1:7" s="157" customFormat="1" ht="12.75">
      <c r="A157" s="668" t="s">
        <v>720</v>
      </c>
      <c r="B157" s="163" t="s">
        <v>105</v>
      </c>
      <c r="C157" s="163" t="s">
        <v>490</v>
      </c>
      <c r="D157" s="629"/>
      <c r="E157" s="159"/>
      <c r="F157" s="159"/>
      <c r="G157" s="159"/>
    </row>
    <row r="158" spans="1:7" s="157" customFormat="1" ht="12.75" hidden="1">
      <c r="A158" s="668"/>
      <c r="B158" s="155" t="s">
        <v>491</v>
      </c>
      <c r="C158" s="155" t="s">
        <v>492</v>
      </c>
      <c r="D158" s="629" t="s">
        <v>336</v>
      </c>
      <c r="E158" s="159" t="s">
        <v>337</v>
      </c>
      <c r="F158" s="159" t="s">
        <v>337</v>
      </c>
      <c r="G158" s="159">
        <v>0</v>
      </c>
    </row>
    <row r="159" spans="1:7" s="157" customFormat="1" ht="12.75" hidden="1">
      <c r="A159" s="668"/>
      <c r="B159" s="155" t="s">
        <v>493</v>
      </c>
      <c r="C159" s="155" t="s">
        <v>704</v>
      </c>
      <c r="D159" s="629" t="s">
        <v>336</v>
      </c>
      <c r="E159" s="159" t="s">
        <v>337</v>
      </c>
      <c r="F159" s="159" t="s">
        <v>337</v>
      </c>
      <c r="G159" s="159">
        <v>0</v>
      </c>
    </row>
    <row r="160" spans="1:7" s="157" customFormat="1" ht="12.75" hidden="1">
      <c r="A160" s="668"/>
      <c r="B160" s="155" t="s">
        <v>494</v>
      </c>
      <c r="C160" s="155" t="s">
        <v>495</v>
      </c>
      <c r="D160" s="629" t="s">
        <v>336</v>
      </c>
      <c r="E160" s="159">
        <v>454</v>
      </c>
      <c r="F160" s="159">
        <v>0</v>
      </c>
      <c r="G160" s="159">
        <v>0</v>
      </c>
    </row>
    <row r="161" spans="1:7" s="157" customFormat="1" ht="12.75">
      <c r="A161" s="668" t="s">
        <v>721</v>
      </c>
      <c r="B161" s="155" t="s">
        <v>705</v>
      </c>
      <c r="C161" s="155" t="s">
        <v>496</v>
      </c>
      <c r="D161" s="629" t="s">
        <v>336</v>
      </c>
      <c r="E161" s="159">
        <v>1210</v>
      </c>
      <c r="F161" s="159">
        <v>0</v>
      </c>
      <c r="G161" s="159">
        <v>2368143</v>
      </c>
    </row>
    <row r="162" spans="1:7" s="157" customFormat="1" ht="12.75" hidden="1">
      <c r="A162" s="668"/>
      <c r="B162" s="155" t="s">
        <v>497</v>
      </c>
      <c r="C162" s="155" t="s">
        <v>498</v>
      </c>
      <c r="D162" s="629" t="s">
        <v>336</v>
      </c>
      <c r="E162" s="159" t="s">
        <v>337</v>
      </c>
      <c r="F162" s="159" t="s">
        <v>337</v>
      </c>
      <c r="G162" s="159"/>
    </row>
    <row r="163" spans="1:7" s="157" customFormat="1" ht="12.75" hidden="1">
      <c r="A163" s="668"/>
      <c r="B163" s="155" t="s">
        <v>499</v>
      </c>
      <c r="C163" s="155" t="s">
        <v>500</v>
      </c>
      <c r="D163" s="629" t="s">
        <v>336</v>
      </c>
      <c r="E163" s="159">
        <v>692200000</v>
      </c>
      <c r="F163" s="159">
        <v>0</v>
      </c>
      <c r="G163" s="159"/>
    </row>
    <row r="164" spans="1:7" s="157" customFormat="1" ht="12.75" hidden="1">
      <c r="A164" s="668"/>
      <c r="B164" s="155" t="s">
        <v>501</v>
      </c>
      <c r="C164" s="155" t="s">
        <v>502</v>
      </c>
      <c r="D164" s="629" t="s">
        <v>336</v>
      </c>
      <c r="E164" s="159">
        <v>407</v>
      </c>
      <c r="F164" s="159">
        <v>0</v>
      </c>
      <c r="G164" s="159"/>
    </row>
    <row r="165" spans="1:7" s="157" customFormat="1" ht="12.75" hidden="1">
      <c r="A165" s="668"/>
      <c r="B165" s="155" t="s">
        <v>503</v>
      </c>
      <c r="C165" s="155" t="s">
        <v>706</v>
      </c>
      <c r="D165" s="629" t="s">
        <v>336</v>
      </c>
      <c r="E165" s="159" t="s">
        <v>337</v>
      </c>
      <c r="F165" s="159" t="s">
        <v>337</v>
      </c>
      <c r="G165" s="159"/>
    </row>
    <row r="166" spans="1:7" s="157" customFormat="1" ht="12.75" hidden="1">
      <c r="A166" s="668"/>
      <c r="B166" s="155" t="s">
        <v>504</v>
      </c>
      <c r="C166" s="155" t="s">
        <v>505</v>
      </c>
      <c r="D166" s="629" t="s">
        <v>336</v>
      </c>
      <c r="E166" s="159" t="s">
        <v>337</v>
      </c>
      <c r="F166" s="159" t="s">
        <v>337</v>
      </c>
      <c r="G166" s="159"/>
    </row>
    <row r="167" spans="1:7" s="732" customFormat="1" ht="12.75" hidden="1">
      <c r="A167" s="731"/>
      <c r="B167" s="626"/>
      <c r="C167" s="626"/>
      <c r="D167" s="627"/>
      <c r="E167" s="628"/>
      <c r="F167" s="628"/>
      <c r="G167" s="628"/>
    </row>
    <row r="168" spans="1:7" s="157" customFormat="1" ht="12.75">
      <c r="A168" s="668"/>
      <c r="B168" s="155"/>
      <c r="C168" s="155" t="s">
        <v>729</v>
      </c>
      <c r="D168" s="629"/>
      <c r="E168" s="159"/>
      <c r="F168" s="159"/>
      <c r="G168" s="159">
        <v>61100</v>
      </c>
    </row>
    <row r="169" spans="1:7" s="157" customFormat="1" ht="12.75">
      <c r="A169" s="668"/>
      <c r="B169" s="155"/>
      <c r="C169" s="155" t="s">
        <v>917</v>
      </c>
      <c r="D169" s="629"/>
      <c r="E169" s="159"/>
      <c r="F169" s="159"/>
      <c r="G169" s="159">
        <v>813990</v>
      </c>
    </row>
    <row r="170" spans="1:7" s="157" customFormat="1" ht="12.75">
      <c r="A170" s="668" t="s">
        <v>722</v>
      </c>
      <c r="B170" s="639" t="s">
        <v>506</v>
      </c>
      <c r="C170" s="639" t="s">
        <v>507</v>
      </c>
      <c r="D170" s="637" t="s">
        <v>336</v>
      </c>
      <c r="E170" s="638" t="s">
        <v>337</v>
      </c>
      <c r="F170" s="638" t="s">
        <v>337</v>
      </c>
      <c r="G170" s="638">
        <f>G161+G168+G169+G167</f>
        <v>3243233</v>
      </c>
    </row>
    <row r="171" spans="1:7" s="157" customFormat="1" ht="12.75">
      <c r="A171" s="668"/>
      <c r="B171" s="155"/>
      <c r="C171" s="155"/>
      <c r="D171" s="629"/>
      <c r="E171" s="159"/>
      <c r="F171" s="159"/>
      <c r="G171" s="159"/>
    </row>
    <row r="172" spans="1:7" s="157" customFormat="1" ht="12.75" hidden="1">
      <c r="A172" s="668"/>
      <c r="B172" s="155" t="s">
        <v>508</v>
      </c>
      <c r="C172" s="155" t="s">
        <v>509</v>
      </c>
      <c r="D172" s="629" t="s">
        <v>336</v>
      </c>
      <c r="E172" s="159" t="s">
        <v>337</v>
      </c>
      <c r="F172" s="159" t="s">
        <v>337</v>
      </c>
      <c r="G172" s="159">
        <v>0</v>
      </c>
    </row>
    <row r="173" spans="1:7" s="157" customFormat="1" ht="12.75" hidden="1">
      <c r="A173" s="668"/>
      <c r="B173" s="155"/>
      <c r="C173" s="155"/>
      <c r="D173" s="629"/>
      <c r="E173" s="159"/>
      <c r="F173" s="159"/>
      <c r="G173" s="159"/>
    </row>
    <row r="174" spans="1:7" s="157" customFormat="1" ht="12.75" hidden="1">
      <c r="A174" s="668"/>
      <c r="B174" s="155" t="s">
        <v>510</v>
      </c>
      <c r="C174" s="155" t="s">
        <v>511</v>
      </c>
      <c r="D174" s="629" t="s">
        <v>336</v>
      </c>
      <c r="E174" s="159" t="s">
        <v>337</v>
      </c>
      <c r="F174" s="159" t="s">
        <v>337</v>
      </c>
      <c r="G174" s="159">
        <v>0</v>
      </c>
    </row>
    <row r="175" spans="1:7" s="157" customFormat="1" ht="12.75" hidden="1">
      <c r="A175" s="668"/>
      <c r="B175" s="155" t="s">
        <v>512</v>
      </c>
      <c r="C175" s="155" t="s">
        <v>513</v>
      </c>
      <c r="D175" s="629" t="s">
        <v>336</v>
      </c>
      <c r="E175" s="159" t="s">
        <v>337</v>
      </c>
      <c r="F175" s="159" t="s">
        <v>337</v>
      </c>
      <c r="G175" s="159">
        <v>0</v>
      </c>
    </row>
    <row r="176" spans="1:7" s="157" customFormat="1" ht="12.75" hidden="1">
      <c r="A176" s="668"/>
      <c r="B176" s="155" t="s">
        <v>514</v>
      </c>
      <c r="C176" s="155" t="s">
        <v>515</v>
      </c>
      <c r="D176" s="629" t="s">
        <v>336</v>
      </c>
      <c r="E176" s="159" t="s">
        <v>337</v>
      </c>
      <c r="F176" s="159" t="s">
        <v>337</v>
      </c>
      <c r="G176" s="159">
        <v>0</v>
      </c>
    </row>
    <row r="177" spans="1:7" s="157" customFormat="1" ht="12.75" hidden="1">
      <c r="A177" s="668"/>
      <c r="B177" s="155"/>
      <c r="C177" s="155"/>
      <c r="D177" s="629"/>
      <c r="E177" s="159"/>
      <c r="F177" s="159"/>
      <c r="G177" s="159"/>
    </row>
    <row r="178" spans="1:7" s="157" customFormat="1" ht="12.75" hidden="1">
      <c r="A178" s="668"/>
      <c r="B178" s="155" t="s">
        <v>516</v>
      </c>
      <c r="C178" s="155" t="s">
        <v>511</v>
      </c>
      <c r="D178" s="629" t="s">
        <v>336</v>
      </c>
      <c r="E178" s="159" t="s">
        <v>337</v>
      </c>
      <c r="F178" s="159" t="s">
        <v>337</v>
      </c>
      <c r="G178" s="159">
        <v>0</v>
      </c>
    </row>
    <row r="179" spans="1:7" s="157" customFormat="1" ht="12.75" hidden="1">
      <c r="A179" s="668"/>
      <c r="B179" s="155" t="s">
        <v>517</v>
      </c>
      <c r="C179" s="155" t="s">
        <v>518</v>
      </c>
      <c r="D179" s="629" t="s">
        <v>336</v>
      </c>
      <c r="E179" s="159" t="s">
        <v>337</v>
      </c>
      <c r="F179" s="159" t="s">
        <v>337</v>
      </c>
      <c r="G179" s="159">
        <v>0</v>
      </c>
    </row>
    <row r="180" spans="1:7" s="157" customFormat="1" ht="12.75" hidden="1">
      <c r="A180" s="668"/>
      <c r="B180" s="155" t="s">
        <v>519</v>
      </c>
      <c r="C180" s="155" t="s">
        <v>515</v>
      </c>
      <c r="D180" s="629" t="s">
        <v>336</v>
      </c>
      <c r="E180" s="159" t="s">
        <v>337</v>
      </c>
      <c r="F180" s="159" t="s">
        <v>337</v>
      </c>
      <c r="G180" s="159">
        <v>0</v>
      </c>
    </row>
    <row r="181" spans="1:7" s="157" customFormat="1" ht="12.75" hidden="1">
      <c r="A181" s="668"/>
      <c r="B181" s="155" t="s">
        <v>520</v>
      </c>
      <c r="C181" s="155" t="s">
        <v>521</v>
      </c>
      <c r="D181" s="629" t="s">
        <v>336</v>
      </c>
      <c r="E181" s="159" t="s">
        <v>337</v>
      </c>
      <c r="F181" s="159" t="s">
        <v>337</v>
      </c>
      <c r="G181" s="159">
        <v>0</v>
      </c>
    </row>
    <row r="182" spans="1:7" s="157" customFormat="1" ht="12.75" hidden="1">
      <c r="A182" s="668"/>
      <c r="B182" s="155"/>
      <c r="C182" s="155"/>
      <c r="D182" s="629"/>
      <c r="E182" s="159"/>
      <c r="F182" s="159"/>
      <c r="G182" s="159"/>
    </row>
    <row r="183" spans="1:7" s="157" customFormat="1" ht="12.75" hidden="1">
      <c r="A183" s="668"/>
      <c r="B183" s="155" t="s">
        <v>522</v>
      </c>
      <c r="C183" s="155" t="s">
        <v>511</v>
      </c>
      <c r="D183" s="629" t="s">
        <v>336</v>
      </c>
      <c r="E183" s="159" t="s">
        <v>337</v>
      </c>
      <c r="F183" s="159" t="s">
        <v>337</v>
      </c>
      <c r="G183" s="159">
        <v>0</v>
      </c>
    </row>
    <row r="184" spans="1:7" s="157" customFormat="1" ht="12.75" hidden="1">
      <c r="A184" s="668"/>
      <c r="B184" s="155" t="s">
        <v>523</v>
      </c>
      <c r="C184" s="155" t="s">
        <v>518</v>
      </c>
      <c r="D184" s="629" t="s">
        <v>336</v>
      </c>
      <c r="E184" s="159" t="s">
        <v>337</v>
      </c>
      <c r="F184" s="159" t="s">
        <v>337</v>
      </c>
      <c r="G184" s="159">
        <v>0</v>
      </c>
    </row>
    <row r="185" spans="1:7" s="157" customFormat="1" ht="12.75" hidden="1">
      <c r="A185" s="668"/>
      <c r="B185" s="155" t="s">
        <v>524</v>
      </c>
      <c r="C185" s="155" t="s">
        <v>525</v>
      </c>
      <c r="D185" s="629" t="s">
        <v>336</v>
      </c>
      <c r="E185" s="159" t="s">
        <v>337</v>
      </c>
      <c r="F185" s="159" t="s">
        <v>337</v>
      </c>
      <c r="G185" s="159">
        <v>0</v>
      </c>
    </row>
    <row r="186" spans="1:7" s="157" customFormat="1" ht="12.75" hidden="1">
      <c r="A186" s="668"/>
      <c r="B186" s="155"/>
      <c r="C186" s="155"/>
      <c r="D186" s="629"/>
      <c r="E186" s="159"/>
      <c r="F186" s="159"/>
      <c r="G186" s="159"/>
    </row>
    <row r="187" spans="1:7" s="157" customFormat="1" ht="12.75" hidden="1">
      <c r="A187" s="668"/>
      <c r="B187" s="155" t="s">
        <v>526</v>
      </c>
      <c r="C187" s="155" t="s">
        <v>511</v>
      </c>
      <c r="D187" s="629" t="s">
        <v>336</v>
      </c>
      <c r="E187" s="159" t="s">
        <v>337</v>
      </c>
      <c r="F187" s="159" t="s">
        <v>337</v>
      </c>
      <c r="G187" s="159">
        <v>0</v>
      </c>
    </row>
    <row r="188" spans="1:7" s="157" customFormat="1" ht="12.75" hidden="1">
      <c r="A188" s="668"/>
      <c r="B188" s="155" t="s">
        <v>527</v>
      </c>
      <c r="C188" s="155" t="s">
        <v>518</v>
      </c>
      <c r="D188" s="629" t="s">
        <v>336</v>
      </c>
      <c r="E188" s="159" t="s">
        <v>337</v>
      </c>
      <c r="F188" s="159" t="s">
        <v>337</v>
      </c>
      <c r="G188" s="159">
        <v>0</v>
      </c>
    </row>
    <row r="189" spans="1:7" s="157" customFormat="1" ht="12.75" hidden="1">
      <c r="A189" s="668"/>
      <c r="B189" s="155" t="s">
        <v>528</v>
      </c>
      <c r="C189" s="155" t="s">
        <v>525</v>
      </c>
      <c r="D189" s="629" t="s">
        <v>336</v>
      </c>
      <c r="E189" s="159" t="s">
        <v>337</v>
      </c>
      <c r="F189" s="159" t="s">
        <v>337</v>
      </c>
      <c r="G189" s="159">
        <v>0</v>
      </c>
    </row>
    <row r="190" spans="1:7" s="157" customFormat="1" ht="12.75" hidden="1">
      <c r="A190" s="668"/>
      <c r="B190" s="155" t="s">
        <v>529</v>
      </c>
      <c r="C190" s="155" t="s">
        <v>530</v>
      </c>
      <c r="D190" s="629" t="s">
        <v>336</v>
      </c>
      <c r="E190" s="159" t="s">
        <v>337</v>
      </c>
      <c r="F190" s="159" t="s">
        <v>337</v>
      </c>
      <c r="G190" s="159">
        <v>0</v>
      </c>
    </row>
    <row r="191" spans="1:7" s="157" customFormat="1" ht="12.75" hidden="1">
      <c r="A191" s="668"/>
      <c r="B191" s="155" t="s">
        <v>531</v>
      </c>
      <c r="C191" s="155" t="s">
        <v>532</v>
      </c>
      <c r="D191" s="629" t="s">
        <v>336</v>
      </c>
      <c r="E191" s="159" t="s">
        <v>337</v>
      </c>
      <c r="F191" s="159" t="s">
        <v>337</v>
      </c>
      <c r="G191" s="159">
        <v>0</v>
      </c>
    </row>
    <row r="192" spans="1:7" s="157" customFormat="1" ht="12.75" hidden="1">
      <c r="A192" s="668"/>
      <c r="B192" s="155" t="s">
        <v>533</v>
      </c>
      <c r="C192" s="155" t="s">
        <v>534</v>
      </c>
      <c r="D192" s="629" t="s">
        <v>336</v>
      </c>
      <c r="E192" s="159" t="s">
        <v>337</v>
      </c>
      <c r="F192" s="159" t="s">
        <v>337</v>
      </c>
      <c r="G192" s="159">
        <v>0</v>
      </c>
    </row>
    <row r="193" spans="1:7" s="157" customFormat="1" ht="12.75" hidden="1">
      <c r="A193" s="668"/>
      <c r="B193" s="155" t="s">
        <v>535</v>
      </c>
      <c r="C193" s="155" t="s">
        <v>536</v>
      </c>
      <c r="D193" s="629" t="s">
        <v>336</v>
      </c>
      <c r="E193" s="159" t="s">
        <v>337</v>
      </c>
      <c r="F193" s="159" t="s">
        <v>337</v>
      </c>
      <c r="G193" s="159">
        <v>0</v>
      </c>
    </row>
    <row r="194" spans="1:7" s="157" customFormat="1" ht="12.75">
      <c r="A194" s="668" t="s">
        <v>723</v>
      </c>
      <c r="B194" s="161" t="s">
        <v>105</v>
      </c>
      <c r="C194" s="161" t="s">
        <v>537</v>
      </c>
      <c r="D194" s="636" t="s">
        <v>336</v>
      </c>
      <c r="E194" s="162" t="s">
        <v>337</v>
      </c>
      <c r="F194" s="162" t="s">
        <v>337</v>
      </c>
      <c r="G194" s="162">
        <f>G170</f>
        <v>3243233</v>
      </c>
    </row>
    <row r="195" spans="1:7" s="157" customFormat="1" ht="12.75">
      <c r="A195" s="668"/>
      <c r="B195" s="161" t="s">
        <v>106</v>
      </c>
      <c r="C195" s="161" t="s">
        <v>737</v>
      </c>
      <c r="D195" s="636"/>
      <c r="E195" s="162"/>
      <c r="F195" s="162"/>
      <c r="G195" s="162">
        <v>0</v>
      </c>
    </row>
    <row r="196" spans="1:7" s="157" customFormat="1" ht="12.75">
      <c r="A196" s="668"/>
      <c r="B196" s="161" t="s">
        <v>107</v>
      </c>
      <c r="C196" s="161" t="s">
        <v>736</v>
      </c>
      <c r="D196" s="636"/>
      <c r="E196" s="162"/>
      <c r="F196" s="162"/>
      <c r="G196" s="162"/>
    </row>
    <row r="197" spans="1:7" s="157" customFormat="1" ht="12.75">
      <c r="A197" s="668" t="s">
        <v>724</v>
      </c>
      <c r="B197" s="642"/>
      <c r="C197" s="642" t="s">
        <v>558</v>
      </c>
      <c r="D197" s="642"/>
      <c r="E197" s="160"/>
      <c r="F197" s="160"/>
      <c r="G197" s="160">
        <f>G194+G155+G77+G30+G196+G195</f>
        <v>100768501</v>
      </c>
    </row>
    <row r="198" spans="1:7" ht="12.75">
      <c r="A198" s="736"/>
      <c r="B198" s="75"/>
      <c r="C198" s="76"/>
      <c r="D198" s="75"/>
      <c r="E198" s="75"/>
      <c r="F198" s="150"/>
      <c r="G198" s="75"/>
    </row>
    <row r="199" spans="1:7" ht="12.75">
      <c r="A199" s="736"/>
      <c r="B199" s="75"/>
      <c r="C199" s="76"/>
      <c r="D199" s="75"/>
      <c r="E199" s="75"/>
      <c r="F199" s="150"/>
      <c r="G199" s="75"/>
    </row>
    <row r="200" spans="1:7" ht="12.75">
      <c r="A200" s="736"/>
      <c r="B200" s="75"/>
      <c r="C200" s="76"/>
      <c r="D200" s="75"/>
      <c r="E200" s="75"/>
      <c r="F200" s="150"/>
      <c r="G200" s="75"/>
    </row>
  </sheetData>
  <mergeCells count="1">
    <mergeCell ref="A3:E3"/>
  </mergeCells>
  <printOptions/>
  <pageMargins left="0.6692913385826772" right="0.2362204724409449" top="0.17" bottom="0.1968503937007874" header="0.17" footer="0.1968503937007874"/>
  <pageSetup horizontalDpi="300" verticalDpi="3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 topLeftCell="A1">
      <selection activeCell="H35" sqref="H35"/>
    </sheetView>
  </sheetViews>
  <sheetFormatPr defaultColWidth="9.00390625" defaultRowHeight="12.75"/>
  <cols>
    <col min="1" max="1" width="43.875" style="0" customWidth="1"/>
    <col min="2" max="3" width="14.125" style="0" bestFit="1" customWidth="1"/>
    <col min="4" max="4" width="8.00390625" style="0" bestFit="1" customWidth="1"/>
    <col min="5" max="5" width="8.625" style="0" bestFit="1" customWidth="1"/>
    <col min="6" max="6" width="8.00390625" style="0" bestFit="1" customWidth="1"/>
    <col min="7" max="7" width="8.625" style="0" bestFit="1" customWidth="1"/>
    <col min="8" max="9" width="8.875" style="0" bestFit="1" customWidth="1"/>
    <col min="10" max="10" width="7.875" style="0" bestFit="1" customWidth="1"/>
    <col min="11" max="11" width="8.625" style="0" bestFit="1" customWidth="1"/>
    <col min="12" max="13" width="8.875" style="0" bestFit="1" customWidth="1"/>
    <col min="14" max="17" width="9.75390625" style="0" bestFit="1" customWidth="1"/>
    <col min="18" max="19" width="8.875" style="0" bestFit="1" customWidth="1"/>
  </cols>
  <sheetData>
    <row r="1" spans="5:14" s="157" customFormat="1" ht="12.75">
      <c r="E1" s="360"/>
      <c r="G1" s="360"/>
      <c r="I1" s="360"/>
      <c r="K1" s="360"/>
      <c r="M1" s="360" t="s">
        <v>119</v>
      </c>
      <c r="N1" s="737" t="str">
        <f>'Áll.hj.'!B1</f>
        <v>melléklet a 12/2020.(IX.17.) önkormányzati rendelethez</v>
      </c>
    </row>
    <row r="2" s="157" customFormat="1" ht="12.75"/>
    <row r="3" spans="1:19" s="740" customFormat="1" ht="15">
      <c r="A3" s="1158" t="s">
        <v>803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749"/>
      <c r="S3" s="749"/>
    </row>
    <row r="4" spans="1:19" s="157" customFormat="1" ht="13.5" thickBot="1">
      <c r="A4" s="738"/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</row>
    <row r="5" spans="1:19" s="157" customFormat="1" ht="13.5" thickBot="1">
      <c r="A5" s="1154" t="s">
        <v>239</v>
      </c>
      <c r="B5" s="1155"/>
      <c r="C5" s="1156"/>
      <c r="D5" s="1151" t="s">
        <v>240</v>
      </c>
      <c r="E5" s="1152"/>
      <c r="F5" s="1152"/>
      <c r="G5" s="1152"/>
      <c r="H5" s="1152"/>
      <c r="I5" s="1152"/>
      <c r="J5" s="1152"/>
      <c r="K5" s="1152"/>
      <c r="L5" s="1152"/>
      <c r="M5" s="1152"/>
      <c r="N5" s="1152"/>
      <c r="O5" s="1152"/>
      <c r="P5" s="1152"/>
      <c r="Q5" s="1152"/>
      <c r="R5" s="1152"/>
      <c r="S5" s="1153"/>
    </row>
    <row r="6" spans="1:19" s="157" customFormat="1" ht="12.75" customHeight="1">
      <c r="A6" s="1159" t="s">
        <v>44</v>
      </c>
      <c r="B6" s="1161" t="s">
        <v>738</v>
      </c>
      <c r="C6" s="1163" t="s">
        <v>739</v>
      </c>
      <c r="D6" s="1157" t="s">
        <v>741</v>
      </c>
      <c r="E6" s="1150"/>
      <c r="F6" s="1150" t="s">
        <v>742</v>
      </c>
      <c r="G6" s="1150"/>
      <c r="H6" s="1150" t="s">
        <v>740</v>
      </c>
      <c r="I6" s="1150"/>
      <c r="J6" s="1150" t="s">
        <v>743</v>
      </c>
      <c r="K6" s="1150"/>
      <c r="L6" s="1150" t="s">
        <v>94</v>
      </c>
      <c r="M6" s="1150"/>
      <c r="N6" s="1150" t="s">
        <v>248</v>
      </c>
      <c r="O6" s="1150"/>
      <c r="P6" s="1161" t="s">
        <v>247</v>
      </c>
      <c r="Q6" s="1161"/>
      <c r="R6" s="1150" t="s">
        <v>898</v>
      </c>
      <c r="S6" s="1150"/>
    </row>
    <row r="7" spans="1:19" s="157" customFormat="1" ht="12.75">
      <c r="A7" s="1160"/>
      <c r="B7" s="1162"/>
      <c r="C7" s="1164"/>
      <c r="D7" s="743" t="s">
        <v>616</v>
      </c>
      <c r="E7" s="741" t="s">
        <v>617</v>
      </c>
      <c r="F7" s="741" t="s">
        <v>616</v>
      </c>
      <c r="G7" s="741" t="s">
        <v>617</v>
      </c>
      <c r="H7" s="741" t="s">
        <v>616</v>
      </c>
      <c r="I7" s="741" t="s">
        <v>617</v>
      </c>
      <c r="J7" s="741" t="s">
        <v>616</v>
      </c>
      <c r="K7" s="741" t="s">
        <v>617</v>
      </c>
      <c r="L7" s="741" t="s">
        <v>616</v>
      </c>
      <c r="M7" s="741" t="s">
        <v>617</v>
      </c>
      <c r="N7" s="741" t="s">
        <v>616</v>
      </c>
      <c r="O7" s="741" t="s">
        <v>617</v>
      </c>
      <c r="P7" s="741" t="s">
        <v>616</v>
      </c>
      <c r="Q7" s="741" t="s">
        <v>617</v>
      </c>
      <c r="R7" s="741" t="s">
        <v>616</v>
      </c>
      <c r="S7" s="744" t="s">
        <v>617</v>
      </c>
    </row>
    <row r="8" spans="1:19" s="746" customFormat="1" ht="12">
      <c r="A8" s="747" t="s">
        <v>769</v>
      </c>
      <c r="B8" s="799">
        <f>D8+F8+H8+J8+L8+N8+P8+R8</f>
        <v>6139.184</v>
      </c>
      <c r="C8" s="799">
        <f>E8+G8+I8+K8+M8+O8+Q8+S8</f>
        <v>6139.184</v>
      </c>
      <c r="D8" s="955"/>
      <c r="E8" s="799"/>
      <c r="F8" s="799"/>
      <c r="G8" s="799"/>
      <c r="H8" s="799"/>
      <c r="I8" s="799"/>
      <c r="J8" s="799">
        <v>6139.184</v>
      </c>
      <c r="K8" s="799">
        <v>6139.184</v>
      </c>
      <c r="L8" s="799"/>
      <c r="M8" s="799"/>
      <c r="N8" s="799"/>
      <c r="O8" s="799"/>
      <c r="P8" s="799"/>
      <c r="Q8" s="799"/>
      <c r="R8" s="799"/>
      <c r="S8" s="799"/>
    </row>
    <row r="9" spans="1:19" s="746" customFormat="1" ht="12">
      <c r="A9" s="747" t="s">
        <v>905</v>
      </c>
      <c r="B9" s="799">
        <f aca="true" t="shared" si="0" ref="B9:B20">D9+F9+H9+J9+L9+N9+P9+R9</f>
        <v>10042.227</v>
      </c>
      <c r="C9" s="799">
        <f aca="true" t="shared" si="1" ref="B9:C20">E9+G9+I9+K9+M9+O9+Q9+S9</f>
        <v>10042.227</v>
      </c>
      <c r="D9" s="800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712">
        <v>10042.227</v>
      </c>
      <c r="Q9" s="712">
        <v>10042.227</v>
      </c>
      <c r="R9" s="802"/>
      <c r="S9" s="803"/>
    </row>
    <row r="10" spans="1:19" s="746" customFormat="1" ht="12">
      <c r="A10" s="675" t="s">
        <v>822</v>
      </c>
      <c r="B10" s="799">
        <f t="shared" si="0"/>
        <v>40583.905</v>
      </c>
      <c r="C10" s="799">
        <f t="shared" si="1"/>
        <v>40583.905</v>
      </c>
      <c r="D10" s="800"/>
      <c r="E10" s="801"/>
      <c r="F10" s="801"/>
      <c r="G10" s="801"/>
      <c r="H10" s="801"/>
      <c r="I10" s="801">
        <v>1820.232</v>
      </c>
      <c r="J10" s="801"/>
      <c r="K10" s="801"/>
      <c r="L10" s="801"/>
      <c r="M10" s="801"/>
      <c r="N10" s="801"/>
      <c r="O10" s="801"/>
      <c r="P10" s="712">
        <v>40583.905</v>
      </c>
      <c r="Q10" s="712">
        <f>40583.905-360-97.2-1073.256-289.776</f>
        <v>38763.673</v>
      </c>
      <c r="R10" s="802"/>
      <c r="S10" s="803"/>
    </row>
    <row r="11" spans="1:21" s="746" customFormat="1" ht="12">
      <c r="A11" s="810" t="s">
        <v>871</v>
      </c>
      <c r="B11" s="799">
        <f t="shared" si="0"/>
        <v>43708.942</v>
      </c>
      <c r="C11" s="799">
        <f t="shared" si="1"/>
        <v>45481.725000000006</v>
      </c>
      <c r="D11" s="956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712">
        <v>43708.942</v>
      </c>
      <c r="Q11" s="712">
        <f>43708.942+1395.892+376.891</f>
        <v>45481.725000000006</v>
      </c>
      <c r="R11" s="802"/>
      <c r="S11" s="803"/>
      <c r="U11" s="750"/>
    </row>
    <row r="12" spans="1:19" s="746" customFormat="1" ht="12">
      <c r="A12" s="713" t="s">
        <v>873</v>
      </c>
      <c r="B12" s="799">
        <f t="shared" si="0"/>
        <v>0</v>
      </c>
      <c r="C12" s="799">
        <f t="shared" si="1"/>
        <v>3040.3940000000002</v>
      </c>
      <c r="D12" s="958"/>
      <c r="E12" s="959"/>
      <c r="F12" s="959"/>
      <c r="G12" s="959"/>
      <c r="H12" s="959"/>
      <c r="I12" s="959"/>
      <c r="J12" s="959"/>
      <c r="K12" s="959"/>
      <c r="L12" s="959"/>
      <c r="M12" s="959"/>
      <c r="N12" s="959"/>
      <c r="O12" s="959"/>
      <c r="P12" s="802"/>
      <c r="Q12" s="214">
        <f>2394.011+646.383</f>
        <v>3040.3940000000002</v>
      </c>
      <c r="R12" s="802"/>
      <c r="S12" s="803"/>
    </row>
    <row r="13" spans="1:21" s="746" customFormat="1" ht="12">
      <c r="A13" s="747" t="s">
        <v>880</v>
      </c>
      <c r="B13" s="799">
        <f t="shared" si="0"/>
        <v>2355.476</v>
      </c>
      <c r="C13" s="799">
        <f t="shared" si="1"/>
        <v>22642.217</v>
      </c>
      <c r="D13" s="960"/>
      <c r="E13" s="961"/>
      <c r="F13" s="961"/>
      <c r="G13" s="961"/>
      <c r="H13" s="961"/>
      <c r="I13" s="961"/>
      <c r="J13" s="961"/>
      <c r="K13" s="961"/>
      <c r="L13" s="796">
        <v>2355.476</v>
      </c>
      <c r="M13" s="961">
        <v>22642.217</v>
      </c>
      <c r="N13" s="961"/>
      <c r="O13" s="961"/>
      <c r="P13" s="799"/>
      <c r="Q13" s="799"/>
      <c r="R13" s="802"/>
      <c r="S13" s="803"/>
      <c r="U13" s="750"/>
    </row>
    <row r="14" spans="1:19" s="746" customFormat="1" ht="12">
      <c r="A14" s="747" t="s">
        <v>899</v>
      </c>
      <c r="B14" s="799">
        <f t="shared" si="0"/>
        <v>90000</v>
      </c>
      <c r="C14" s="799">
        <f t="shared" si="1"/>
        <v>90000</v>
      </c>
      <c r="D14" s="800"/>
      <c r="E14" s="801"/>
      <c r="F14" s="801"/>
      <c r="G14" s="801"/>
      <c r="H14" s="801"/>
      <c r="I14" s="801"/>
      <c r="J14" s="801"/>
      <c r="K14" s="801"/>
      <c r="L14" s="801"/>
      <c r="M14" s="801"/>
      <c r="N14" s="799"/>
      <c r="O14" s="799"/>
      <c r="P14" s="802"/>
      <c r="Q14" s="802"/>
      <c r="R14" s="802">
        <v>90000</v>
      </c>
      <c r="S14" s="803">
        <v>90000</v>
      </c>
    </row>
    <row r="15" spans="1:19" s="746" customFormat="1" ht="12">
      <c r="A15" s="968" t="s">
        <v>904</v>
      </c>
      <c r="B15" s="799">
        <f t="shared" si="1"/>
        <v>14170.266000000001</v>
      </c>
      <c r="C15" s="799">
        <f t="shared" si="1"/>
        <v>23139.428</v>
      </c>
      <c r="D15" s="970">
        <v>6611</v>
      </c>
      <c r="E15" s="971">
        <v>6611</v>
      </c>
      <c r="F15" s="971">
        <v>1138.8</v>
      </c>
      <c r="G15" s="971">
        <v>1138.8</v>
      </c>
      <c r="H15" s="971">
        <v>2971.366</v>
      </c>
      <c r="I15" s="971">
        <v>11940.528</v>
      </c>
      <c r="J15" s="971">
        <v>3449.1</v>
      </c>
      <c r="K15" s="971">
        <v>3449.1</v>
      </c>
      <c r="L15" s="971"/>
      <c r="M15" s="971"/>
      <c r="N15" s="969"/>
      <c r="O15" s="969"/>
      <c r="P15" s="972"/>
      <c r="Q15" s="972"/>
      <c r="R15" s="972"/>
      <c r="S15" s="973"/>
    </row>
    <row r="16" spans="1:19" s="746" customFormat="1" ht="12">
      <c r="A16" s="968" t="s">
        <v>907</v>
      </c>
      <c r="B16" s="969">
        <v>0</v>
      </c>
      <c r="C16" s="799">
        <f t="shared" si="1"/>
        <v>171.7</v>
      </c>
      <c r="D16" s="970"/>
      <c r="E16" s="971"/>
      <c r="F16" s="971"/>
      <c r="G16" s="971"/>
      <c r="H16" s="971"/>
      <c r="I16" s="971">
        <v>171.7</v>
      </c>
      <c r="J16" s="971"/>
      <c r="K16" s="971"/>
      <c r="L16" s="971"/>
      <c r="M16" s="971"/>
      <c r="N16" s="969"/>
      <c r="O16" s="969"/>
      <c r="P16" s="972"/>
      <c r="Q16" s="972"/>
      <c r="R16" s="972"/>
      <c r="S16" s="973"/>
    </row>
    <row r="17" spans="1:19" s="746" customFormat="1" ht="12">
      <c r="A17" s="747" t="s">
        <v>900</v>
      </c>
      <c r="B17" s="799">
        <f t="shared" si="0"/>
        <v>0</v>
      </c>
      <c r="C17" s="799">
        <f t="shared" si="1"/>
        <v>740.5</v>
      </c>
      <c r="D17" s="800"/>
      <c r="E17" s="801"/>
      <c r="F17" s="801"/>
      <c r="G17" s="801"/>
      <c r="H17" s="801"/>
      <c r="I17" s="801">
        <v>513.213</v>
      </c>
      <c r="J17" s="801"/>
      <c r="K17" s="801">
        <v>196.287</v>
      </c>
      <c r="L17" s="801"/>
      <c r="M17" s="801"/>
      <c r="N17" s="801"/>
      <c r="O17" s="801">
        <v>31</v>
      </c>
      <c r="P17" s="799"/>
      <c r="Q17" s="799"/>
      <c r="R17" s="802"/>
      <c r="S17" s="803"/>
    </row>
    <row r="18" spans="1:19" s="746" customFormat="1" ht="12">
      <c r="A18" s="747" t="s">
        <v>901</v>
      </c>
      <c r="B18" s="799">
        <f t="shared" si="0"/>
        <v>0</v>
      </c>
      <c r="C18" s="799">
        <f t="shared" si="1"/>
        <v>643.243</v>
      </c>
      <c r="D18" s="800"/>
      <c r="E18" s="801"/>
      <c r="F18" s="801"/>
      <c r="G18" s="801"/>
      <c r="H18" s="801"/>
      <c r="I18" s="801"/>
      <c r="J18" s="801"/>
      <c r="K18" s="801">
        <v>643.243</v>
      </c>
      <c r="L18" s="801"/>
      <c r="M18" s="801"/>
      <c r="N18" s="801"/>
      <c r="O18" s="801"/>
      <c r="P18" s="799"/>
      <c r="Q18" s="799"/>
      <c r="R18" s="802"/>
      <c r="S18" s="803"/>
    </row>
    <row r="19" spans="1:19" s="746" customFormat="1" ht="12">
      <c r="A19" s="747" t="s">
        <v>902</v>
      </c>
      <c r="B19" s="799">
        <f t="shared" si="0"/>
        <v>0</v>
      </c>
      <c r="C19" s="799">
        <f t="shared" si="1"/>
        <v>178.118</v>
      </c>
      <c r="D19" s="800"/>
      <c r="E19" s="801"/>
      <c r="F19" s="801"/>
      <c r="G19" s="801"/>
      <c r="H19" s="801"/>
      <c r="I19" s="801"/>
      <c r="J19" s="801"/>
      <c r="K19" s="801"/>
      <c r="L19" s="801"/>
      <c r="M19" s="801"/>
      <c r="N19" s="799"/>
      <c r="O19" s="799">
        <v>178.118</v>
      </c>
      <c r="P19" s="802"/>
      <c r="Q19" s="802"/>
      <c r="R19" s="802"/>
      <c r="S19" s="803"/>
    </row>
    <row r="20" spans="1:19" s="746" customFormat="1" ht="12">
      <c r="A20" s="747" t="s">
        <v>903</v>
      </c>
      <c r="B20" s="799">
        <f t="shared" si="0"/>
        <v>0</v>
      </c>
      <c r="C20" s="799">
        <f t="shared" si="1"/>
        <v>300</v>
      </c>
      <c r="D20" s="800"/>
      <c r="E20" s="801"/>
      <c r="F20" s="801"/>
      <c r="G20" s="801"/>
      <c r="H20" s="799"/>
      <c r="I20" s="799">
        <v>300</v>
      </c>
      <c r="J20" s="801"/>
      <c r="K20" s="801"/>
      <c r="L20" s="801"/>
      <c r="M20" s="801"/>
      <c r="N20" s="801"/>
      <c r="O20" s="801"/>
      <c r="P20" s="802"/>
      <c r="Q20" s="802"/>
      <c r="R20" s="802"/>
      <c r="S20" s="803"/>
    </row>
    <row r="21" spans="1:19" s="746" customFormat="1" ht="12">
      <c r="A21" s="747" t="s">
        <v>886</v>
      </c>
      <c r="B21" s="799">
        <f aca="true" t="shared" si="2" ref="B21:B27">D21+F21+H21+J21+L21+N21+P21+R21</f>
        <v>0</v>
      </c>
      <c r="C21" s="799">
        <f aca="true" t="shared" si="3" ref="C21:C27">E21+G21+I21+K21+M21+O21+Q21+S21</f>
        <v>100</v>
      </c>
      <c r="D21" s="800"/>
      <c r="E21" s="801"/>
      <c r="F21" s="801"/>
      <c r="G21" s="801"/>
      <c r="H21" s="801"/>
      <c r="I21" s="801"/>
      <c r="J21" s="801"/>
      <c r="K21" s="801">
        <v>100</v>
      </c>
      <c r="L21" s="801"/>
      <c r="M21" s="801"/>
      <c r="N21" s="799"/>
      <c r="O21" s="799"/>
      <c r="P21" s="802"/>
      <c r="Q21" s="802"/>
      <c r="R21" s="802"/>
      <c r="S21" s="803"/>
    </row>
    <row r="22" spans="1:19" s="746" customFormat="1" ht="12">
      <c r="A22" s="747" t="s">
        <v>906</v>
      </c>
      <c r="B22" s="799">
        <f t="shared" si="2"/>
        <v>0</v>
      </c>
      <c r="C22" s="799">
        <f t="shared" si="3"/>
        <v>1974.6770000000001</v>
      </c>
      <c r="D22" s="800"/>
      <c r="E22" s="801">
        <f>1761.035+59.549</f>
        <v>1820.584</v>
      </c>
      <c r="F22" s="801"/>
      <c r="G22" s="801">
        <v>154.093</v>
      </c>
      <c r="H22" s="799"/>
      <c r="I22" s="799"/>
      <c r="J22" s="801"/>
      <c r="K22" s="801"/>
      <c r="L22" s="801"/>
      <c r="M22" s="801"/>
      <c r="N22" s="799"/>
      <c r="O22" s="799"/>
      <c r="P22" s="802"/>
      <c r="Q22" s="802"/>
      <c r="R22" s="802"/>
      <c r="S22" s="803"/>
    </row>
    <row r="23" spans="1:19" s="746" customFormat="1" ht="12" hidden="1">
      <c r="A23" s="747"/>
      <c r="B23" s="799">
        <f t="shared" si="2"/>
        <v>0</v>
      </c>
      <c r="C23" s="799">
        <f t="shared" si="3"/>
        <v>0</v>
      </c>
      <c r="D23" s="800"/>
      <c r="E23" s="801"/>
      <c r="F23" s="801"/>
      <c r="G23" s="801"/>
      <c r="H23" s="801"/>
      <c r="I23" s="801"/>
      <c r="J23" s="801"/>
      <c r="K23" s="801"/>
      <c r="L23" s="801"/>
      <c r="M23" s="801"/>
      <c r="N23" s="799"/>
      <c r="O23" s="799"/>
      <c r="P23" s="802"/>
      <c r="Q23" s="802"/>
      <c r="R23" s="802"/>
      <c r="S23" s="803"/>
    </row>
    <row r="24" spans="1:19" s="746" customFormat="1" ht="12" hidden="1">
      <c r="A24" s="747"/>
      <c r="B24" s="799">
        <f t="shared" si="2"/>
        <v>0</v>
      </c>
      <c r="C24" s="799">
        <f t="shared" si="3"/>
        <v>0</v>
      </c>
      <c r="D24" s="800"/>
      <c r="E24" s="801"/>
      <c r="F24" s="801"/>
      <c r="G24" s="801"/>
      <c r="H24" s="799"/>
      <c r="I24" s="799"/>
      <c r="J24" s="801"/>
      <c r="K24" s="801"/>
      <c r="L24" s="801"/>
      <c r="M24" s="801"/>
      <c r="N24" s="799"/>
      <c r="O24" s="799"/>
      <c r="P24" s="802"/>
      <c r="Q24" s="802"/>
      <c r="R24" s="802"/>
      <c r="S24" s="803"/>
    </row>
    <row r="25" spans="1:19" s="746" customFormat="1" ht="12" hidden="1">
      <c r="A25" s="747"/>
      <c r="B25" s="799">
        <f t="shared" si="2"/>
        <v>0</v>
      </c>
      <c r="C25" s="799">
        <f t="shared" si="3"/>
        <v>0</v>
      </c>
      <c r="D25" s="800"/>
      <c r="E25" s="801"/>
      <c r="F25" s="801"/>
      <c r="G25" s="801"/>
      <c r="H25" s="799"/>
      <c r="I25" s="799"/>
      <c r="J25" s="801"/>
      <c r="K25" s="801"/>
      <c r="L25" s="799"/>
      <c r="M25" s="799"/>
      <c r="N25" s="801"/>
      <c r="O25" s="801"/>
      <c r="P25" s="802"/>
      <c r="Q25" s="802"/>
      <c r="R25" s="802"/>
      <c r="S25" s="803"/>
    </row>
    <row r="26" spans="1:19" s="746" customFormat="1" ht="12">
      <c r="A26" s="751" t="s">
        <v>879</v>
      </c>
      <c r="B26" s="799">
        <f t="shared" si="2"/>
        <v>0</v>
      </c>
      <c r="C26" s="799">
        <f t="shared" si="3"/>
        <v>30000</v>
      </c>
      <c r="D26" s="800"/>
      <c r="E26" s="801"/>
      <c r="F26" s="801"/>
      <c r="G26" s="801"/>
      <c r="H26" s="801"/>
      <c r="I26" s="801"/>
      <c r="J26" s="801"/>
      <c r="K26" s="801"/>
      <c r="L26" s="801"/>
      <c r="M26" s="801">
        <v>30000</v>
      </c>
      <c r="N26" s="801"/>
      <c r="O26" s="799"/>
      <c r="P26" s="802"/>
      <c r="Q26" s="802"/>
      <c r="R26" s="802"/>
      <c r="S26" s="803"/>
    </row>
    <row r="27" spans="1:19" s="746" customFormat="1" ht="12.75" thickBot="1">
      <c r="A27" s="751" t="s">
        <v>897</v>
      </c>
      <c r="B27" s="799">
        <f t="shared" si="2"/>
        <v>0</v>
      </c>
      <c r="C27" s="799">
        <f t="shared" si="3"/>
        <v>279.64</v>
      </c>
      <c r="D27" s="800"/>
      <c r="E27" s="801"/>
      <c r="F27" s="801"/>
      <c r="G27" s="801"/>
      <c r="H27" s="801"/>
      <c r="I27" s="801"/>
      <c r="J27" s="801"/>
      <c r="K27" s="799">
        <v>279.64</v>
      </c>
      <c r="L27" s="801"/>
      <c r="M27" s="799"/>
      <c r="N27" s="801"/>
      <c r="O27" s="801"/>
      <c r="P27" s="802"/>
      <c r="Q27" s="802"/>
      <c r="R27" s="802"/>
      <c r="S27" s="803"/>
    </row>
    <row r="28" spans="1:19" s="746" customFormat="1" ht="12.75" thickBot="1">
      <c r="A28" s="748" t="s">
        <v>58</v>
      </c>
      <c r="B28" s="804">
        <f aca="true" t="shared" si="4" ref="B28:S28">SUM(B8:B27)</f>
        <v>207000</v>
      </c>
      <c r="C28" s="805">
        <f t="shared" si="4"/>
        <v>275456.958</v>
      </c>
      <c r="D28" s="962">
        <f t="shared" si="4"/>
        <v>6611</v>
      </c>
      <c r="E28" s="963">
        <f t="shared" si="4"/>
        <v>8431.584</v>
      </c>
      <c r="F28" s="963">
        <f t="shared" si="4"/>
        <v>1138.8</v>
      </c>
      <c r="G28" s="963">
        <f t="shared" si="4"/>
        <v>1292.893</v>
      </c>
      <c r="H28" s="963">
        <f t="shared" si="4"/>
        <v>2971.366</v>
      </c>
      <c r="I28" s="963">
        <f t="shared" si="4"/>
        <v>14745.673</v>
      </c>
      <c r="J28" s="963">
        <f t="shared" si="4"/>
        <v>9588.284</v>
      </c>
      <c r="K28" s="963">
        <f t="shared" si="4"/>
        <v>10807.454</v>
      </c>
      <c r="L28" s="963">
        <f t="shared" si="4"/>
        <v>2355.476</v>
      </c>
      <c r="M28" s="963">
        <f t="shared" si="4"/>
        <v>52642.217000000004</v>
      </c>
      <c r="N28" s="963">
        <f t="shared" si="4"/>
        <v>0</v>
      </c>
      <c r="O28" s="963">
        <f t="shared" si="4"/>
        <v>209.118</v>
      </c>
      <c r="P28" s="963">
        <f t="shared" si="4"/>
        <v>94335.074</v>
      </c>
      <c r="Q28" s="963">
        <f t="shared" si="4"/>
        <v>97328.019</v>
      </c>
      <c r="R28" s="963">
        <f t="shared" si="4"/>
        <v>90000</v>
      </c>
      <c r="S28" s="964">
        <f t="shared" si="4"/>
        <v>90000</v>
      </c>
    </row>
    <row r="29" s="157" customFormat="1" ht="12.75"/>
    <row r="30" s="157" customFormat="1" ht="12.75">
      <c r="B30" s="966"/>
    </row>
    <row r="31" s="742" customFormat="1" ht="12.75">
      <c r="B31" s="745"/>
    </row>
    <row r="32" spans="2:3" s="742" customFormat="1" ht="12.75">
      <c r="B32" s="967"/>
      <c r="C32" s="967"/>
    </row>
    <row r="33" s="742" customFormat="1" ht="12.75"/>
    <row r="34" s="742" customFormat="1" ht="12.75"/>
  </sheetData>
  <mergeCells count="14">
    <mergeCell ref="A3:Q3"/>
    <mergeCell ref="A6:A7"/>
    <mergeCell ref="B6:B7"/>
    <mergeCell ref="C6:C7"/>
    <mergeCell ref="F6:G6"/>
    <mergeCell ref="H6:I6"/>
    <mergeCell ref="J6:K6"/>
    <mergeCell ref="N6:O6"/>
    <mergeCell ref="P6:Q6"/>
    <mergeCell ref="R6:S6"/>
    <mergeCell ref="D5:S5"/>
    <mergeCell ref="L6:M6"/>
    <mergeCell ref="A5:C5"/>
    <mergeCell ref="D6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 topLeftCell="A1">
      <selection activeCell="A1" sqref="A1:G51"/>
    </sheetView>
  </sheetViews>
  <sheetFormatPr defaultColWidth="9.00390625" defaultRowHeight="12.75"/>
  <cols>
    <col min="1" max="1" width="2.875" style="0" bestFit="1" customWidth="1"/>
    <col min="2" max="2" width="34.00390625" style="0" customWidth="1"/>
    <col min="3" max="3" width="2.25390625" style="0" customWidth="1"/>
    <col min="4" max="4" width="4.00390625" style="0" customWidth="1"/>
    <col min="5" max="5" width="12.00390625" style="0" customWidth="1"/>
    <col min="6" max="6" width="13.375" style="0" customWidth="1"/>
    <col min="7" max="7" width="5.875" style="0" customWidth="1"/>
  </cols>
  <sheetData>
    <row r="1" spans="1:7" ht="15">
      <c r="A1" s="345" t="s">
        <v>562</v>
      </c>
      <c r="B1" s="436" t="s">
        <v>563</v>
      </c>
      <c r="C1" s="436"/>
      <c r="D1" s="436"/>
      <c r="E1" s="346">
        <f>mérl_!$C$34*1000</f>
        <v>1263037949</v>
      </c>
      <c r="F1" s="436" t="s">
        <v>299</v>
      </c>
      <c r="G1" s="436"/>
    </row>
    <row r="2" spans="1:7" ht="15">
      <c r="A2" s="345" t="s">
        <v>564</v>
      </c>
      <c r="B2" s="436" t="s">
        <v>565</v>
      </c>
      <c r="C2" s="436"/>
      <c r="D2" s="436"/>
      <c r="E2" s="346">
        <f>mérl_!$F$34*1000</f>
        <v>1263037949</v>
      </c>
      <c r="F2" s="436" t="s">
        <v>566</v>
      </c>
      <c r="G2" s="436"/>
    </row>
    <row r="3" spans="1:7" ht="24.75">
      <c r="A3" s="345" t="s">
        <v>567</v>
      </c>
      <c r="B3" s="432" t="s">
        <v>568</v>
      </c>
      <c r="C3" s="432"/>
      <c r="D3" s="432"/>
      <c r="E3" s="347">
        <f>mérl_!$C$22*1000</f>
        <v>670234554.9999999</v>
      </c>
      <c r="F3" s="436" t="s">
        <v>299</v>
      </c>
      <c r="G3" s="399"/>
    </row>
    <row r="4" spans="1:7" ht="15">
      <c r="A4" s="398"/>
      <c r="B4" s="431" t="s">
        <v>569</v>
      </c>
      <c r="C4" s="431"/>
      <c r="D4" s="431"/>
      <c r="E4" s="349"/>
      <c r="F4" s="434"/>
      <c r="G4" s="434"/>
    </row>
    <row r="5" spans="1:6" ht="15">
      <c r="A5" s="398"/>
      <c r="B5" s="431" t="s">
        <v>570</v>
      </c>
      <c r="C5" s="431"/>
      <c r="D5" s="431"/>
      <c r="E5" s="349">
        <f>m_mérl_!$C$20*1000</f>
        <v>175598790.99999997</v>
      </c>
      <c r="F5" s="431" t="s">
        <v>299</v>
      </c>
    </row>
    <row r="6" spans="1:6" ht="15">
      <c r="A6" s="398"/>
      <c r="B6" s="431" t="s">
        <v>571</v>
      </c>
      <c r="C6" s="431"/>
      <c r="D6" s="431"/>
      <c r="E6" s="349">
        <f>f_mérl_!$C$20*1000</f>
        <v>494635764</v>
      </c>
      <c r="F6" s="431" t="s">
        <v>299</v>
      </c>
    </row>
    <row r="7" spans="1:6" ht="15">
      <c r="A7" s="398"/>
      <c r="B7" s="431"/>
      <c r="C7" s="431"/>
      <c r="D7" s="431"/>
      <c r="E7" s="349"/>
      <c r="F7" s="434"/>
    </row>
    <row r="8" spans="1:6" ht="15">
      <c r="A8" s="398"/>
      <c r="B8" s="433" t="s">
        <v>572</v>
      </c>
      <c r="C8" s="433"/>
      <c r="D8" s="431"/>
      <c r="E8" s="435"/>
      <c r="F8" s="434"/>
    </row>
    <row r="9" spans="1:7" ht="15">
      <c r="A9" s="398"/>
      <c r="B9" s="431" t="s">
        <v>573</v>
      </c>
      <c r="C9" s="431"/>
      <c r="D9" s="431"/>
      <c r="E9" s="431"/>
      <c r="F9" s="349">
        <f>mérl_!$C$9*1000</f>
        <v>116654480.99999999</v>
      </c>
      <c r="G9" s="431" t="s">
        <v>299</v>
      </c>
    </row>
    <row r="10" spans="1:7" ht="15">
      <c r="A10" s="398"/>
      <c r="B10" s="431" t="s">
        <v>574</v>
      </c>
      <c r="C10" s="431"/>
      <c r="D10" s="431"/>
      <c r="E10" s="431"/>
      <c r="F10" s="349">
        <f>mérl_!$C$10*1000</f>
        <v>490485764</v>
      </c>
      <c r="G10" s="431" t="s">
        <v>299</v>
      </c>
    </row>
    <row r="11" spans="1:7" ht="15">
      <c r="A11" s="398"/>
      <c r="B11" s="431" t="s">
        <v>575</v>
      </c>
      <c r="C11" s="431"/>
      <c r="D11" s="431"/>
      <c r="E11" s="435"/>
      <c r="F11" s="349">
        <f>mérl_!$C$11*1000</f>
        <v>33250000</v>
      </c>
      <c r="G11" s="431" t="s">
        <v>299</v>
      </c>
    </row>
    <row r="12" spans="1:7" ht="15">
      <c r="A12" s="398"/>
      <c r="B12" s="431" t="s">
        <v>576</v>
      </c>
      <c r="C12" s="431"/>
      <c r="D12" s="431"/>
      <c r="E12" s="435"/>
      <c r="F12" s="349">
        <f>mérl_!$C$12*1000</f>
        <v>29770989.999999996</v>
      </c>
      <c r="G12" s="431" t="s">
        <v>299</v>
      </c>
    </row>
    <row r="13" spans="1:7" ht="15">
      <c r="A13" s="398"/>
      <c r="B13" s="431" t="s">
        <v>577</v>
      </c>
      <c r="C13" s="431"/>
      <c r="D13" s="431"/>
      <c r="E13" s="435"/>
      <c r="F13" s="349">
        <f>mérl_!$C$13*1000</f>
        <v>0</v>
      </c>
      <c r="G13" s="431" t="s">
        <v>299</v>
      </c>
    </row>
    <row r="14" spans="1:7" ht="15">
      <c r="A14" s="350"/>
      <c r="B14" s="431" t="s">
        <v>578</v>
      </c>
      <c r="C14" s="431"/>
      <c r="D14" s="351"/>
      <c r="E14" s="352"/>
      <c r="F14" s="349">
        <f>mérl_!$C$14*1000</f>
        <v>73320</v>
      </c>
      <c r="G14" s="431" t="s">
        <v>299</v>
      </c>
    </row>
    <row r="15" spans="1:7" ht="15">
      <c r="A15" s="398"/>
      <c r="B15" s="431" t="s">
        <v>579</v>
      </c>
      <c r="C15" s="431"/>
      <c r="D15" s="431"/>
      <c r="E15" s="435"/>
      <c r="F15" s="349">
        <f>mérl_!$C$15*1000</f>
        <v>0</v>
      </c>
      <c r="G15" s="431" t="s">
        <v>299</v>
      </c>
    </row>
    <row r="16" spans="1:7" ht="15">
      <c r="A16" s="398"/>
      <c r="B16" s="433"/>
      <c r="C16" s="433"/>
      <c r="D16" s="433"/>
      <c r="E16" s="353"/>
      <c r="F16" s="434"/>
      <c r="G16" s="434"/>
    </row>
    <row r="17" spans="1:7" ht="24.75">
      <c r="A17" s="345" t="s">
        <v>580</v>
      </c>
      <c r="B17" s="432" t="s">
        <v>581</v>
      </c>
      <c r="C17" s="432"/>
      <c r="D17" s="432"/>
      <c r="E17" s="347">
        <f>mérl_!$C$33*1000</f>
        <v>592803394.0000001</v>
      </c>
      <c r="F17" s="436" t="s">
        <v>299</v>
      </c>
      <c r="G17" s="399"/>
    </row>
    <row r="18" spans="1:7" ht="15">
      <c r="A18" s="398"/>
      <c r="B18" s="431" t="s">
        <v>569</v>
      </c>
      <c r="C18" s="431"/>
      <c r="D18" s="431"/>
      <c r="E18" s="349"/>
      <c r="F18" s="434"/>
      <c r="G18" s="434"/>
    </row>
    <row r="19" spans="1:7" ht="15">
      <c r="A19" s="398"/>
      <c r="B19" s="431" t="s">
        <v>582</v>
      </c>
      <c r="C19" s="431"/>
      <c r="D19" s="431"/>
      <c r="E19" s="349">
        <f>mérl_!$C$30*1000</f>
        <v>592803394.0000001</v>
      </c>
      <c r="F19" s="431" t="s">
        <v>299</v>
      </c>
      <c r="G19" s="431"/>
    </row>
    <row r="20" spans="1:7" ht="15">
      <c r="A20" s="398"/>
      <c r="B20" s="431" t="s">
        <v>583</v>
      </c>
      <c r="C20" s="431"/>
      <c r="D20" s="431"/>
      <c r="E20" s="349">
        <f>mérl_!$C$31*1000</f>
        <v>0</v>
      </c>
      <c r="F20" s="431" t="s">
        <v>299</v>
      </c>
      <c r="G20" s="431"/>
    </row>
    <row r="21" spans="1:7" ht="15">
      <c r="A21" s="398"/>
      <c r="B21" s="431" t="s">
        <v>584</v>
      </c>
      <c r="C21" s="431"/>
      <c r="D21" s="431"/>
      <c r="E21" s="349">
        <f>mérl_!$C$32*1000</f>
        <v>0</v>
      </c>
      <c r="F21" s="431" t="s">
        <v>299</v>
      </c>
      <c r="G21" s="431"/>
    </row>
    <row r="22" spans="1:7" ht="15">
      <c r="A22" s="350"/>
      <c r="B22" s="351"/>
      <c r="C22" s="431"/>
      <c r="D22" s="431"/>
      <c r="E22" s="352"/>
      <c r="F22" s="431"/>
      <c r="G22" s="431"/>
    </row>
    <row r="23" spans="1:7" ht="15">
      <c r="A23" s="398"/>
      <c r="B23" s="433" t="s">
        <v>585</v>
      </c>
      <c r="C23" s="433"/>
      <c r="D23" s="433"/>
      <c r="E23" s="435"/>
      <c r="F23" s="434"/>
      <c r="G23" s="434"/>
    </row>
    <row r="24" spans="1:8" ht="15">
      <c r="A24" s="350"/>
      <c r="B24" s="431" t="s">
        <v>586</v>
      </c>
      <c r="C24" s="433"/>
      <c r="D24" s="433"/>
      <c r="E24" s="429">
        <v>0</v>
      </c>
      <c r="F24" s="431" t="s">
        <v>299</v>
      </c>
      <c r="G24" s="431"/>
      <c r="H24" s="397"/>
    </row>
    <row r="25" spans="1:8" ht="15">
      <c r="A25" s="350"/>
      <c r="B25" s="431" t="s">
        <v>587</v>
      </c>
      <c r="C25" s="433"/>
      <c r="D25" s="433"/>
      <c r="E25" s="429">
        <f>mérl_!C29*1000</f>
        <v>250004900.00000003</v>
      </c>
      <c r="F25" s="431" t="s">
        <v>299</v>
      </c>
      <c r="G25" s="431"/>
      <c r="H25" s="397"/>
    </row>
    <row r="26" spans="1:8" ht="15">
      <c r="A26" s="398"/>
      <c r="B26" s="431" t="s">
        <v>588</v>
      </c>
      <c r="C26" s="431"/>
      <c r="D26" s="431"/>
      <c r="E26" s="429">
        <f>mérl_!C25*1000</f>
        <v>275456959.00000006</v>
      </c>
      <c r="F26" s="431" t="s">
        <v>299</v>
      </c>
      <c r="G26" s="431"/>
      <c r="H26" s="397"/>
    </row>
    <row r="27" spans="1:8" ht="15">
      <c r="A27" s="398"/>
      <c r="B27" s="431" t="s">
        <v>589</v>
      </c>
      <c r="C27" s="431"/>
      <c r="D27" s="431"/>
      <c r="E27" s="429">
        <f>mérl_!C28*1000</f>
        <v>67341535</v>
      </c>
      <c r="F27" s="431" t="s">
        <v>299</v>
      </c>
      <c r="G27" s="431"/>
      <c r="H27" s="397"/>
    </row>
    <row r="28" spans="1:7" ht="15">
      <c r="A28" s="350"/>
      <c r="B28" s="431"/>
      <c r="C28" s="431"/>
      <c r="D28" s="431"/>
      <c r="E28" s="435"/>
      <c r="F28" s="435"/>
      <c r="G28" s="435"/>
    </row>
    <row r="29" spans="1:7" ht="24.75">
      <c r="A29" s="345" t="s">
        <v>590</v>
      </c>
      <c r="B29" s="432" t="s">
        <v>591</v>
      </c>
      <c r="C29" s="432"/>
      <c r="D29" s="432"/>
      <c r="E29" s="347">
        <f>mérl_!$F$22*1000</f>
        <v>939552330.0000001</v>
      </c>
      <c r="F29" s="436" t="s">
        <v>299</v>
      </c>
      <c r="G29" s="399"/>
    </row>
    <row r="30" spans="1:7" ht="15">
      <c r="A30" s="398"/>
      <c r="B30" s="431" t="s">
        <v>569</v>
      </c>
      <c r="C30" s="431"/>
      <c r="D30" s="431"/>
      <c r="E30" s="349"/>
      <c r="F30" s="434"/>
      <c r="G30" s="434"/>
    </row>
    <row r="31" spans="1:7" ht="15">
      <c r="A31" s="398"/>
      <c r="B31" s="431" t="s">
        <v>592</v>
      </c>
      <c r="C31" s="431"/>
      <c r="D31" s="431"/>
      <c r="E31" s="349">
        <f>m_mérl_!$F$20*1000</f>
        <v>260195940</v>
      </c>
      <c r="F31" s="431" t="s">
        <v>299</v>
      </c>
      <c r="G31" s="434"/>
    </row>
    <row r="32" spans="1:7" ht="15">
      <c r="A32" s="350"/>
      <c r="B32" s="431" t="s">
        <v>593</v>
      </c>
      <c r="C32" s="431"/>
      <c r="D32" s="431"/>
      <c r="E32" s="349"/>
      <c r="F32" s="431"/>
      <c r="G32" s="434"/>
    </row>
    <row r="33" spans="1:7" ht="15">
      <c r="A33" s="398"/>
      <c r="B33" s="431" t="s">
        <v>594</v>
      </c>
      <c r="C33" s="431"/>
      <c r="D33" s="431"/>
      <c r="E33" s="349"/>
      <c r="F33" s="349">
        <f>mérl_!$F$9*1000</f>
        <v>87822764</v>
      </c>
      <c r="G33" s="431" t="s">
        <v>299</v>
      </c>
    </row>
    <row r="34" spans="1:7" ht="15">
      <c r="A34" s="398"/>
      <c r="B34" s="431" t="s">
        <v>595</v>
      </c>
      <c r="C34" s="431"/>
      <c r="D34" s="433"/>
      <c r="E34" s="354"/>
      <c r="F34" s="349">
        <f>mérl_!$F$10*1000</f>
        <v>14631319</v>
      </c>
      <c r="G34" s="431" t="s">
        <v>299</v>
      </c>
    </row>
    <row r="35" spans="1:7" ht="15">
      <c r="A35" s="350"/>
      <c r="B35" s="431" t="s">
        <v>596</v>
      </c>
      <c r="C35" s="431"/>
      <c r="D35" s="431"/>
      <c r="E35" s="349"/>
      <c r="F35" s="349">
        <f>(mérl_!$F$11+mérl_!$F$12+mérl_!$F$13+mérl_!$F$14+mérl_!$F$15)*1000</f>
        <v>89036916</v>
      </c>
      <c r="G35" s="431" t="s">
        <v>299</v>
      </c>
    </row>
    <row r="36" spans="1:7" ht="15">
      <c r="A36" s="350"/>
      <c r="B36" s="431" t="s">
        <v>597</v>
      </c>
      <c r="C36" s="431"/>
      <c r="D36" s="431"/>
      <c r="E36" s="349"/>
      <c r="F36" s="349">
        <f>mérl_!$F$16*1000</f>
        <v>10270000</v>
      </c>
      <c r="G36" s="431" t="s">
        <v>299</v>
      </c>
    </row>
    <row r="37" spans="1:7" ht="15">
      <c r="A37" s="350"/>
      <c r="B37" s="431" t="s">
        <v>598</v>
      </c>
      <c r="C37" s="431"/>
      <c r="D37" s="431"/>
      <c r="E37" s="349"/>
      <c r="F37" s="349">
        <f>mérl_!$F$17*1000</f>
        <v>58434941</v>
      </c>
      <c r="G37" s="431" t="s">
        <v>299</v>
      </c>
    </row>
    <row r="38" spans="1:7" ht="15">
      <c r="A38" s="350"/>
      <c r="B38" s="431" t="s">
        <v>599</v>
      </c>
      <c r="C38" s="431"/>
      <c r="D38" s="431"/>
      <c r="E38" s="349">
        <f>f_mérl_!$F$20*1000</f>
        <v>679356390.0000001</v>
      </c>
      <c r="F38" s="431" t="s">
        <v>299</v>
      </c>
      <c r="G38" s="434"/>
    </row>
    <row r="39" spans="1:7" ht="15">
      <c r="A39" s="350"/>
      <c r="B39" s="431" t="s">
        <v>593</v>
      </c>
      <c r="C39" s="431"/>
      <c r="D39" s="431"/>
      <c r="E39" s="435"/>
      <c r="F39" s="434"/>
      <c r="G39" s="434"/>
    </row>
    <row r="40" spans="1:7" ht="15">
      <c r="A40" s="350"/>
      <c r="B40" s="431" t="s">
        <v>600</v>
      </c>
      <c r="C40" s="431"/>
      <c r="D40" s="431"/>
      <c r="E40" s="435"/>
      <c r="F40" s="349">
        <f>f_mérl_!$F$9*1000</f>
        <v>299060247.99999994</v>
      </c>
      <c r="G40" s="431" t="s">
        <v>299</v>
      </c>
    </row>
    <row r="41" spans="1:7" ht="15">
      <c r="A41" s="350"/>
      <c r="B41" s="431" t="s">
        <v>601</v>
      </c>
      <c r="C41" s="433"/>
      <c r="D41" s="433"/>
      <c r="E41" s="353"/>
      <c r="F41" s="349">
        <f>f_mérl_!$F$10*1000</f>
        <v>285626788.00000006</v>
      </c>
      <c r="G41" s="431" t="s">
        <v>299</v>
      </c>
    </row>
    <row r="42" spans="1:7" ht="15">
      <c r="A42" s="398"/>
      <c r="B42" s="431" t="s">
        <v>602</v>
      </c>
      <c r="C42" s="431"/>
      <c r="D42" s="431"/>
      <c r="E42" s="435"/>
      <c r="F42" s="349">
        <f>f_mérl_!$F$11*1000</f>
        <v>94669353.99999999</v>
      </c>
      <c r="G42" s="431" t="s">
        <v>299</v>
      </c>
    </row>
    <row r="43" spans="1:7" ht="15">
      <c r="A43" s="398"/>
      <c r="B43" s="431"/>
      <c r="C43" s="431"/>
      <c r="D43" s="431"/>
      <c r="E43" s="435"/>
      <c r="F43" s="434"/>
      <c r="G43" s="434"/>
    </row>
    <row r="44" spans="1:7" ht="24.75">
      <c r="A44" s="345" t="s">
        <v>603</v>
      </c>
      <c r="B44" s="432" t="s">
        <v>604</v>
      </c>
      <c r="C44" s="432"/>
      <c r="D44" s="432"/>
      <c r="E44" s="347">
        <f>mérl_!$F$33*1000</f>
        <v>323485619</v>
      </c>
      <c r="F44" s="436" t="s">
        <v>299</v>
      </c>
      <c r="G44" s="399"/>
    </row>
    <row r="45" spans="1:7" ht="15">
      <c r="A45" s="398"/>
      <c r="B45" s="431" t="s">
        <v>569</v>
      </c>
      <c r="C45" s="431"/>
      <c r="D45" s="431"/>
      <c r="E45" s="349"/>
      <c r="F45" s="434"/>
      <c r="G45" s="431"/>
    </row>
    <row r="46" spans="1:7" ht="15">
      <c r="A46" s="398"/>
      <c r="B46" s="431" t="s">
        <v>605</v>
      </c>
      <c r="C46" s="431"/>
      <c r="D46" s="431"/>
      <c r="E46" s="349">
        <f>mérl_!$F$30*1000</f>
        <v>323485619</v>
      </c>
      <c r="F46" s="431" t="s">
        <v>299</v>
      </c>
      <c r="G46" s="434"/>
    </row>
    <row r="47" spans="1:7" ht="15">
      <c r="A47" s="398"/>
      <c r="B47" s="431" t="s">
        <v>606</v>
      </c>
      <c r="C47" s="431"/>
      <c r="D47" s="431"/>
      <c r="E47" s="435"/>
      <c r="F47" s="349">
        <f>mérl_!$F$27*1000</f>
        <v>67341535</v>
      </c>
      <c r="G47" s="431" t="s">
        <v>299</v>
      </c>
    </row>
    <row r="48" spans="1:7" ht="15">
      <c r="A48" s="398"/>
      <c r="B48" s="355" t="s">
        <v>607</v>
      </c>
      <c r="C48" s="431"/>
      <c r="D48" s="431"/>
      <c r="E48" s="435"/>
      <c r="F48" s="349">
        <f>mérl_!$F$26*1000</f>
        <v>6139184</v>
      </c>
      <c r="G48" s="431" t="s">
        <v>299</v>
      </c>
    </row>
    <row r="49" spans="1:7" ht="15">
      <c r="A49" s="398"/>
      <c r="B49" s="355" t="s">
        <v>608</v>
      </c>
      <c r="C49" s="431"/>
      <c r="D49" s="431"/>
      <c r="E49" s="435"/>
      <c r="F49" s="349">
        <v>0</v>
      </c>
      <c r="G49" s="431" t="s">
        <v>299</v>
      </c>
    </row>
    <row r="50" spans="1:7" ht="15">
      <c r="A50" s="398"/>
      <c r="B50" s="431" t="s">
        <v>609</v>
      </c>
      <c r="C50" s="431"/>
      <c r="D50" s="431"/>
      <c r="E50" s="356">
        <f>mérl_!$F$31*1000</f>
        <v>0</v>
      </c>
      <c r="F50" s="431" t="s">
        <v>299</v>
      </c>
      <c r="G50" s="431"/>
    </row>
    <row r="51" spans="1:7" ht="15">
      <c r="A51" s="398"/>
      <c r="B51" s="431" t="s">
        <v>610</v>
      </c>
      <c r="C51" s="431"/>
      <c r="D51" s="431"/>
      <c r="E51" s="356">
        <f>mérl_!$F$32*1000</f>
        <v>0</v>
      </c>
      <c r="F51" s="431" t="s">
        <v>299</v>
      </c>
      <c r="G51" s="431"/>
    </row>
    <row r="52" spans="1:7" ht="15">
      <c r="A52" s="350"/>
      <c r="B52" s="357"/>
      <c r="C52" s="348"/>
      <c r="D52" s="348"/>
      <c r="E52" s="358"/>
      <c r="F52" s="348"/>
      <c r="G52" s="398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 topLeftCell="A16">
      <selection activeCell="G53" sqref="G53"/>
    </sheetView>
  </sheetViews>
  <sheetFormatPr defaultColWidth="9.00390625" defaultRowHeight="12.75"/>
  <cols>
    <col min="1" max="1" width="9.125" style="2" customWidth="1"/>
    <col min="2" max="2" width="42.625" style="2" customWidth="1"/>
    <col min="3" max="4" width="11.25390625" style="2" customWidth="1"/>
    <col min="5" max="5" width="12.125" style="2" bestFit="1" customWidth="1"/>
    <col min="6" max="6" width="12.125" style="2" customWidth="1"/>
    <col min="7" max="8" width="12.375" style="2" customWidth="1"/>
    <col min="9" max="16384" width="9.125" style="2" customWidth="1"/>
  </cols>
  <sheetData>
    <row r="1" spans="1:2" ht="12.75">
      <c r="A1" s="1" t="s">
        <v>82</v>
      </c>
      <c r="B1" s="2" t="str">
        <f>'bev-int'!B1</f>
        <v>melléklet a 12/2020.(IX.17.) önkormányzati rendelethez</v>
      </c>
    </row>
    <row r="2" ht="12.75">
      <c r="A2" s="1"/>
    </row>
    <row r="3" ht="12.75">
      <c r="A3" s="1"/>
    </row>
    <row r="5" spans="2:8" ht="12.75">
      <c r="B5" s="1014" t="s">
        <v>780</v>
      </c>
      <c r="C5" s="1014"/>
      <c r="D5" s="1014"/>
      <c r="E5" s="1014"/>
      <c r="F5" s="1014"/>
      <c r="G5" s="1014"/>
      <c r="H5" s="1014"/>
    </row>
    <row r="6" spans="2:8" ht="12.75">
      <c r="B6" s="1015" t="s">
        <v>55</v>
      </c>
      <c r="C6" s="1015"/>
      <c r="D6" s="1015"/>
      <c r="E6" s="1015"/>
      <c r="F6" s="1015"/>
      <c r="G6" s="1015"/>
      <c r="H6" s="1015"/>
    </row>
    <row r="7" spans="2:8" ht="24.75" customHeight="1">
      <c r="B7" s="86"/>
      <c r="C7" s="395"/>
      <c r="D7" s="87"/>
      <c r="E7" s="294"/>
      <c r="F7" s="294"/>
      <c r="G7" s="294"/>
      <c r="H7" s="294"/>
    </row>
    <row r="8" spans="2:8" ht="24.75" customHeight="1">
      <c r="B8" s="86"/>
      <c r="C8" s="395"/>
      <c r="D8" s="87"/>
      <c r="E8" s="294"/>
      <c r="F8" s="294"/>
      <c r="G8" s="294"/>
      <c r="H8" s="294"/>
    </row>
    <row r="9" spans="4:8" ht="14.25" customHeight="1" thickBot="1">
      <c r="D9" s="87"/>
      <c r="E9" s="294"/>
      <c r="F9" s="294"/>
      <c r="G9" s="294"/>
      <c r="H9" s="294" t="s">
        <v>59</v>
      </c>
    </row>
    <row r="10" spans="2:8" ht="12.75" customHeight="1">
      <c r="B10" s="1016" t="s">
        <v>56</v>
      </c>
      <c r="C10" s="1016" t="s">
        <v>252</v>
      </c>
      <c r="D10" s="1018"/>
      <c r="E10" s="1016" t="s">
        <v>557</v>
      </c>
      <c r="F10" s="1018"/>
      <c r="G10" s="1021" t="s">
        <v>558</v>
      </c>
      <c r="H10" s="1018"/>
    </row>
    <row r="11" spans="2:8" ht="13.5" thickBot="1">
      <c r="B11" s="1017"/>
      <c r="C11" s="1019"/>
      <c r="D11" s="1020"/>
      <c r="E11" s="1019"/>
      <c r="F11" s="1020"/>
      <c r="G11" s="1022"/>
      <c r="H11" s="1020"/>
    </row>
    <row r="12" spans="2:8" ht="13.5" thickBot="1">
      <c r="B12" s="1017"/>
      <c r="C12" s="826" t="s">
        <v>616</v>
      </c>
      <c r="D12" s="827" t="s">
        <v>617</v>
      </c>
      <c r="E12" s="400" t="s">
        <v>616</v>
      </c>
      <c r="F12" s="400" t="s">
        <v>617</v>
      </c>
      <c r="G12" s="400" t="s">
        <v>616</v>
      </c>
      <c r="H12" s="400" t="s">
        <v>617</v>
      </c>
    </row>
    <row r="13" spans="2:8" ht="12.75">
      <c r="B13" s="768" t="s">
        <v>150</v>
      </c>
      <c r="C13" s="878"/>
      <c r="D13" s="770"/>
      <c r="E13" s="770"/>
      <c r="F13" s="887"/>
      <c r="G13" s="770"/>
      <c r="H13" s="770"/>
    </row>
    <row r="14" spans="2:8" ht="12.75">
      <c r="B14" s="871" t="s">
        <v>151</v>
      </c>
      <c r="C14" s="879"/>
      <c r="D14" s="756">
        <v>0</v>
      </c>
      <c r="E14" s="756"/>
      <c r="F14" s="879"/>
      <c r="G14" s="756"/>
      <c r="H14" s="756">
        <v>0</v>
      </c>
    </row>
    <row r="15" spans="2:8" ht="12.75">
      <c r="B15" s="872" t="s">
        <v>230</v>
      </c>
      <c r="C15" s="880">
        <f aca="true" t="shared" si="0" ref="C15:H15">SUM(C13:C14)</f>
        <v>0</v>
      </c>
      <c r="D15" s="757">
        <f t="shared" si="0"/>
        <v>0</v>
      </c>
      <c r="E15" s="757">
        <f t="shared" si="0"/>
        <v>0</v>
      </c>
      <c r="F15" s="880">
        <f t="shared" si="0"/>
        <v>0</v>
      </c>
      <c r="G15" s="757">
        <f t="shared" si="0"/>
        <v>0</v>
      </c>
      <c r="H15" s="757">
        <f t="shared" si="0"/>
        <v>0</v>
      </c>
    </row>
    <row r="16" spans="2:8" s="18" customFormat="1" ht="12.75">
      <c r="B16" s="872" t="s">
        <v>312</v>
      </c>
      <c r="C16" s="880"/>
      <c r="D16" s="757"/>
      <c r="E16" s="757"/>
      <c r="F16" s="880"/>
      <c r="G16" s="757"/>
      <c r="H16" s="757"/>
    </row>
    <row r="17" spans="2:8" ht="12.75">
      <c r="B17" s="871" t="s">
        <v>264</v>
      </c>
      <c r="C17" s="879"/>
      <c r="D17" s="756"/>
      <c r="E17" s="756"/>
      <c r="F17" s="879"/>
      <c r="G17" s="756"/>
      <c r="H17" s="756"/>
    </row>
    <row r="18" spans="2:8" ht="12.75">
      <c r="B18" s="871" t="s">
        <v>263</v>
      </c>
      <c r="C18" s="879"/>
      <c r="D18" s="756"/>
      <c r="E18" s="756"/>
      <c r="F18" s="879"/>
      <c r="G18" s="756"/>
      <c r="H18" s="756"/>
    </row>
    <row r="19" spans="2:8" ht="12.75">
      <c r="B19" s="872" t="s">
        <v>231</v>
      </c>
      <c r="C19" s="880">
        <f aca="true" t="shared" si="1" ref="C19:H19">SUM(C17:C18)</f>
        <v>0</v>
      </c>
      <c r="D19" s="757">
        <f t="shared" si="1"/>
        <v>0</v>
      </c>
      <c r="E19" s="757">
        <f t="shared" si="1"/>
        <v>0</v>
      </c>
      <c r="F19" s="880">
        <f t="shared" si="1"/>
        <v>0</v>
      </c>
      <c r="G19" s="757">
        <f t="shared" si="1"/>
        <v>0</v>
      </c>
      <c r="H19" s="757">
        <f t="shared" si="1"/>
        <v>0</v>
      </c>
    </row>
    <row r="20" spans="2:8" ht="12.75">
      <c r="B20" s="872" t="s">
        <v>232</v>
      </c>
      <c r="C20" s="880"/>
      <c r="D20" s="757"/>
      <c r="E20" s="757"/>
      <c r="F20" s="880"/>
      <c r="G20" s="757"/>
      <c r="H20" s="757"/>
    </row>
    <row r="21" spans="2:8" ht="12.75">
      <c r="B21" s="873" t="s">
        <v>152</v>
      </c>
      <c r="C21" s="879"/>
      <c r="D21" s="756"/>
      <c r="E21" s="756"/>
      <c r="F21" s="879"/>
      <c r="G21" s="756"/>
      <c r="H21" s="756"/>
    </row>
    <row r="22" spans="2:8" ht="12.75">
      <c r="B22" s="873" t="s">
        <v>153</v>
      </c>
      <c r="C22" s="879"/>
      <c r="D22" s="756"/>
      <c r="E22" s="756"/>
      <c r="F22" s="879"/>
      <c r="G22" s="756"/>
      <c r="H22" s="756"/>
    </row>
    <row r="23" spans="2:8" ht="12.75">
      <c r="B23" s="873" t="s">
        <v>154</v>
      </c>
      <c r="C23" s="879"/>
      <c r="D23" s="756"/>
      <c r="E23" s="756"/>
      <c r="F23" s="879"/>
      <c r="G23" s="756"/>
      <c r="H23" s="756"/>
    </row>
    <row r="24" spans="2:8" ht="12.75">
      <c r="B24" s="873" t="s">
        <v>155</v>
      </c>
      <c r="C24" s="879"/>
      <c r="D24" s="756"/>
      <c r="E24" s="756"/>
      <c r="F24" s="879"/>
      <c r="G24" s="756"/>
      <c r="H24" s="756"/>
    </row>
    <row r="25" spans="2:8" ht="12.75">
      <c r="B25" s="873" t="s">
        <v>156</v>
      </c>
      <c r="C25" s="879"/>
      <c r="D25" s="756"/>
      <c r="E25" s="756"/>
      <c r="F25" s="879"/>
      <c r="G25" s="756"/>
      <c r="H25" s="756"/>
    </row>
    <row r="26" spans="2:8" ht="12.75">
      <c r="B26" s="872" t="s">
        <v>233</v>
      </c>
      <c r="C26" s="880">
        <f aca="true" t="shared" si="2" ref="C26:H26">SUM(C21:C25)</f>
        <v>0</v>
      </c>
      <c r="D26" s="757">
        <f t="shared" si="2"/>
        <v>0</v>
      </c>
      <c r="E26" s="757">
        <f t="shared" si="2"/>
        <v>0</v>
      </c>
      <c r="F26" s="880">
        <f t="shared" si="2"/>
        <v>0</v>
      </c>
      <c r="G26" s="757">
        <f t="shared" si="2"/>
        <v>0</v>
      </c>
      <c r="H26" s="757">
        <f t="shared" si="2"/>
        <v>0</v>
      </c>
    </row>
    <row r="27" spans="2:8" s="77" customFormat="1" ht="12.75" hidden="1">
      <c r="B27" s="874" t="s">
        <v>265</v>
      </c>
      <c r="C27" s="881"/>
      <c r="D27" s="758"/>
      <c r="E27" s="758"/>
      <c r="F27" s="881"/>
      <c r="G27" s="758">
        <f>C27+E27</f>
        <v>0</v>
      </c>
      <c r="H27" s="758">
        <v>0</v>
      </c>
    </row>
    <row r="28" spans="2:8" s="77" customFormat="1" ht="12.75">
      <c r="B28" s="874"/>
      <c r="C28" s="881"/>
      <c r="D28" s="758"/>
      <c r="E28" s="758"/>
      <c r="F28" s="881"/>
      <c r="G28" s="758">
        <f>C28+E28</f>
        <v>0</v>
      </c>
      <c r="H28" s="758">
        <f>D28+F28</f>
        <v>0</v>
      </c>
    </row>
    <row r="29" spans="2:8" ht="12.75">
      <c r="B29" s="872" t="s">
        <v>234</v>
      </c>
      <c r="C29" s="880">
        <f aca="true" t="shared" si="3" ref="C29:H29">C27+C28</f>
        <v>0</v>
      </c>
      <c r="D29" s="757">
        <f t="shared" si="3"/>
        <v>0</v>
      </c>
      <c r="E29" s="757">
        <f t="shared" si="3"/>
        <v>0</v>
      </c>
      <c r="F29" s="880">
        <f t="shared" si="3"/>
        <v>0</v>
      </c>
      <c r="G29" s="757">
        <f t="shared" si="3"/>
        <v>0</v>
      </c>
      <c r="H29" s="757">
        <f t="shared" si="3"/>
        <v>0</v>
      </c>
    </row>
    <row r="30" spans="2:8" ht="12.75">
      <c r="B30" s="875" t="s">
        <v>812</v>
      </c>
      <c r="C30" s="879">
        <v>1300</v>
      </c>
      <c r="D30" s="756">
        <v>1300</v>
      </c>
      <c r="E30" s="756"/>
      <c r="F30" s="879"/>
      <c r="G30" s="758">
        <f>C30+E30</f>
        <v>1300</v>
      </c>
      <c r="H30" s="758">
        <f>D30+F30</f>
        <v>1300</v>
      </c>
    </row>
    <row r="31" spans="2:8" ht="12.75">
      <c r="B31" s="875" t="s">
        <v>263</v>
      </c>
      <c r="C31" s="879">
        <v>1200</v>
      </c>
      <c r="D31" s="756">
        <v>1200</v>
      </c>
      <c r="E31" s="756"/>
      <c r="F31" s="879"/>
      <c r="G31" s="758">
        <f aca="true" t="shared" si="4" ref="G31:G39">C31+E31</f>
        <v>1200</v>
      </c>
      <c r="H31" s="758">
        <f aca="true" t="shared" si="5" ref="H31:H39">D31+F31</f>
        <v>1200</v>
      </c>
    </row>
    <row r="32" spans="2:8" ht="12.75">
      <c r="B32" s="875" t="s">
        <v>813</v>
      </c>
      <c r="C32" s="879">
        <v>1200</v>
      </c>
      <c r="D32" s="756">
        <v>1200</v>
      </c>
      <c r="E32" s="756"/>
      <c r="F32" s="879"/>
      <c r="G32" s="758">
        <f t="shared" si="4"/>
        <v>1200</v>
      </c>
      <c r="H32" s="758">
        <f t="shared" si="5"/>
        <v>1200</v>
      </c>
    </row>
    <row r="33" spans="2:8" ht="12.75">
      <c r="B33" s="875" t="s">
        <v>814</v>
      </c>
      <c r="C33" s="879">
        <v>300</v>
      </c>
      <c r="D33" s="756">
        <v>300</v>
      </c>
      <c r="E33" s="756"/>
      <c r="F33" s="879"/>
      <c r="G33" s="758">
        <f t="shared" si="4"/>
        <v>300</v>
      </c>
      <c r="H33" s="758">
        <f t="shared" si="5"/>
        <v>300</v>
      </c>
    </row>
    <row r="34" spans="2:8" ht="12.75">
      <c r="B34" s="875" t="s">
        <v>310</v>
      </c>
      <c r="C34" s="879">
        <v>300</v>
      </c>
      <c r="D34" s="756">
        <v>300</v>
      </c>
      <c r="E34" s="756"/>
      <c r="F34" s="879"/>
      <c r="G34" s="758">
        <f t="shared" si="4"/>
        <v>300</v>
      </c>
      <c r="H34" s="758">
        <f t="shared" si="5"/>
        <v>300</v>
      </c>
    </row>
    <row r="35" spans="2:8" ht="12.75">
      <c r="B35" s="876" t="s">
        <v>815</v>
      </c>
      <c r="C35" s="882">
        <v>3000</v>
      </c>
      <c r="D35" s="809">
        <v>3000</v>
      </c>
      <c r="E35" s="809"/>
      <c r="F35" s="882"/>
      <c r="G35" s="758">
        <f t="shared" si="4"/>
        <v>3000</v>
      </c>
      <c r="H35" s="758">
        <f t="shared" si="5"/>
        <v>3000</v>
      </c>
    </row>
    <row r="36" spans="2:8" ht="12.75">
      <c r="B36" s="875" t="s">
        <v>816</v>
      </c>
      <c r="C36" s="883">
        <v>420</v>
      </c>
      <c r="D36" s="885">
        <v>420</v>
      </c>
      <c r="E36" s="885"/>
      <c r="F36" s="883"/>
      <c r="G36" s="758">
        <f t="shared" si="4"/>
        <v>420</v>
      </c>
      <c r="H36" s="758">
        <f t="shared" si="5"/>
        <v>420</v>
      </c>
    </row>
    <row r="37" spans="2:8" ht="12.75">
      <c r="B37" s="876" t="s">
        <v>817</v>
      </c>
      <c r="C37" s="883">
        <v>1150</v>
      </c>
      <c r="D37" s="885">
        <v>1150</v>
      </c>
      <c r="E37" s="885"/>
      <c r="F37" s="883"/>
      <c r="G37" s="758">
        <f t="shared" si="4"/>
        <v>1150</v>
      </c>
      <c r="H37" s="758">
        <f t="shared" si="5"/>
        <v>1150</v>
      </c>
    </row>
    <row r="38" spans="2:8" ht="12.75">
      <c r="B38" s="876" t="s">
        <v>818</v>
      </c>
      <c r="C38" s="883">
        <v>1100</v>
      </c>
      <c r="D38" s="885">
        <v>1100</v>
      </c>
      <c r="E38" s="885"/>
      <c r="F38" s="883"/>
      <c r="G38" s="758">
        <f t="shared" si="4"/>
        <v>1100</v>
      </c>
      <c r="H38" s="758">
        <f t="shared" si="5"/>
        <v>1100</v>
      </c>
    </row>
    <row r="39" spans="2:8" ht="12.75">
      <c r="B39" s="875" t="s">
        <v>311</v>
      </c>
      <c r="C39" s="883">
        <v>300</v>
      </c>
      <c r="D39" s="885">
        <v>300</v>
      </c>
      <c r="E39" s="885"/>
      <c r="F39" s="883"/>
      <c r="G39" s="758">
        <f t="shared" si="4"/>
        <v>300</v>
      </c>
      <c r="H39" s="758">
        <f t="shared" si="5"/>
        <v>300</v>
      </c>
    </row>
    <row r="40" spans="2:8" ht="13.5" thickBot="1">
      <c r="B40" s="877" t="s">
        <v>235</v>
      </c>
      <c r="C40" s="884">
        <f>SUM(C30:C39)</f>
        <v>10270</v>
      </c>
      <c r="D40" s="886">
        <f aca="true" t="shared" si="6" ref="D40:H40">SUM(D30:D39)</f>
        <v>10270</v>
      </c>
      <c r="E40" s="886">
        <f t="shared" si="6"/>
        <v>0</v>
      </c>
      <c r="F40" s="884">
        <f t="shared" si="6"/>
        <v>0</v>
      </c>
      <c r="G40" s="886">
        <f t="shared" si="6"/>
        <v>10270</v>
      </c>
      <c r="H40" s="886">
        <f t="shared" si="6"/>
        <v>10270</v>
      </c>
    </row>
    <row r="41" spans="2:8" ht="13.5" thickBot="1">
      <c r="B41" s="762" t="s">
        <v>57</v>
      </c>
      <c r="C41" s="763">
        <f aca="true" t="shared" si="7" ref="C41:H41">C15+C19+C20+C26+C29+C40+C16</f>
        <v>10270</v>
      </c>
      <c r="D41" s="764">
        <f t="shared" si="7"/>
        <v>10270</v>
      </c>
      <c r="E41" s="763">
        <f t="shared" si="7"/>
        <v>0</v>
      </c>
      <c r="F41" s="764">
        <f t="shared" si="7"/>
        <v>0</v>
      </c>
      <c r="G41" s="763">
        <f t="shared" si="7"/>
        <v>10270</v>
      </c>
      <c r="H41" s="764">
        <f t="shared" si="7"/>
        <v>10270</v>
      </c>
    </row>
    <row r="42" spans="2:8" s="77" customFormat="1" ht="12.75">
      <c r="B42" s="765" t="s">
        <v>748</v>
      </c>
      <c r="C42" s="769"/>
      <c r="D42" s="766"/>
      <c r="E42" s="769"/>
      <c r="F42" s="766"/>
      <c r="G42" s="758">
        <f aca="true" t="shared" si="8" ref="G42">C42+E42</f>
        <v>0</v>
      </c>
      <c r="H42" s="755">
        <f aca="true" t="shared" si="9" ref="H42">D42+F42</f>
        <v>0</v>
      </c>
    </row>
    <row r="43" spans="2:8" ht="12.75">
      <c r="B43" s="760" t="s">
        <v>733</v>
      </c>
      <c r="C43" s="772"/>
      <c r="D43" s="773"/>
      <c r="E43" s="772"/>
      <c r="F43" s="773"/>
      <c r="G43" s="758">
        <f aca="true" t="shared" si="10" ref="G43:G44">C43+E43</f>
        <v>0</v>
      </c>
      <c r="H43" s="755">
        <f aca="true" t="shared" si="11" ref="H43:H44">D43+F43</f>
        <v>0</v>
      </c>
    </row>
    <row r="44" spans="2:8" ht="13.5" thickBot="1">
      <c r="B44" s="761" t="s">
        <v>747</v>
      </c>
      <c r="C44" s="774"/>
      <c r="D44" s="775"/>
      <c r="E44" s="774"/>
      <c r="F44" s="775"/>
      <c r="G44" s="758">
        <f t="shared" si="10"/>
        <v>0</v>
      </c>
      <c r="H44" s="755">
        <f t="shared" si="11"/>
        <v>0</v>
      </c>
    </row>
    <row r="45" spans="2:8" ht="13.5" thickBot="1">
      <c r="B45" s="759" t="s">
        <v>746</v>
      </c>
      <c r="C45" s="767">
        <f>SUM(C42:C44)</f>
        <v>0</v>
      </c>
      <c r="D45" s="767">
        <f aca="true" t="shared" si="12" ref="D45:H45">SUM(D42:D44)</f>
        <v>0</v>
      </c>
      <c r="E45" s="767">
        <f t="shared" si="12"/>
        <v>0</v>
      </c>
      <c r="F45" s="767">
        <f t="shared" si="12"/>
        <v>0</v>
      </c>
      <c r="G45" s="767">
        <f t="shared" si="12"/>
        <v>0</v>
      </c>
      <c r="H45" s="767">
        <f t="shared" si="12"/>
        <v>0</v>
      </c>
    </row>
  </sheetData>
  <mergeCells count="6">
    <mergeCell ref="B5:H5"/>
    <mergeCell ref="B6:H6"/>
    <mergeCell ref="B10:B12"/>
    <mergeCell ref="C10:D11"/>
    <mergeCell ref="E10:F11"/>
    <mergeCell ref="G10:H11"/>
  </mergeCells>
  <printOptions horizontalCentered="1"/>
  <pageMargins left="0.17" right="0.9055118110236221" top="0.73" bottom="0.5118110236220472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 topLeftCell="A1">
      <selection activeCell="B14" sqref="B14"/>
    </sheetView>
  </sheetViews>
  <sheetFormatPr defaultColWidth="9.00390625" defaultRowHeight="12.75"/>
  <cols>
    <col min="1" max="1" width="3.625" style="5" bestFit="1" customWidth="1"/>
    <col min="2" max="2" width="64.75390625" style="5" customWidth="1"/>
    <col min="3" max="4" width="10.875" style="5" customWidth="1"/>
    <col min="5" max="5" width="12.75390625" style="5" customWidth="1"/>
    <col min="6" max="6" width="10.875" style="5" customWidth="1"/>
    <col min="7" max="7" width="8.875" style="5" customWidth="1"/>
    <col min="8" max="8" width="8.75390625" style="5" customWidth="1"/>
    <col min="9" max="10" width="9.125" style="5" customWidth="1"/>
    <col min="11" max="11" width="9.625" style="5" customWidth="1"/>
    <col min="12" max="16384" width="9.125" style="5" customWidth="1"/>
  </cols>
  <sheetData>
    <row r="1" spans="1:2" ht="12.75">
      <c r="A1" s="4" t="s">
        <v>266</v>
      </c>
      <c r="B1" s="103" t="str">
        <f>'bev-int'!B1</f>
        <v>melléklet a 12/2020.(IX.17.) önkormányzati rendelethez</v>
      </c>
    </row>
    <row r="3" ht="12.75">
      <c r="B3" s="6"/>
    </row>
    <row r="4" spans="2:8" s="88" customFormat="1" ht="17.25" customHeight="1">
      <c r="B4" s="1010" t="s">
        <v>781</v>
      </c>
      <c r="C4" s="1010"/>
      <c r="D4" s="1010"/>
      <c r="E4" s="1010"/>
      <c r="F4" s="1010"/>
      <c r="G4" s="1010"/>
      <c r="H4" s="1010"/>
    </row>
    <row r="5" ht="17.25" customHeight="1">
      <c r="B5" s="6"/>
    </row>
    <row r="6" spans="1:8" s="78" customFormat="1" ht="33.75" customHeight="1">
      <c r="A6" s="1025" t="s">
        <v>44</v>
      </c>
      <c r="B6" s="1025"/>
      <c r="C6" s="1023" t="s">
        <v>314</v>
      </c>
      <c r="D6" s="1023"/>
      <c r="E6" s="1024" t="s">
        <v>45</v>
      </c>
      <c r="F6" s="1024"/>
      <c r="G6" s="1024" t="str">
        <f>'bev-int'!D7</f>
        <v>Nyitnikék Óvoda</v>
      </c>
      <c r="H6" s="1024"/>
    </row>
    <row r="7" spans="1:8" s="78" customFormat="1" ht="12.75">
      <c r="A7" s="1025"/>
      <c r="B7" s="1025"/>
      <c r="C7" s="667" t="s">
        <v>616</v>
      </c>
      <c r="D7" s="667" t="s">
        <v>617</v>
      </c>
      <c r="E7" s="667" t="s">
        <v>616</v>
      </c>
      <c r="F7" s="667" t="s">
        <v>617</v>
      </c>
      <c r="G7" s="667" t="s">
        <v>616</v>
      </c>
      <c r="H7" s="667" t="s">
        <v>617</v>
      </c>
    </row>
    <row r="8" spans="1:8" s="78" customFormat="1" ht="12.75">
      <c r="A8" s="674" t="s">
        <v>315</v>
      </c>
      <c r="B8" s="820" t="s">
        <v>819</v>
      </c>
      <c r="C8" s="706">
        <f>G8+E8</f>
        <v>635</v>
      </c>
      <c r="D8" s="706">
        <f>H8+F8</f>
        <v>635</v>
      </c>
      <c r="E8" s="441">
        <v>635</v>
      </c>
      <c r="F8" s="441">
        <v>635</v>
      </c>
      <c r="G8" s="441"/>
      <c r="H8" s="441"/>
    </row>
    <row r="9" spans="1:8" s="78" customFormat="1" ht="12.75">
      <c r="A9" s="674" t="s">
        <v>82</v>
      </c>
      <c r="B9" s="675" t="s">
        <v>820</v>
      </c>
      <c r="C9" s="706">
        <f>G9+E9</f>
        <v>1270</v>
      </c>
      <c r="D9" s="706">
        <f aca="true" t="shared" si="0" ref="D9:D16">H9+F9</f>
        <v>1270</v>
      </c>
      <c r="E9" s="441">
        <v>1270</v>
      </c>
      <c r="F9" s="441">
        <v>1270</v>
      </c>
      <c r="G9" s="441"/>
      <c r="H9" s="441"/>
    </row>
    <row r="10" spans="1:8" s="78" customFormat="1" ht="12.75">
      <c r="A10" s="674" t="s">
        <v>316</v>
      </c>
      <c r="B10" s="675" t="s">
        <v>821</v>
      </c>
      <c r="C10" s="706">
        <f aca="true" t="shared" si="1" ref="C10:C14">G10+E10</f>
        <v>508</v>
      </c>
      <c r="D10" s="706">
        <f t="shared" si="0"/>
        <v>508</v>
      </c>
      <c r="E10" s="441">
        <v>508</v>
      </c>
      <c r="F10" s="441">
        <v>508</v>
      </c>
      <c r="G10" s="441"/>
      <c r="H10" s="441"/>
    </row>
    <row r="11" spans="1:8" s="78" customFormat="1" ht="12.75">
      <c r="A11" s="674" t="s">
        <v>83</v>
      </c>
      <c r="B11" s="819" t="s">
        <v>826</v>
      </c>
      <c r="C11" s="706">
        <f t="shared" si="1"/>
        <v>2504.066</v>
      </c>
      <c r="D11" s="706">
        <f t="shared" si="0"/>
        <v>2504.066</v>
      </c>
      <c r="E11" s="782"/>
      <c r="F11" s="677"/>
      <c r="G11" s="441">
        <v>2504.066</v>
      </c>
      <c r="H11" s="441">
        <v>2504.066</v>
      </c>
    </row>
    <row r="12" spans="1:8" s="78" customFormat="1" ht="12.75">
      <c r="A12" s="674" t="s">
        <v>84</v>
      </c>
      <c r="B12" s="819" t="s">
        <v>827</v>
      </c>
      <c r="C12" s="706">
        <f t="shared" si="1"/>
        <v>1434.662</v>
      </c>
      <c r="D12" s="706">
        <f t="shared" si="0"/>
        <v>1434.662</v>
      </c>
      <c r="E12" s="215"/>
      <c r="F12" s="441"/>
      <c r="G12" s="441">
        <v>1434.662</v>
      </c>
      <c r="H12" s="441">
        <v>1434.662</v>
      </c>
    </row>
    <row r="13" spans="1:8" s="78" customFormat="1" ht="12.75">
      <c r="A13" s="674" t="s">
        <v>85</v>
      </c>
      <c r="B13" s="752" t="s">
        <v>874</v>
      </c>
      <c r="C13" s="706">
        <f t="shared" si="1"/>
        <v>0</v>
      </c>
      <c r="D13" s="706">
        <f t="shared" si="0"/>
        <v>31</v>
      </c>
      <c r="E13" s="215"/>
      <c r="F13" s="441">
        <v>31</v>
      </c>
      <c r="G13" s="441"/>
      <c r="H13" s="441"/>
    </row>
    <row r="14" spans="1:8" s="78" customFormat="1" ht="12.75">
      <c r="A14" s="674" t="s">
        <v>86</v>
      </c>
      <c r="B14" s="676" t="s">
        <v>875</v>
      </c>
      <c r="C14" s="706">
        <f t="shared" si="1"/>
        <v>0</v>
      </c>
      <c r="D14" s="706">
        <f t="shared" si="0"/>
        <v>3562.35</v>
      </c>
      <c r="E14" s="441"/>
      <c r="F14" s="215">
        <v>3562.35</v>
      </c>
      <c r="G14" s="441"/>
      <c r="H14" s="441"/>
    </row>
    <row r="15" spans="1:8" s="78" customFormat="1" ht="12.75">
      <c r="A15" s="674" t="s">
        <v>304</v>
      </c>
      <c r="B15" s="943" t="s">
        <v>876</v>
      </c>
      <c r="C15" s="944"/>
      <c r="D15" s="706">
        <f t="shared" si="0"/>
        <v>282511.17</v>
      </c>
      <c r="E15" s="945"/>
      <c r="F15" s="946">
        <f>204493.888+55213.35+18043.018+4760.914</f>
        <v>282511.17</v>
      </c>
      <c r="G15" s="945"/>
      <c r="H15" s="945"/>
    </row>
    <row r="16" spans="1:8" s="78" customFormat="1" ht="12.75">
      <c r="A16" s="674" t="s">
        <v>87</v>
      </c>
      <c r="B16" s="943" t="s">
        <v>877</v>
      </c>
      <c r="C16" s="944"/>
      <c r="D16" s="706">
        <f t="shared" si="0"/>
        <v>6604</v>
      </c>
      <c r="E16" s="945"/>
      <c r="F16" s="946">
        <v>6604</v>
      </c>
      <c r="G16" s="945"/>
      <c r="H16" s="945"/>
    </row>
    <row r="17" spans="1:8" s="78" customFormat="1" ht="12.75">
      <c r="A17" s="674"/>
      <c r="B17" s="707" t="s">
        <v>58</v>
      </c>
      <c r="C17" s="708">
        <f>E17+G17</f>
        <v>6351.728</v>
      </c>
      <c r="D17" s="708">
        <f>F17+H17</f>
        <v>299060.24799999996</v>
      </c>
      <c r="E17" s="705">
        <f>SUM(E8:E16)</f>
        <v>2413</v>
      </c>
      <c r="F17" s="705">
        <f aca="true" t="shared" si="2" ref="F17:H17">SUM(F8:F16)</f>
        <v>295121.51999999996</v>
      </c>
      <c r="G17" s="705">
        <f t="shared" si="2"/>
        <v>3938.728</v>
      </c>
      <c r="H17" s="705">
        <f t="shared" si="2"/>
        <v>3938.728</v>
      </c>
    </row>
    <row r="18" spans="1:4" s="78" customFormat="1" ht="12.75">
      <c r="A18" s="151"/>
      <c r="C18" s="152"/>
      <c r="D18" s="152"/>
    </row>
    <row r="19" spans="1:6" s="78" customFormat="1" ht="12.75">
      <c r="A19" s="151"/>
      <c r="C19" s="152"/>
      <c r="D19" s="238"/>
      <c r="F19" s="238"/>
    </row>
    <row r="20" spans="1:4" s="78" customFormat="1" ht="12.75">
      <c r="A20" s="151"/>
      <c r="C20" s="152"/>
      <c r="D20" s="238"/>
    </row>
    <row r="21" spans="1:4" s="78" customFormat="1" ht="12.75">
      <c r="A21" s="151"/>
      <c r="C21" s="152"/>
      <c r="D21" s="238"/>
    </row>
    <row r="22" spans="4:6" s="78" customFormat="1" ht="12.75">
      <c r="D22" s="238"/>
      <c r="E22" s="238"/>
      <c r="F22" s="238"/>
    </row>
    <row r="23" s="78" customFormat="1" ht="12.75"/>
    <row r="24" s="78" customFormat="1" ht="12.75"/>
    <row r="25" s="78" customFormat="1" ht="12.75"/>
    <row r="26" s="78" customFormat="1" ht="12.75"/>
    <row r="27" s="78" customFormat="1" ht="12.75"/>
    <row r="28" s="78" customFormat="1" ht="12.75"/>
    <row r="29" s="78" customFormat="1" ht="12.75"/>
    <row r="30" s="78" customFormat="1" ht="12.75"/>
    <row r="31" s="78" customFormat="1" ht="12.75"/>
    <row r="32" s="78" customFormat="1" ht="12.75"/>
    <row r="33" s="78" customFormat="1" ht="12.75"/>
    <row r="34" s="78" customFormat="1" ht="12.75"/>
    <row r="35" s="78" customFormat="1" ht="12.75"/>
    <row r="36" s="78" customFormat="1" ht="12.75"/>
    <row r="37" s="78" customFormat="1" ht="12.75"/>
    <row r="38" s="78" customFormat="1" ht="12.75"/>
    <row r="39" s="78" customFormat="1" ht="12.75"/>
    <row r="40" s="78" customFormat="1" ht="12.75"/>
  </sheetData>
  <mergeCells count="5">
    <mergeCell ref="C6:D6"/>
    <mergeCell ref="E6:F6"/>
    <mergeCell ref="G6:H6"/>
    <mergeCell ref="B4:H4"/>
    <mergeCell ref="A6:B7"/>
  </mergeCells>
  <printOptions horizontalCentered="1"/>
  <pageMargins left="0.15748031496062992" right="0.15748031496062992" top="0.8661417322834646" bottom="0" header="0.11811023622047245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workbookViewId="0" topLeftCell="A1">
      <selection activeCell="E9" sqref="E9:E10"/>
    </sheetView>
  </sheetViews>
  <sheetFormatPr defaultColWidth="9.00390625" defaultRowHeight="12.75"/>
  <cols>
    <col min="1" max="1" width="4.00390625" style="0" customWidth="1"/>
    <col min="2" max="2" width="6.00390625" style="0" customWidth="1"/>
    <col min="3" max="3" width="74.375" style="0" customWidth="1"/>
    <col min="4" max="4" width="9.625" style="0" bestFit="1" customWidth="1"/>
    <col min="5" max="10" width="9.625" style="0" customWidth="1"/>
    <col min="12" max="12" width="7.625" style="0" customWidth="1"/>
  </cols>
  <sheetData>
    <row r="1" spans="2:3" s="5" customFormat="1" ht="12">
      <c r="B1" s="4" t="s">
        <v>267</v>
      </c>
      <c r="C1" s="103" t="str">
        <f>'bev-int'!B1</f>
        <v>melléklet a 12/2020.(IX.17.) önkormányzati rendelethez</v>
      </c>
    </row>
    <row r="2" spans="3:5" s="5" customFormat="1" ht="12">
      <c r="C2" s="1026"/>
      <c r="D2" s="1026"/>
      <c r="E2" s="1026"/>
    </row>
    <row r="3" spans="3:9" s="5" customFormat="1" ht="12">
      <c r="C3" s="1026" t="s">
        <v>782</v>
      </c>
      <c r="D3" s="1026"/>
      <c r="E3" s="1026"/>
      <c r="F3" s="1026"/>
      <c r="G3" s="1026"/>
      <c r="H3" s="1026"/>
      <c r="I3" s="1026"/>
    </row>
    <row r="4" s="5" customFormat="1" ht="9" customHeight="1">
      <c r="C4" s="6"/>
    </row>
    <row r="5" s="5" customFormat="1" ht="12">
      <c r="C5" s="6"/>
    </row>
    <row r="6" spans="2:9" s="78" customFormat="1" ht="46.5" customHeight="1">
      <c r="B6" s="709" t="s">
        <v>324</v>
      </c>
      <c r="C6" s="710" t="s">
        <v>44</v>
      </c>
      <c r="D6" s="1027" t="s">
        <v>314</v>
      </c>
      <c r="E6" s="1027"/>
      <c r="F6" s="1024" t="s">
        <v>45</v>
      </c>
      <c r="G6" s="1024"/>
      <c r="H6" s="1024" t="s">
        <v>761</v>
      </c>
      <c r="I6" s="1024"/>
    </row>
    <row r="7" spans="2:9" s="78" customFormat="1" ht="12">
      <c r="B7" s="709"/>
      <c r="C7" s="710"/>
      <c r="D7" s="667" t="s">
        <v>616</v>
      </c>
      <c r="E7" s="667" t="s">
        <v>617</v>
      </c>
      <c r="F7" s="667" t="s">
        <v>616</v>
      </c>
      <c r="G7" s="667" t="s">
        <v>617</v>
      </c>
      <c r="H7" s="667" t="s">
        <v>618</v>
      </c>
      <c r="I7" s="667" t="s">
        <v>619</v>
      </c>
    </row>
    <row r="8" spans="2:9" s="78" customFormat="1" ht="18" customHeight="1">
      <c r="B8" s="674" t="s">
        <v>315</v>
      </c>
      <c r="C8" s="675" t="s">
        <v>872</v>
      </c>
      <c r="D8" s="711">
        <f>H8+F8</f>
        <v>10042.227</v>
      </c>
      <c r="E8" s="711">
        <f>I8+G8</f>
        <v>10042.227</v>
      </c>
      <c r="F8" s="712">
        <v>10042.227</v>
      </c>
      <c r="G8" s="712">
        <v>10042.227</v>
      </c>
      <c r="H8" s="667"/>
      <c r="I8" s="667"/>
    </row>
    <row r="9" spans="2:9" s="153" customFormat="1" ht="18" customHeight="1">
      <c r="B9" s="674" t="s">
        <v>82</v>
      </c>
      <c r="C9" s="675" t="s">
        <v>914</v>
      </c>
      <c r="D9" s="711">
        <f aca="true" t="shared" si="0" ref="D9:D20">H9+F9</f>
        <v>40583.905</v>
      </c>
      <c r="E9" s="711">
        <f aca="true" t="shared" si="1" ref="E9:E21">I9+G9</f>
        <v>38763.673</v>
      </c>
      <c r="F9" s="712">
        <v>40583.905</v>
      </c>
      <c r="G9" s="712">
        <f>40583.905-360-97.2-1073.256-289.776</f>
        <v>38763.673</v>
      </c>
      <c r="H9" s="214"/>
      <c r="I9" s="214"/>
    </row>
    <row r="10" spans="2:9" s="153" customFormat="1" ht="18" customHeight="1">
      <c r="B10" s="674" t="s">
        <v>316</v>
      </c>
      <c r="C10" s="980" t="s">
        <v>915</v>
      </c>
      <c r="D10" s="981"/>
      <c r="E10" s="711">
        <f t="shared" si="1"/>
        <v>19526.014</v>
      </c>
      <c r="F10" s="982"/>
      <c r="G10" s="982">
        <v>19526.014</v>
      </c>
      <c r="H10" s="983"/>
      <c r="I10" s="983"/>
    </row>
    <row r="11" spans="2:9" s="153" customFormat="1" ht="22.5" customHeight="1">
      <c r="B11" s="674" t="s">
        <v>83</v>
      </c>
      <c r="C11" s="810" t="s">
        <v>871</v>
      </c>
      <c r="D11" s="711">
        <f t="shared" si="0"/>
        <v>43708.942</v>
      </c>
      <c r="E11" s="711">
        <f t="shared" si="1"/>
        <v>45481.725000000006</v>
      </c>
      <c r="F11" s="712">
        <v>43708.942</v>
      </c>
      <c r="G11" s="712">
        <f>43708.942+1395.892+376.891</f>
        <v>45481.725000000006</v>
      </c>
      <c r="H11" s="214"/>
      <c r="I11" s="214"/>
    </row>
    <row r="12" spans="2:9" s="153" customFormat="1" ht="18" customHeight="1">
      <c r="B12" s="674" t="s">
        <v>84</v>
      </c>
      <c r="C12" s="675" t="s">
        <v>894</v>
      </c>
      <c r="D12" s="711">
        <f t="shared" si="0"/>
        <v>0</v>
      </c>
      <c r="E12" s="711">
        <f t="shared" si="1"/>
        <v>168772.755</v>
      </c>
      <c r="F12" s="712"/>
      <c r="G12" s="712">
        <v>168772.755</v>
      </c>
      <c r="H12" s="214"/>
      <c r="I12" s="214"/>
    </row>
    <row r="13" spans="2:9" s="153" customFormat="1" ht="24" customHeight="1" hidden="1">
      <c r="B13" s="674" t="s">
        <v>85</v>
      </c>
      <c r="C13" s="675"/>
      <c r="D13" s="711">
        <f t="shared" si="0"/>
        <v>0</v>
      </c>
      <c r="E13" s="711">
        <f t="shared" si="1"/>
        <v>0</v>
      </c>
      <c r="F13" s="712"/>
      <c r="G13" s="712"/>
      <c r="H13" s="214"/>
      <c r="I13" s="214"/>
    </row>
    <row r="14" spans="2:9" s="153" customFormat="1" ht="18" customHeight="1" hidden="1">
      <c r="B14" s="674" t="s">
        <v>86</v>
      </c>
      <c r="C14" s="730"/>
      <c r="D14" s="711">
        <f t="shared" si="0"/>
        <v>0</v>
      </c>
      <c r="E14" s="711">
        <f t="shared" si="1"/>
        <v>0</v>
      </c>
      <c r="F14" s="712"/>
      <c r="G14" s="712"/>
      <c r="H14" s="214"/>
      <c r="I14" s="214"/>
    </row>
    <row r="15" spans="2:9" s="153" customFormat="1" ht="18" customHeight="1" hidden="1">
      <c r="B15" s="674" t="s">
        <v>304</v>
      </c>
      <c r="C15" s="675"/>
      <c r="D15" s="711">
        <f t="shared" si="0"/>
        <v>0</v>
      </c>
      <c r="E15" s="711">
        <f t="shared" si="1"/>
        <v>0</v>
      </c>
      <c r="F15" s="712"/>
      <c r="G15" s="712"/>
      <c r="H15" s="214"/>
      <c r="I15" s="214"/>
    </row>
    <row r="16" spans="2:9" s="153" customFormat="1" ht="18" customHeight="1" hidden="1">
      <c r="B16" s="674" t="s">
        <v>87</v>
      </c>
      <c r="C16" s="752"/>
      <c r="D16" s="711">
        <f t="shared" si="0"/>
        <v>0</v>
      </c>
      <c r="E16" s="711">
        <f t="shared" si="1"/>
        <v>0</v>
      </c>
      <c r="F16" s="712"/>
      <c r="G16" s="712"/>
      <c r="H16" s="214"/>
      <c r="I16" s="214"/>
    </row>
    <row r="17" spans="2:9" s="153" customFormat="1" ht="18" customHeight="1" hidden="1">
      <c r="B17" s="674" t="s">
        <v>305</v>
      </c>
      <c r="C17" s="675"/>
      <c r="D17" s="711">
        <f t="shared" si="0"/>
        <v>0</v>
      </c>
      <c r="E17" s="711">
        <f t="shared" si="1"/>
        <v>0</v>
      </c>
      <c r="F17" s="712"/>
      <c r="G17" s="712"/>
      <c r="H17" s="214"/>
      <c r="I17" s="214"/>
    </row>
    <row r="18" spans="2:9" s="153" customFormat="1" ht="24" customHeight="1" hidden="1">
      <c r="B18" s="674" t="s">
        <v>88</v>
      </c>
      <c r="C18" s="675"/>
      <c r="D18" s="711">
        <f t="shared" si="0"/>
        <v>0</v>
      </c>
      <c r="E18" s="711">
        <f t="shared" si="1"/>
        <v>0</v>
      </c>
      <c r="F18" s="712"/>
      <c r="G18" s="712"/>
      <c r="H18" s="214"/>
      <c r="I18" s="214"/>
    </row>
    <row r="19" spans="2:9" s="153" customFormat="1" ht="22.5" customHeight="1" hidden="1">
      <c r="B19" s="674" t="s">
        <v>89</v>
      </c>
      <c r="C19" s="675"/>
      <c r="D19" s="711">
        <f t="shared" si="0"/>
        <v>0</v>
      </c>
      <c r="E19" s="711">
        <f t="shared" si="1"/>
        <v>0</v>
      </c>
      <c r="F19" s="712"/>
      <c r="G19" s="712"/>
      <c r="H19" s="214"/>
      <c r="I19" s="214"/>
    </row>
    <row r="20" spans="2:9" s="153" customFormat="1" ht="24" customHeight="1" hidden="1">
      <c r="B20" s="674" t="s">
        <v>90</v>
      </c>
      <c r="C20" s="675"/>
      <c r="D20" s="711">
        <f t="shared" si="0"/>
        <v>0</v>
      </c>
      <c r="E20" s="711">
        <f t="shared" si="1"/>
        <v>0</v>
      </c>
      <c r="F20" s="712"/>
      <c r="G20" s="712"/>
      <c r="H20" s="214"/>
      <c r="I20" s="214"/>
    </row>
    <row r="21" spans="2:9" s="153" customFormat="1" ht="18" customHeight="1">
      <c r="B21" s="674" t="s">
        <v>306</v>
      </c>
      <c r="C21" s="713" t="s">
        <v>873</v>
      </c>
      <c r="D21" s="711"/>
      <c r="E21" s="711">
        <f t="shared" si="1"/>
        <v>3040.3940000000002</v>
      </c>
      <c r="F21" s="214"/>
      <c r="G21" s="214">
        <f>2394.011+646.383</f>
        <v>3040.3940000000002</v>
      </c>
      <c r="H21" s="214"/>
      <c r="I21" s="214"/>
    </row>
    <row r="22" spans="2:9" s="153" customFormat="1" ht="18" customHeight="1">
      <c r="B22" s="714"/>
      <c r="C22" s="715" t="s">
        <v>314</v>
      </c>
      <c r="D22" s="716">
        <f>H22+F22</f>
        <v>94335.074</v>
      </c>
      <c r="E22" s="716">
        <f>I22+G22</f>
        <v>285626.78800000006</v>
      </c>
      <c r="F22" s="717">
        <f>SUM(F8:F21)</f>
        <v>94335.074</v>
      </c>
      <c r="G22" s="717">
        <f>SUM(G8:G21)</f>
        <v>285626.78800000006</v>
      </c>
      <c r="H22" s="718">
        <f aca="true" t="shared" si="2" ref="H22:I22">SUM(H9:H21)</f>
        <v>0</v>
      </c>
      <c r="I22" s="718">
        <f t="shared" si="2"/>
        <v>0</v>
      </c>
    </row>
    <row r="23" spans="3:9" s="78" customFormat="1" ht="18" customHeight="1">
      <c r="C23" s="104"/>
      <c r="D23" s="104"/>
      <c r="E23" s="104"/>
      <c r="F23" s="104"/>
      <c r="G23" s="104"/>
      <c r="H23" s="104"/>
      <c r="I23" s="104"/>
    </row>
    <row r="24" spans="3:5" s="5" customFormat="1" ht="18" customHeight="1">
      <c r="C24" s="104"/>
      <c r="D24" s="104"/>
      <c r="E24" s="781"/>
    </row>
    <row r="25" spans="3:5" s="5" customFormat="1" ht="18" customHeight="1">
      <c r="C25" s="104"/>
      <c r="D25" s="104"/>
      <c r="E25" s="104"/>
    </row>
    <row r="26" spans="3:5" s="5" customFormat="1" ht="18" customHeight="1">
      <c r="C26" s="104"/>
      <c r="D26" s="104"/>
      <c r="E26" s="781"/>
    </row>
    <row r="27" spans="3:5" s="5" customFormat="1" ht="18" customHeight="1">
      <c r="C27" s="104"/>
      <c r="D27" s="104"/>
      <c r="E27" s="104"/>
    </row>
    <row r="28" spans="3:5" s="5" customFormat="1" ht="18" customHeight="1">
      <c r="C28" s="104"/>
      <c r="D28" s="104"/>
      <c r="E28" s="104"/>
    </row>
    <row r="29" spans="3:5" s="5" customFormat="1" ht="18" customHeight="1">
      <c r="C29" s="78"/>
      <c r="D29" s="78"/>
      <c r="E29" s="78"/>
    </row>
    <row r="30" spans="3:5" s="5" customFormat="1" ht="18" customHeight="1">
      <c r="C30" s="78"/>
      <c r="D30" s="78"/>
      <c r="E30" s="78"/>
    </row>
    <row r="31" spans="3:5" s="5" customFormat="1" ht="18" customHeight="1">
      <c r="C31" s="78"/>
      <c r="D31" s="78"/>
      <c r="E31" s="78"/>
    </row>
    <row r="32" spans="3:5" s="5" customFormat="1" ht="18" customHeight="1">
      <c r="C32" s="78"/>
      <c r="D32" s="78"/>
      <c r="E32" s="78"/>
    </row>
    <row r="33" spans="3:5" s="5" customFormat="1" ht="18" customHeight="1">
      <c r="C33" s="78"/>
      <c r="D33" s="78"/>
      <c r="E33" s="78"/>
    </row>
    <row r="34" spans="3:5" s="5" customFormat="1" ht="18" customHeight="1">
      <c r="C34" s="78"/>
      <c r="D34" s="78"/>
      <c r="E34" s="78"/>
    </row>
    <row r="35" spans="3:5" s="5" customFormat="1" ht="18" customHeight="1">
      <c r="C35" s="78"/>
      <c r="D35" s="78"/>
      <c r="E35" s="78"/>
    </row>
    <row r="36" spans="3:5" s="5" customFormat="1" ht="18" customHeight="1">
      <c r="C36" s="78"/>
      <c r="D36" s="78"/>
      <c r="E36" s="78"/>
    </row>
    <row r="37" spans="3:5" s="5" customFormat="1" ht="18" customHeight="1">
      <c r="C37" s="78"/>
      <c r="D37" s="78"/>
      <c r="E37" s="78"/>
    </row>
    <row r="38" spans="3:5" s="5" customFormat="1" ht="18" customHeight="1">
      <c r="C38" s="78"/>
      <c r="D38" s="78"/>
      <c r="E38" s="78"/>
    </row>
    <row r="39" spans="3:5" s="5" customFormat="1" ht="18" customHeight="1">
      <c r="C39" s="78"/>
      <c r="D39" s="78"/>
      <c r="E39" s="78"/>
    </row>
    <row r="40" spans="3:5" s="5" customFormat="1" ht="18" customHeight="1">
      <c r="C40" s="78"/>
      <c r="D40" s="78"/>
      <c r="E40" s="78"/>
    </row>
    <row r="41" spans="3:5" s="5" customFormat="1" ht="18" customHeight="1">
      <c r="C41" s="78"/>
      <c r="D41" s="78"/>
      <c r="E41" s="78"/>
    </row>
    <row r="42" spans="3:5" s="5" customFormat="1" ht="18" customHeight="1">
      <c r="C42" s="78"/>
      <c r="D42" s="78"/>
      <c r="E42" s="78"/>
    </row>
    <row r="43" spans="3:5" s="5" customFormat="1" ht="18" customHeight="1">
      <c r="C43" s="78"/>
      <c r="D43" s="78"/>
      <c r="E43" s="78"/>
    </row>
    <row r="44" spans="3:5" s="5" customFormat="1" ht="18" customHeight="1">
      <c r="C44" s="78"/>
      <c r="D44" s="78"/>
      <c r="E44" s="78"/>
    </row>
    <row r="45" spans="3:5" s="5" customFormat="1" ht="20.1" customHeight="1">
      <c r="C45" s="78"/>
      <c r="D45" s="78"/>
      <c r="E45" s="78"/>
    </row>
    <row r="46" spans="3:5" s="5" customFormat="1" ht="20.1" customHeight="1">
      <c r="C46" s="78"/>
      <c r="D46" s="78"/>
      <c r="E46" s="78"/>
    </row>
    <row r="47" spans="3:5" s="5" customFormat="1" ht="20.1" customHeight="1">
      <c r="C47" s="78"/>
      <c r="D47" s="78"/>
      <c r="E47" s="78"/>
    </row>
    <row r="48" spans="3:5" s="5" customFormat="1" ht="20.1" customHeight="1">
      <c r="C48" s="78"/>
      <c r="D48" s="78"/>
      <c r="E48" s="78"/>
    </row>
    <row r="49" spans="3:5" s="5" customFormat="1" ht="20.1" customHeight="1">
      <c r="C49" s="78"/>
      <c r="D49" s="78"/>
      <c r="E49" s="78"/>
    </row>
    <row r="50" spans="3:5" s="5" customFormat="1" ht="20.1" customHeight="1">
      <c r="C50" s="78"/>
      <c r="D50" s="78"/>
      <c r="E50" s="78"/>
    </row>
    <row r="51" spans="3:5" s="5" customFormat="1" ht="20.1" customHeight="1">
      <c r="C51" s="78"/>
      <c r="D51" s="78"/>
      <c r="E51" s="78"/>
    </row>
    <row r="52" spans="3:5" s="5" customFormat="1" ht="20.1" customHeight="1">
      <c r="C52" s="78"/>
      <c r="D52" s="78"/>
      <c r="E52" s="78"/>
    </row>
    <row r="53" spans="3:5" s="5" customFormat="1" ht="20.1" customHeight="1">
      <c r="C53" s="78"/>
      <c r="D53" s="78"/>
      <c r="E53" s="78"/>
    </row>
    <row r="54" spans="3:5" s="5" customFormat="1" ht="12">
      <c r="C54" s="78"/>
      <c r="D54" s="78"/>
      <c r="E54" s="78"/>
    </row>
    <row r="55" spans="3:5" s="5" customFormat="1" ht="12">
      <c r="C55" s="78"/>
      <c r="D55" s="78"/>
      <c r="E55" s="78"/>
    </row>
  </sheetData>
  <mergeCells count="5">
    <mergeCell ref="C2:E2"/>
    <mergeCell ref="D6:E6"/>
    <mergeCell ref="F6:G6"/>
    <mergeCell ref="H6:I6"/>
    <mergeCell ref="C3:I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47.125" style="13" customWidth="1"/>
    <col min="2" max="2" width="25.125" style="13" customWidth="1"/>
    <col min="3" max="3" width="16.375" style="13" customWidth="1"/>
    <col min="4" max="4" width="16.375" style="13" hidden="1" customWidth="1"/>
    <col min="5" max="5" width="9.75390625" style="13" customWidth="1"/>
    <col min="6" max="6" width="14.00390625" style="13" bestFit="1" customWidth="1"/>
    <col min="7" max="7" width="52.125" style="13" bestFit="1" customWidth="1"/>
    <col min="8" max="16384" width="9.125" style="13" customWidth="1"/>
  </cols>
  <sheetData>
    <row r="1" spans="1:3" ht="12.75">
      <c r="A1" s="12"/>
      <c r="B1" s="298" t="s">
        <v>83</v>
      </c>
      <c r="C1" s="13" t="str">
        <f>'bev-int'!B1</f>
        <v>melléklet a 12/2020.(IX.17.) önkormányzati rendelethez</v>
      </c>
    </row>
    <row r="3" spans="1:6" ht="12.75">
      <c r="A3" s="1010" t="s">
        <v>783</v>
      </c>
      <c r="B3" s="1010"/>
      <c r="C3" s="1010"/>
      <c r="D3" s="1010"/>
      <c r="E3" s="1010"/>
      <c r="F3" s="1010"/>
    </row>
    <row r="4" spans="1:6" ht="12.75">
      <c r="A4" s="1010" t="s">
        <v>640</v>
      </c>
      <c r="B4" s="1010"/>
      <c r="C4" s="1010"/>
      <c r="D4" s="1010"/>
      <c r="E4" s="1010"/>
      <c r="F4" s="1010"/>
    </row>
    <row r="5" spans="1:6" ht="12.75">
      <c r="A5" s="293"/>
      <c r="B5" s="293"/>
      <c r="C5" s="293"/>
      <c r="D5" s="293"/>
      <c r="E5" s="293"/>
      <c r="F5" s="293"/>
    </row>
    <row r="6" spans="5:6" ht="12.75">
      <c r="E6" s="12"/>
      <c r="F6" s="298" t="s">
        <v>299</v>
      </c>
    </row>
    <row r="7" spans="1:7" s="88" customFormat="1" ht="25.5">
      <c r="A7" s="297" t="s">
        <v>552</v>
      </c>
      <c r="B7" s="297" t="s">
        <v>553</v>
      </c>
      <c r="C7" s="297" t="s">
        <v>554</v>
      </c>
      <c r="D7" s="297" t="s">
        <v>556</v>
      </c>
      <c r="E7" s="297" t="s">
        <v>555</v>
      </c>
      <c r="F7" s="297" t="s">
        <v>727</v>
      </c>
      <c r="G7" s="952" t="s">
        <v>892</v>
      </c>
    </row>
    <row r="8" spans="1:7" s="299" customFormat="1" ht="25.5">
      <c r="A8" s="158" t="s">
        <v>887</v>
      </c>
      <c r="B8" s="158" t="s">
        <v>888</v>
      </c>
      <c r="C8" s="158" t="s">
        <v>891</v>
      </c>
      <c r="D8" s="342">
        <v>615531602</v>
      </c>
      <c r="E8" s="342">
        <v>0</v>
      </c>
      <c r="F8" s="342">
        <v>298336400</v>
      </c>
      <c r="G8" s="951"/>
    </row>
    <row r="9" spans="1:7" s="299" customFormat="1" ht="25.5">
      <c r="A9" s="300" t="s">
        <v>889</v>
      </c>
      <c r="B9" s="300" t="s">
        <v>890</v>
      </c>
      <c r="C9" s="158" t="s">
        <v>891</v>
      </c>
      <c r="D9" s="343">
        <v>10214000</v>
      </c>
      <c r="E9" s="343">
        <v>0</v>
      </c>
      <c r="F9" s="343">
        <v>178000000</v>
      </c>
      <c r="G9" s="951" t="s">
        <v>893</v>
      </c>
    </row>
    <row r="10" spans="1:6" s="299" customFormat="1" ht="27" customHeight="1" hidden="1">
      <c r="A10" s="300"/>
      <c r="B10" s="300"/>
      <c r="C10" s="158"/>
      <c r="D10" s="343">
        <v>21617050</v>
      </c>
      <c r="E10" s="343"/>
      <c r="F10" s="343"/>
    </row>
    <row r="11" spans="1:6" s="299" customFormat="1" ht="12.75" hidden="1">
      <c r="A11" s="446"/>
      <c r="B11" s="447"/>
      <c r="C11" s="158"/>
      <c r="D11" s="728">
        <v>165268522</v>
      </c>
      <c r="E11" s="728"/>
      <c r="F11" s="728"/>
    </row>
    <row r="12" spans="1:6" s="299" customFormat="1" ht="12.75" hidden="1">
      <c r="A12" s="158"/>
      <c r="B12" s="300"/>
      <c r="C12" s="158"/>
      <c r="D12" s="342">
        <v>62234046</v>
      </c>
      <c r="E12" s="342"/>
      <c r="F12" s="343"/>
    </row>
    <row r="13" spans="1:6" s="449" customFormat="1" ht="45" hidden="1">
      <c r="A13" s="446"/>
      <c r="B13" s="447"/>
      <c r="C13" s="158"/>
      <c r="D13" s="450" t="s">
        <v>551</v>
      </c>
      <c r="E13" s="450"/>
      <c r="F13" s="448"/>
    </row>
    <row r="14" spans="1:6" s="299" customFormat="1" ht="12.75" hidden="1">
      <c r="A14" s="158"/>
      <c r="B14" s="158"/>
      <c r="C14" s="158"/>
      <c r="D14" s="342">
        <v>221099800</v>
      </c>
      <c r="E14" s="342"/>
      <c r="F14" s="342"/>
    </row>
    <row r="15" spans="1:6" s="299" customFormat="1" ht="12.75" hidden="1">
      <c r="A15" s="300"/>
      <c r="B15" s="158"/>
      <c r="C15" s="158"/>
      <c r="D15" s="342">
        <v>500000000</v>
      </c>
      <c r="E15" s="343"/>
      <c r="F15" s="343"/>
    </row>
    <row r="16" spans="1:6" s="299" customFormat="1" ht="36" customHeight="1" hidden="1">
      <c r="A16" s="300"/>
      <c r="B16" s="300"/>
      <c r="C16" s="158"/>
      <c r="D16" s="342">
        <v>55000000</v>
      </c>
      <c r="E16" s="343"/>
      <c r="F16" s="343"/>
    </row>
    <row r="17" spans="1:6" ht="12.75" hidden="1">
      <c r="A17" s="725"/>
      <c r="B17" s="725"/>
      <c r="C17" s="158"/>
      <c r="D17" s="724">
        <v>7000000</v>
      </c>
      <c r="E17" s="724"/>
      <c r="F17" s="724"/>
    </row>
    <row r="18" spans="1:6" ht="12.75" hidden="1">
      <c r="A18" s="723"/>
      <c r="B18" s="722"/>
      <c r="C18" s="158"/>
      <c r="D18" s="726">
        <v>77851160</v>
      </c>
      <c r="E18" s="726"/>
      <c r="F18" s="724"/>
    </row>
  </sheetData>
  <mergeCells count="2">
    <mergeCell ref="A3:F3"/>
    <mergeCell ref="A4:F4"/>
  </mergeCells>
  <printOptions horizontalCentered="1"/>
  <pageMargins left="0.15748031496062992" right="0.15748031496062992" top="0.2362204724409449" bottom="0.15748031496062992" header="0.2362204724409449" footer="0.1574803149606299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 topLeftCell="A10">
      <selection activeCell="C13" sqref="C13"/>
    </sheetView>
  </sheetViews>
  <sheetFormatPr defaultColWidth="9.00390625" defaultRowHeight="12.75"/>
  <cols>
    <col min="1" max="1" width="36.75390625" style="13" customWidth="1"/>
    <col min="2" max="3" width="15.75390625" style="13" customWidth="1"/>
    <col min="4" max="4" width="15.875" style="13" customWidth="1"/>
    <col min="5" max="16384" width="9.125" style="13" customWidth="1"/>
  </cols>
  <sheetData>
    <row r="2" spans="1:2" ht="12.75">
      <c r="A2" s="12" t="s">
        <v>84</v>
      </c>
      <c r="B2" s="13" t="str">
        <f>'bev-int'!B1</f>
        <v>melléklet a 12/2020.(IX.17.) önkormányzati rendelethez</v>
      </c>
    </row>
    <row r="3" ht="12.75">
      <c r="A3" s="12"/>
    </row>
    <row r="5" spans="1:4" ht="12.75">
      <c r="A5" s="1010" t="s">
        <v>784</v>
      </c>
      <c r="B5" s="1010"/>
      <c r="C5" s="1010"/>
      <c r="D5" s="1010"/>
    </row>
    <row r="6" spans="1:4" ht="12.75">
      <c r="A6" s="1010" t="s">
        <v>60</v>
      </c>
      <c r="B6" s="1010"/>
      <c r="C6" s="1010"/>
      <c r="D6" s="1010"/>
    </row>
    <row r="7" spans="1:4" ht="12.75">
      <c r="A7" s="90"/>
      <c r="B7" s="90"/>
      <c r="C7" s="90"/>
      <c r="D7" s="90"/>
    </row>
    <row r="8" spans="1:4" ht="12.75">
      <c r="A8" s="90"/>
      <c r="B8" s="90"/>
      <c r="C8" s="90"/>
      <c r="D8" s="90"/>
    </row>
    <row r="9" spans="1:4" ht="12.75">
      <c r="A9" s="90"/>
      <c r="B9" s="90"/>
      <c r="C9" s="90"/>
      <c r="D9" s="90"/>
    </row>
    <row r="10" ht="13.5" thickBot="1">
      <c r="D10" s="12" t="s">
        <v>59</v>
      </c>
    </row>
    <row r="11" spans="1:4" ht="13.5" thickBot="1">
      <c r="A11" s="1028" t="s">
        <v>56</v>
      </c>
      <c r="B11" s="1030" t="s">
        <v>61</v>
      </c>
      <c r="C11" s="1032" t="s">
        <v>62</v>
      </c>
      <c r="D11" s="1034" t="s">
        <v>58</v>
      </c>
    </row>
    <row r="12" spans="1:4" ht="13.5" thickBot="1">
      <c r="A12" s="1029"/>
      <c r="B12" s="1031"/>
      <c r="C12" s="1033"/>
      <c r="D12" s="1035"/>
    </row>
    <row r="13" spans="1:5" ht="12.75">
      <c r="A13" s="131" t="s">
        <v>34</v>
      </c>
      <c r="B13" s="216">
        <f>m_mérl_!C20</f>
        <v>175598.79099999997</v>
      </c>
      <c r="C13" s="216">
        <f>f_mérl_!C20</f>
        <v>494635.764</v>
      </c>
      <c r="D13" s="221">
        <f>SUM(B13:C13)</f>
        <v>670234.5549999999</v>
      </c>
      <c r="E13" s="17"/>
    </row>
    <row r="14" spans="1:5" ht="13.5" thickBot="1">
      <c r="A14" s="132" t="s">
        <v>35</v>
      </c>
      <c r="B14" s="219">
        <f>m_mérl_!F20</f>
        <v>260195.94</v>
      </c>
      <c r="C14" s="219">
        <f>f_mérl_!F20</f>
        <v>679356.3900000001</v>
      </c>
      <c r="D14" s="222">
        <f>SUM(B14:C14)</f>
        <v>939552.3300000001</v>
      </c>
      <c r="E14" s="17"/>
    </row>
    <row r="15" spans="1:5" ht="27.75" customHeight="1" thickBot="1">
      <c r="A15" s="133" t="s">
        <v>40</v>
      </c>
      <c r="B15" s="223">
        <f>B13-B14</f>
        <v>-84597.14900000003</v>
      </c>
      <c r="C15" s="223">
        <f>C13-C14</f>
        <v>-184720.6260000001</v>
      </c>
      <c r="D15" s="224">
        <f>SUM(B15:C15)</f>
        <v>-269317.77500000014</v>
      </c>
      <c r="E15" s="17"/>
    </row>
    <row r="16" spans="1:5" ht="27.75" customHeight="1">
      <c r="A16" s="134" t="s">
        <v>39</v>
      </c>
      <c r="B16" s="225"/>
      <c r="C16" s="225"/>
      <c r="D16" s="226"/>
      <c r="E16" s="17"/>
    </row>
    <row r="17" spans="1:5" ht="12.75" customHeight="1">
      <c r="A17" s="135" t="s">
        <v>41</v>
      </c>
      <c r="B17" s="218">
        <f>m_mérl_!C23</f>
        <v>215257.21400000004</v>
      </c>
      <c r="C17" s="218">
        <f>f_mérl_!C23</f>
        <v>60199.745</v>
      </c>
      <c r="D17" s="227">
        <f aca="true" t="shared" si="0" ref="D17:D23">SUM(B17:C17)</f>
        <v>275456.95900000003</v>
      </c>
      <c r="E17" s="17"/>
    </row>
    <row r="18" spans="1:5" ht="12.75">
      <c r="A18" s="135" t="s">
        <v>42</v>
      </c>
      <c r="B18" s="218">
        <f>m_mérl_!C26</f>
        <v>63402.807</v>
      </c>
      <c r="C18" s="218">
        <f>f_mérl_!C26</f>
        <v>3938.728</v>
      </c>
      <c r="D18" s="227">
        <f t="shared" si="0"/>
        <v>67341.535</v>
      </c>
      <c r="E18" s="17"/>
    </row>
    <row r="19" spans="1:5" ht="12.75">
      <c r="A19" s="135" t="s">
        <v>29</v>
      </c>
      <c r="B19" s="785">
        <v>0</v>
      </c>
      <c r="C19" s="785"/>
      <c r="D19" s="227">
        <f t="shared" si="0"/>
        <v>0</v>
      </c>
      <c r="E19" s="17"/>
    </row>
    <row r="20" spans="1:5" ht="25.5">
      <c r="A20" s="135" t="str">
        <f>'bev-int'!A38</f>
        <v>Betétek megszüntetése, kincstárjegy vissszavásárlás</v>
      </c>
      <c r="B20" s="218">
        <f>m_mérl_!C27</f>
        <v>250004.90000000002</v>
      </c>
      <c r="C20" s="218">
        <f>f_mérl_!C27</f>
        <v>0</v>
      </c>
      <c r="D20" s="227">
        <f t="shared" si="0"/>
        <v>250004.90000000002</v>
      </c>
      <c r="E20" s="17"/>
    </row>
    <row r="21" spans="1:5" ht="12.75">
      <c r="A21" s="135" t="str">
        <f>'kiad-int'!A26</f>
        <v>ÁH belüli megelőlegezések visszafizetése</v>
      </c>
      <c r="B21" s="218">
        <f>m_mérl_!F24</f>
        <v>6139.184</v>
      </c>
      <c r="C21" s="218"/>
      <c r="D21" s="227">
        <f t="shared" si="0"/>
        <v>6139.184</v>
      </c>
      <c r="E21" s="17"/>
    </row>
    <row r="22" spans="1:5" ht="12.75">
      <c r="A22" s="135" t="s">
        <v>43</v>
      </c>
      <c r="B22" s="218">
        <f>m_mérl_!F25</f>
        <v>63402.807</v>
      </c>
      <c r="C22" s="218">
        <f>f_mérl_!F25</f>
        <v>3938.728</v>
      </c>
      <c r="D22" s="227">
        <f t="shared" si="0"/>
        <v>67341.535</v>
      </c>
      <c r="E22" s="17"/>
    </row>
    <row r="23" spans="1:5" ht="12.75">
      <c r="A23" s="430" t="str">
        <f>'kiad-int'!A28</f>
        <v>Pe.betétként elhelyezése, kincstárjegy vás.</v>
      </c>
      <c r="B23" s="219">
        <f>m_mérl_!F26</f>
        <v>250004.90000000002</v>
      </c>
      <c r="C23" s="219"/>
      <c r="D23" s="227">
        <f t="shared" si="0"/>
        <v>250004.90000000002</v>
      </c>
      <c r="E23" s="17"/>
    </row>
    <row r="24" spans="1:5" ht="13.5" thickBot="1">
      <c r="A24" s="136"/>
      <c r="B24" s="220"/>
      <c r="C24" s="220"/>
      <c r="D24" s="228"/>
      <c r="E24" s="17"/>
    </row>
    <row r="25" spans="1:5" ht="43.5" customHeight="1">
      <c r="A25" s="137" t="s">
        <v>36</v>
      </c>
      <c r="B25" s="229">
        <f>B15+B17+B18+B20-B21-B22-B23+B19</f>
        <v>124520.88099999994</v>
      </c>
      <c r="C25" s="229">
        <f aca="true" t="shared" si="1" ref="C25:D25">C15+C17+C18+C20-C21-C22-C23+C19</f>
        <v>-124520.88100000011</v>
      </c>
      <c r="D25" s="229">
        <f t="shared" si="1"/>
        <v>-8.731149137020111E-11</v>
      </c>
      <c r="E25" s="17"/>
    </row>
    <row r="26" spans="2:4" ht="12.75">
      <c r="B26" s="16"/>
      <c r="C26" s="16"/>
      <c r="D26" s="16"/>
    </row>
    <row r="27" spans="2:4" ht="12.75">
      <c r="B27" s="16"/>
      <c r="C27" s="16"/>
      <c r="D27" s="16"/>
    </row>
    <row r="28" spans="2:6" ht="12.75">
      <c r="B28" s="16"/>
      <c r="C28" s="16"/>
      <c r="D28" s="16"/>
      <c r="F28" s="55"/>
    </row>
    <row r="29" spans="2:4" ht="12.75">
      <c r="B29" s="16"/>
      <c r="C29" s="16"/>
      <c r="D29" s="16"/>
    </row>
    <row r="30" spans="2:4" ht="12.75">
      <c r="B30" s="16"/>
      <c r="C30" s="16"/>
      <c r="D30" s="16"/>
    </row>
  </sheetData>
  <mergeCells count="6">
    <mergeCell ref="A5:D5"/>
    <mergeCell ref="A6:D6"/>
    <mergeCell ref="A11:A12"/>
    <mergeCell ref="B11:B12"/>
    <mergeCell ref="C11:C12"/>
    <mergeCell ref="D11:D1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 topLeftCell="A1">
      <selection activeCell="C16" sqref="C16"/>
    </sheetView>
  </sheetViews>
  <sheetFormatPr defaultColWidth="9.00390625" defaultRowHeight="12.75"/>
  <cols>
    <col min="1" max="1" width="36.75390625" style="15" customWidth="1"/>
    <col min="2" max="4" width="15.75390625" style="15" customWidth="1"/>
    <col min="5" max="16384" width="9.125" style="15" customWidth="1"/>
  </cols>
  <sheetData>
    <row r="2" spans="1:2" ht="12.75">
      <c r="A2" s="14" t="s">
        <v>85</v>
      </c>
      <c r="B2" s="15" t="str">
        <f>'bev-int'!B1</f>
        <v>melléklet a 12/2020.(IX.17.) önkormányzati rendelethez</v>
      </c>
    </row>
    <row r="3" ht="12.75">
      <c r="A3" s="14"/>
    </row>
    <row r="5" spans="1:4" ht="12.75">
      <c r="A5" s="1036" t="s">
        <v>784</v>
      </c>
      <c r="B5" s="1036"/>
      <c r="C5" s="1036"/>
      <c r="D5" s="1036"/>
    </row>
    <row r="6" spans="1:4" ht="12.75">
      <c r="A6" s="1036" t="s">
        <v>63</v>
      </c>
      <c r="B6" s="1036"/>
      <c r="C6" s="1036"/>
      <c r="D6" s="1036"/>
    </row>
    <row r="7" spans="1:4" ht="12.75">
      <c r="A7" s="54"/>
      <c r="B7" s="54"/>
      <c r="C7" s="54"/>
      <c r="D7" s="54"/>
    </row>
    <row r="8" spans="1:4" ht="12.75">
      <c r="A8" s="54"/>
      <c r="B8" s="54"/>
      <c r="C8" s="54"/>
      <c r="D8" s="54"/>
    </row>
    <row r="9" ht="13.5" thickBot="1">
      <c r="D9" s="92" t="s">
        <v>59</v>
      </c>
    </row>
    <row r="10" spans="1:4" ht="13.5" thickBot="1">
      <c r="A10" s="1037" t="s">
        <v>56</v>
      </c>
      <c r="B10" s="1039" t="s">
        <v>61</v>
      </c>
      <c r="C10" s="1041" t="s">
        <v>62</v>
      </c>
      <c r="D10" s="1043" t="s">
        <v>58</v>
      </c>
    </row>
    <row r="11" spans="1:4" ht="13.5" thickBot="1">
      <c r="A11" s="1038"/>
      <c r="B11" s="1040"/>
      <c r="C11" s="1042"/>
      <c r="D11" s="1044"/>
    </row>
    <row r="12" spans="1:4" ht="12.75">
      <c r="A12" s="56" t="s">
        <v>34</v>
      </c>
      <c r="B12" s="216">
        <f>'belső fin_ '!B13</f>
        <v>175598.79099999997</v>
      </c>
      <c r="C12" s="216">
        <f>'belső fin_ '!C13</f>
        <v>494635.764</v>
      </c>
      <c r="D12" s="221">
        <f aca="true" t="shared" si="0" ref="D12:D17">SUM(B12:C12)</f>
        <v>670234.5549999999</v>
      </c>
    </row>
    <row r="13" spans="1:4" ht="13.5" thickBot="1">
      <c r="A13" s="57" t="s">
        <v>37</v>
      </c>
      <c r="B13" s="230">
        <f>'belső fin_ '!B14</f>
        <v>260195.94</v>
      </c>
      <c r="C13" s="230">
        <f>'belső fin_ '!C14</f>
        <v>679356.3900000001</v>
      </c>
      <c r="D13" s="222">
        <f t="shared" si="0"/>
        <v>939552.3300000001</v>
      </c>
    </row>
    <row r="14" spans="1:4" ht="25.5" customHeight="1" thickBot="1">
      <c r="A14" s="58" t="s">
        <v>38</v>
      </c>
      <c r="B14" s="231">
        <f>B12-B13</f>
        <v>-84597.14900000003</v>
      </c>
      <c r="C14" s="231">
        <f>C12-C13</f>
        <v>-184720.6260000001</v>
      </c>
      <c r="D14" s="232">
        <f>D12-D13</f>
        <v>-269317.77500000014</v>
      </c>
    </row>
    <row r="15" spans="1:4" ht="12.75">
      <c r="A15" s="59" t="s">
        <v>157</v>
      </c>
      <c r="B15" s="233">
        <f>'belső fin_ '!B17+'belső fin_ '!B18+'belső fin_ '!B20+'belső fin_ '!B19</f>
        <v>528664.9210000001</v>
      </c>
      <c r="C15" s="233">
        <f>'belső fin_ '!C17+'belső fin_ '!C18+'belső fin_ '!C20</f>
        <v>64138.473000000005</v>
      </c>
      <c r="D15" s="221">
        <f t="shared" si="0"/>
        <v>592803.3940000001</v>
      </c>
    </row>
    <row r="16" spans="1:4" ht="12.75">
      <c r="A16" s="60" t="s">
        <v>158</v>
      </c>
      <c r="B16" s="218">
        <f>'belső fin_ '!B21+'belső fin_ '!B22+'belső fin_ '!B23</f>
        <v>319546.891</v>
      </c>
      <c r="C16" s="218">
        <f>'belső fin_ '!C21+'belső fin_ '!C22</f>
        <v>3938.728</v>
      </c>
      <c r="D16" s="227">
        <f t="shared" si="0"/>
        <v>323485.619</v>
      </c>
    </row>
    <row r="17" spans="1:4" ht="13.5" thickBot="1">
      <c r="A17" s="61"/>
      <c r="B17" s="219"/>
      <c r="C17" s="219"/>
      <c r="D17" s="234">
        <f t="shared" si="0"/>
        <v>0</v>
      </c>
    </row>
    <row r="18" spans="1:4" ht="25.5" customHeight="1" thickBot="1">
      <c r="A18" s="62" t="s">
        <v>65</v>
      </c>
      <c r="B18" s="235">
        <f>B14+B15-B16</f>
        <v>124520.88100000005</v>
      </c>
      <c r="C18" s="235">
        <f>C14+C15-C16</f>
        <v>-124520.88100000011</v>
      </c>
      <c r="D18" s="224">
        <f>D14+D15-D16</f>
        <v>0</v>
      </c>
    </row>
    <row r="19" spans="1:4" ht="12.75">
      <c r="A19" s="59" t="s">
        <v>625</v>
      </c>
      <c r="B19" s="216">
        <f>m_mérl_!C29+m_mérl_!C30</f>
        <v>0</v>
      </c>
      <c r="C19" s="216">
        <f>f_mérl_!C29+f_mérl_!C30</f>
        <v>0</v>
      </c>
      <c r="D19" s="221">
        <f>SUM(B19:C19)</f>
        <v>0</v>
      </c>
    </row>
    <row r="20" spans="1:4" ht="12.75" customHeight="1">
      <c r="A20" s="63" t="s">
        <v>212</v>
      </c>
      <c r="B20" s="218">
        <f>m_mérl_!F29+m_mérl_!F30</f>
        <v>0</v>
      </c>
      <c r="C20" s="218">
        <f>f_mérl_!F29+f_mérl_!F30</f>
        <v>0</v>
      </c>
      <c r="D20" s="227">
        <f>SUM(B20:C20)</f>
        <v>0</v>
      </c>
    </row>
    <row r="21" spans="1:4" ht="13.5" thickBot="1">
      <c r="A21" s="64"/>
      <c r="B21" s="220"/>
      <c r="C21" s="220"/>
      <c r="D21" s="228"/>
    </row>
    <row r="22" spans="1:4" ht="13.5" thickBot="1">
      <c r="A22" s="65" t="s">
        <v>66</v>
      </c>
      <c r="B22" s="236">
        <f>B18+B19-B20</f>
        <v>124520.88100000005</v>
      </c>
      <c r="C22" s="236">
        <f>C18+C19-C20</f>
        <v>-124520.88100000011</v>
      </c>
      <c r="D22" s="237">
        <f>D18+D19-D20</f>
        <v>0</v>
      </c>
    </row>
    <row r="23" spans="2:4" ht="12.75">
      <c r="B23" s="16"/>
      <c r="C23" s="16"/>
      <c r="D23" s="16"/>
    </row>
    <row r="24" spans="2:4" ht="12.75">
      <c r="B24" s="16"/>
      <c r="C24" s="16"/>
      <c r="D24" s="16"/>
    </row>
    <row r="25" spans="2:4" ht="12.75">
      <c r="B25" s="16"/>
      <c r="C25" s="16"/>
      <c r="D25" s="16"/>
    </row>
    <row r="26" spans="2:4" ht="12.75">
      <c r="B26" s="16"/>
      <c r="C26" s="16"/>
      <c r="D26" s="16"/>
    </row>
    <row r="27" spans="2:4" ht="12.75">
      <c r="B27" s="16"/>
      <c r="C27" s="16"/>
      <c r="D27" s="16"/>
    </row>
  </sheetData>
  <mergeCells count="6">
    <mergeCell ref="A5:D5"/>
    <mergeCell ref="A6:D6"/>
    <mergeCell ref="A10:A11"/>
    <mergeCell ref="B10:B11"/>
    <mergeCell ref="C10:C11"/>
    <mergeCell ref="D10:D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 topLeftCell="A1">
      <selection activeCell="D12" sqref="D12"/>
    </sheetView>
  </sheetViews>
  <sheetFormatPr defaultColWidth="9.00390625" defaultRowHeight="12.75"/>
  <cols>
    <col min="1" max="1" width="5.625" style="13" customWidth="1"/>
    <col min="2" max="2" width="44.00390625" style="13" customWidth="1"/>
    <col min="3" max="4" width="15.625" style="13" customWidth="1"/>
    <col min="5" max="5" width="18.75390625" style="13" customWidth="1"/>
    <col min="6" max="16384" width="9.125" style="13" customWidth="1"/>
  </cols>
  <sheetData>
    <row r="1" spans="1:2" ht="12.75">
      <c r="A1" s="12" t="s">
        <v>86</v>
      </c>
      <c r="B1" s="12" t="str">
        <f>'bev-int'!B1</f>
        <v>melléklet a 12/2020.(IX.17.) önkormányzati rendelethez</v>
      </c>
    </row>
    <row r="3" spans="2:6" ht="12.75">
      <c r="B3" s="1010" t="s">
        <v>785</v>
      </c>
      <c r="C3" s="1010"/>
      <c r="D3" s="1010"/>
      <c r="E3" s="138"/>
      <c r="F3" s="138"/>
    </row>
    <row r="4" spans="2:6" ht="12.75">
      <c r="B4" s="138"/>
      <c r="C4" s="138"/>
      <c r="D4" s="138"/>
      <c r="E4" s="138"/>
      <c r="F4" s="138"/>
    </row>
    <row r="6" s="78" customFormat="1" ht="12.75" thickBot="1"/>
    <row r="7" spans="2:7" s="81" customFormat="1" ht="12">
      <c r="B7" s="892" t="s">
        <v>44</v>
      </c>
      <c r="C7" s="893" t="s">
        <v>9</v>
      </c>
      <c r="D7" s="894" t="s">
        <v>620</v>
      </c>
      <c r="E7" s="80"/>
      <c r="F7" s="80"/>
      <c r="G7" s="80"/>
    </row>
    <row r="8" spans="2:4" s="82" customFormat="1" ht="12">
      <c r="B8" s="895" t="s">
        <v>10</v>
      </c>
      <c r="C8" s="888">
        <f>SUM(C10,C13,C17,C21)</f>
        <v>2355.476</v>
      </c>
      <c r="D8" s="896">
        <f>SUM(D10,D13,D17,D21)</f>
        <v>18838.28</v>
      </c>
    </row>
    <row r="9" spans="2:4" s="82" customFormat="1" ht="12">
      <c r="B9" s="897"/>
      <c r="C9" s="889"/>
      <c r="D9" s="898"/>
    </row>
    <row r="10" spans="2:4" s="83" customFormat="1" ht="12">
      <c r="B10" s="899" t="s">
        <v>11</v>
      </c>
      <c r="C10" s="890">
        <f>SUM(C11)</f>
        <v>2355.476</v>
      </c>
      <c r="D10" s="900">
        <f>SUM(D11)</f>
        <v>18838.28</v>
      </c>
    </row>
    <row r="11" spans="2:4" s="81" customFormat="1" ht="12">
      <c r="B11" s="901" t="s">
        <v>269</v>
      </c>
      <c r="C11" s="796">
        <v>2355.476</v>
      </c>
      <c r="D11" s="902">
        <f>2355.476+20286.741-50-1185.737-2568.2</f>
        <v>18838.28</v>
      </c>
    </row>
    <row r="12" spans="2:4" s="81" customFormat="1" ht="12">
      <c r="B12" s="901"/>
      <c r="C12" s="891"/>
      <c r="D12" s="903"/>
    </row>
    <row r="13" spans="2:4" s="83" customFormat="1" ht="12">
      <c r="B13" s="899" t="s">
        <v>12</v>
      </c>
      <c r="C13" s="890">
        <f>SUM(C14:C15)</f>
        <v>0</v>
      </c>
      <c r="D13" s="900">
        <f>SUM(D14:D15)</f>
        <v>0</v>
      </c>
    </row>
    <row r="14" spans="2:4" s="81" customFormat="1" ht="12">
      <c r="B14" s="901"/>
      <c r="C14" s="891"/>
      <c r="D14" s="903"/>
    </row>
    <row r="15" spans="2:4" s="81" customFormat="1" ht="12">
      <c r="B15" s="901"/>
      <c r="C15" s="891"/>
      <c r="D15" s="903"/>
    </row>
    <row r="16" spans="2:4" s="81" customFormat="1" ht="12">
      <c r="B16" s="901"/>
      <c r="C16" s="891"/>
      <c r="D16" s="903"/>
    </row>
    <row r="17" spans="2:4" s="81" customFormat="1" ht="12">
      <c r="B17" s="899" t="s">
        <v>13</v>
      </c>
      <c r="C17" s="890">
        <f>SUM(C18:C19)</f>
        <v>0</v>
      </c>
      <c r="D17" s="900">
        <f>SUM(D18:D19)</f>
        <v>0</v>
      </c>
    </row>
    <row r="18" spans="2:4" s="81" customFormat="1" ht="12">
      <c r="B18" s="901"/>
      <c r="C18" s="891"/>
      <c r="D18" s="903"/>
    </row>
    <row r="19" spans="2:4" s="81" customFormat="1" ht="12">
      <c r="B19" s="901"/>
      <c r="C19" s="891"/>
      <c r="D19" s="903"/>
    </row>
    <row r="20" spans="2:4" s="81" customFormat="1" ht="12">
      <c r="B20" s="901"/>
      <c r="C20" s="891"/>
      <c r="D20" s="903"/>
    </row>
    <row r="21" spans="2:4" s="81" customFormat="1" ht="12">
      <c r="B21" s="899" t="s">
        <v>14</v>
      </c>
      <c r="C21" s="890">
        <f>SUM(C22)</f>
        <v>0</v>
      </c>
      <c r="D21" s="900">
        <f>SUM(D22)</f>
        <v>0</v>
      </c>
    </row>
    <row r="22" spans="2:4" s="81" customFormat="1" ht="12">
      <c r="B22" s="901"/>
      <c r="C22" s="891"/>
      <c r="D22" s="903"/>
    </row>
    <row r="23" spans="2:4" s="81" customFormat="1" ht="12">
      <c r="B23" s="901"/>
      <c r="C23" s="891"/>
      <c r="D23" s="903"/>
    </row>
    <row r="24" spans="2:4" s="82" customFormat="1" ht="12">
      <c r="B24" s="895" t="s">
        <v>15</v>
      </c>
      <c r="C24" s="888">
        <f>SUM(C26,C29)</f>
        <v>0</v>
      </c>
      <c r="D24" s="896">
        <f>SUM(D26,D29)</f>
        <v>28800</v>
      </c>
    </row>
    <row r="25" spans="2:4" s="82" customFormat="1" ht="12">
      <c r="B25" s="899"/>
      <c r="C25" s="890"/>
      <c r="D25" s="900"/>
    </row>
    <row r="26" spans="2:4" s="83" customFormat="1" ht="12">
      <c r="B26" s="899" t="s">
        <v>16</v>
      </c>
      <c r="C26" s="890">
        <f>SUM(C27)</f>
        <v>0</v>
      </c>
      <c r="D26" s="900">
        <f>SUM(D27)</f>
        <v>28800</v>
      </c>
    </row>
    <row r="27" spans="2:4" s="81" customFormat="1" ht="36">
      <c r="B27" s="901" t="s">
        <v>878</v>
      </c>
      <c r="C27" s="891"/>
      <c r="D27" s="903">
        <f>30000-1200</f>
        <v>28800</v>
      </c>
    </row>
    <row r="28" spans="2:4" s="81" customFormat="1" ht="12">
      <c r="B28" s="901"/>
      <c r="C28" s="891"/>
      <c r="D28" s="903"/>
    </row>
    <row r="29" spans="2:4" s="81" customFormat="1" ht="12">
      <c r="B29" s="899" t="s">
        <v>17</v>
      </c>
      <c r="C29" s="890">
        <f>SUM(C30:C34)</f>
        <v>0</v>
      </c>
      <c r="D29" s="900">
        <f>SUM(D30:D34)</f>
        <v>0</v>
      </c>
    </row>
    <row r="30" spans="2:4" s="81" customFormat="1" ht="12">
      <c r="B30" s="904"/>
      <c r="C30" s="796"/>
      <c r="D30" s="902"/>
    </row>
    <row r="31" spans="2:4" s="81" customFormat="1" ht="12">
      <c r="B31" s="905"/>
      <c r="C31" s="796"/>
      <c r="D31" s="902"/>
    </row>
    <row r="32" spans="2:4" s="81" customFormat="1" ht="12">
      <c r="B32" s="905"/>
      <c r="C32" s="796"/>
      <c r="D32" s="902"/>
    </row>
    <row r="33" spans="2:4" s="81" customFormat="1" ht="12">
      <c r="B33" s="905"/>
      <c r="C33" s="796"/>
      <c r="D33" s="902"/>
    </row>
    <row r="34" spans="2:4" s="81" customFormat="1" ht="12">
      <c r="B34" s="905"/>
      <c r="C34" s="796"/>
      <c r="D34" s="902"/>
    </row>
    <row r="35" spans="2:4" s="81" customFormat="1" ht="12">
      <c r="B35" s="901"/>
      <c r="C35" s="891"/>
      <c r="D35" s="903"/>
    </row>
    <row r="36" spans="2:4" s="83" customFormat="1" ht="12">
      <c r="B36" s="899" t="s">
        <v>14</v>
      </c>
      <c r="C36" s="890">
        <f>SUM(C37)</f>
        <v>0</v>
      </c>
      <c r="D36" s="900">
        <f>SUM(D37)</f>
        <v>0</v>
      </c>
    </row>
    <row r="37" spans="2:4" s="83" customFormat="1" ht="12">
      <c r="B37" s="899"/>
      <c r="C37" s="890"/>
      <c r="D37" s="900"/>
    </row>
    <row r="38" spans="2:4" s="81" customFormat="1" ht="12">
      <c r="B38" s="901"/>
      <c r="C38" s="891"/>
      <c r="D38" s="903"/>
    </row>
    <row r="39" spans="2:4" s="83" customFormat="1" ht="12.75" thickBot="1">
      <c r="B39" s="906" t="s">
        <v>18</v>
      </c>
      <c r="C39" s="907">
        <f>C8+C24</f>
        <v>2355.476</v>
      </c>
      <c r="D39" s="908">
        <f>D8+D24</f>
        <v>47638.28</v>
      </c>
    </row>
    <row r="40" spans="3:4" s="78" customFormat="1" ht="12">
      <c r="C40" s="238"/>
      <c r="D40" s="238"/>
    </row>
    <row r="41" spans="3:4" s="78" customFormat="1" ht="12">
      <c r="C41" s="238"/>
      <c r="D41" s="238"/>
    </row>
    <row r="42" spans="3:4" s="78" customFormat="1" ht="12">
      <c r="C42" s="238"/>
      <c r="D42" s="238"/>
    </row>
    <row r="43" spans="3:4" s="78" customFormat="1" ht="12">
      <c r="C43" s="238"/>
      <c r="D43" s="238"/>
    </row>
    <row r="44" spans="3:4" s="78" customFormat="1" ht="12">
      <c r="C44" s="238"/>
      <c r="D44" s="238"/>
    </row>
    <row r="45" spans="3:4" s="78" customFormat="1" ht="12">
      <c r="C45" s="238"/>
      <c r="D45" s="238"/>
    </row>
    <row r="46" spans="3:4" s="78" customFormat="1" ht="12">
      <c r="C46" s="238"/>
      <c r="D46" s="238"/>
    </row>
    <row r="47" spans="3:4" s="78" customFormat="1" ht="12">
      <c r="C47" s="238"/>
      <c r="D47" s="238"/>
    </row>
    <row r="48" spans="3:4" s="78" customFormat="1" ht="12">
      <c r="C48" s="238"/>
      <c r="D48" s="238"/>
    </row>
    <row r="49" spans="3:4" s="78" customFormat="1" ht="12">
      <c r="C49" s="238"/>
      <c r="D49" s="238"/>
    </row>
    <row r="50" s="78" customFormat="1" ht="12"/>
    <row r="51" s="78" customFormat="1" ht="12"/>
  </sheetData>
  <mergeCells count="1">
    <mergeCell ref="B3:D3"/>
  </mergeCells>
  <printOptions horizontalCentered="1"/>
  <pageMargins left="0.17" right="0.7480314960629921" top="1.1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ACER</cp:lastModifiedBy>
  <cp:lastPrinted>2020-09-07T06:18:25Z</cp:lastPrinted>
  <dcterms:created xsi:type="dcterms:W3CDTF">2015-06-02T11:43:29Z</dcterms:created>
  <dcterms:modified xsi:type="dcterms:W3CDTF">2020-09-21T13:30:14Z</dcterms:modified>
  <cp:category/>
  <cp:version/>
  <cp:contentType/>
  <cp:contentStatus/>
</cp:coreProperties>
</file>