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675" windowWidth="11145" windowHeight="3720" tabRatio="608" firstSheet="10" activeTab="17"/>
  </bookViews>
  <sheets>
    <sheet name="1" sheetId="1" r:id="rId1"/>
    <sheet name="2" sheetId="2" r:id="rId2"/>
    <sheet name="3" sheetId="3" r:id="rId3"/>
    <sheet name="4" sheetId="4" r:id="rId4"/>
    <sheet name="5" sheetId="5" r:id="rId5"/>
    <sheet name="5.a" sheetId="6" r:id="rId6"/>
    <sheet name="5.a_14.05.24" sheetId="7" r:id="rId7"/>
    <sheet name="5.a_14.06.28" sheetId="8" r:id="rId8"/>
    <sheet name="5.a_14.09.23" sheetId="9" r:id="rId9"/>
    <sheet name="5.a_14.12.20" sheetId="10" r:id="rId10"/>
    <sheet name="5.a_15.02.05" sheetId="11" r:id="rId11"/>
    <sheet name="6" sheetId="12" r:id="rId12"/>
    <sheet name="6.a" sheetId="13" r:id="rId13"/>
    <sheet name="6.a_14.05.24" sheetId="14" r:id="rId14"/>
    <sheet name="6.a_14.06.28" sheetId="15" r:id="rId15"/>
    <sheet name="6.a_14.09.23" sheetId="16" r:id="rId16"/>
    <sheet name="6.a_14.12.20" sheetId="17" r:id="rId17"/>
    <sheet name="6.a_15.02.05" sheetId="18" r:id="rId18"/>
    <sheet name="7" sheetId="19" r:id="rId19"/>
    <sheet name="8" sheetId="20" r:id="rId20"/>
    <sheet name="9" sheetId="21" r:id="rId21"/>
    <sheet name="10" sheetId="22" r:id="rId22"/>
    <sheet name="11" sheetId="23" r:id="rId23"/>
    <sheet name="12" sheetId="24" r:id="rId24"/>
    <sheet name="13" sheetId="25" r:id="rId25"/>
    <sheet name="14" sheetId="26" r:id="rId26"/>
    <sheet name="15.a" sheetId="27" r:id="rId27"/>
    <sheet name="15.b" sheetId="28" r:id="rId28"/>
    <sheet name="16" sheetId="29" r:id="rId29"/>
    <sheet name="17" sheetId="30" r:id="rId30"/>
  </sheets>
  <externalReferences>
    <externalReference r:id="rId33"/>
    <externalReference r:id="rId34"/>
    <externalReference r:id="rId35"/>
    <externalReference r:id="rId36"/>
    <externalReference r:id="rId37"/>
  </externalReferences>
  <definedNames>
    <definedName name="_xlnm.Print_Titles" localSheetId="24">'13'!$1:$3</definedName>
    <definedName name="_xlnm.Print_Titles" localSheetId="26">'15.a'!$1:$1</definedName>
    <definedName name="_xlnm.Print_Titles" localSheetId="27">'15.b'!$1:$1</definedName>
    <definedName name="_xlnm.Print_Titles" localSheetId="2">'3'!$1:$2</definedName>
    <definedName name="_xlnm.Print_Titles" localSheetId="5">'5.a'!$2:$2</definedName>
    <definedName name="_xlnm.Print_Titles" localSheetId="6">'5.a_14.05.24'!$1:$2</definedName>
    <definedName name="_xlnm.Print_Titles" localSheetId="7">'5.a_14.06.28'!$1:$2</definedName>
    <definedName name="_xlnm.Print_Titles" localSheetId="8">'5.a_14.09.23'!$1:$2</definedName>
    <definedName name="_xlnm.Print_Titles" localSheetId="9">'5.a_14.12.20'!$1:$2</definedName>
    <definedName name="_xlnm.Print_Titles" localSheetId="10">'5.a_15.02.05'!$1:$2</definedName>
    <definedName name="_xlnm.Print_Titles" localSheetId="12">'6.a'!$1:$2</definedName>
    <definedName name="_xlnm.Print_Titles" localSheetId="13">'6.a_14.05.24'!$1:$2</definedName>
    <definedName name="_xlnm.Print_Titles" localSheetId="14">'6.a_14.06.28'!$1:$2</definedName>
    <definedName name="_xlnm.Print_Titles" localSheetId="15">'6.a_14.09.23'!$1:$2</definedName>
    <definedName name="_xlnm.Print_Titles" localSheetId="16">'6.a_14.12.20'!$1:$2</definedName>
    <definedName name="_xlnm.Print_Titles" localSheetId="17">'6.a_15.02.05'!$1:$2</definedName>
    <definedName name="_xlnm.Print_Titles" localSheetId="18">'7'!$1:$2</definedName>
    <definedName name="_xlnm.Print_Titles" localSheetId="19">'8'!$1:$2</definedName>
    <definedName name="_xlnm.Print_Area" localSheetId="5">'5.a'!$A$1:$N$121</definedName>
    <definedName name="_xlnm.Print_Area" localSheetId="12">'6.a'!$A$1:$P$377</definedName>
    <definedName name="_xlnm.Print_Area" localSheetId="13">'6.a_14.05.24'!$A$1:$Q$206</definedName>
    <definedName name="_xlnm.Print_Area" localSheetId="14">'6.a_14.06.28'!$A$1:$Q$142</definedName>
    <definedName name="_xlnm.Print_Area" localSheetId="15">'6.a_14.09.23'!$A$1:$Q$170</definedName>
    <definedName name="_xlnm.Print_Area" localSheetId="16">'6.a_14.12.20'!$A$1:$Q$203</definedName>
    <definedName name="_xlnm.Print_Area" localSheetId="17">'6.a_15.02.05'!$A$1:$Q$117</definedName>
  </definedNames>
  <calcPr fullCalcOnLoad="1"/>
</workbook>
</file>

<file path=xl/sharedStrings.xml><?xml version="1.0" encoding="utf-8"?>
<sst xmlns="http://schemas.openxmlformats.org/spreadsheetml/2006/main" count="4077" uniqueCount="1899">
  <si>
    <t xml:space="preserve"> - Kontakt Kft. szegélyezési munkák</t>
  </si>
  <si>
    <t xml:space="preserve"> - Kontakt Kft. tuskómarási munkálatok</t>
  </si>
  <si>
    <t xml:space="preserve"> - Kontakt Kft. köztéri szobrok tisztítása</t>
  </si>
  <si>
    <t xml:space="preserve"> - Kontakt Kft. rágógumi eltávolítás, speciális szennyeződésmentesítés</t>
  </si>
  <si>
    <t xml:space="preserve"> - Kontakt Kft. graffiti eltávolítás</t>
  </si>
  <si>
    <t xml:space="preserve"> - vízgazdálkodási társulati érdekeltségi hozzájárulás</t>
  </si>
  <si>
    <t xml:space="preserve"> - VG Kft. köztisztaság szerződéses munkák</t>
  </si>
  <si>
    <t xml:space="preserve"> - közfoglalkoztatás anyag- és eszközigény biztosítása</t>
  </si>
  <si>
    <t xml:space="preserve"> - vízbázis védőidomok, kártalanítások</t>
  </si>
  <si>
    <t>4./20</t>
  </si>
  <si>
    <t>4./21</t>
  </si>
  <si>
    <t>4./22</t>
  </si>
  <si>
    <t>4./23</t>
  </si>
  <si>
    <t>4./24</t>
  </si>
  <si>
    <t>4./25</t>
  </si>
  <si>
    <t>4./26</t>
  </si>
  <si>
    <t>4./27</t>
  </si>
  <si>
    <t>4./28</t>
  </si>
  <si>
    <t>4./29</t>
  </si>
  <si>
    <t>4./30</t>
  </si>
  <si>
    <t>4./31</t>
  </si>
  <si>
    <t>4./32</t>
  </si>
  <si>
    <t>4./33</t>
  </si>
  <si>
    <t>4./34</t>
  </si>
  <si>
    <t>4./35</t>
  </si>
  <si>
    <t>4./36</t>
  </si>
  <si>
    <t>4./37</t>
  </si>
  <si>
    <t>4./38</t>
  </si>
  <si>
    <t>4./39</t>
  </si>
  <si>
    <t>5./2</t>
  </si>
  <si>
    <t>5./3</t>
  </si>
  <si>
    <t>5./4</t>
  </si>
  <si>
    <t>4.a./1</t>
  </si>
  <si>
    <t>4.a./2</t>
  </si>
  <si>
    <t>4.a./3</t>
  </si>
  <si>
    <t>5.a./1</t>
  </si>
  <si>
    <t>7.a./1</t>
  </si>
  <si>
    <t>1.a./1</t>
  </si>
  <si>
    <t xml:space="preserve"> - Aquapark üzemeltetés</t>
  </si>
  <si>
    <t xml:space="preserve"> - közterület használati díj </t>
  </si>
  <si>
    <t>Jogi igazgatási feladat összesen:</t>
  </si>
  <si>
    <t xml:space="preserve"> - folyószámla kamata</t>
  </si>
  <si>
    <t>Kvártélyház Kft. részére támogatás eszközfejlesztési pályázat önrészéhez</t>
  </si>
  <si>
    <t>Parkok, terek, játszóterek</t>
  </si>
  <si>
    <t>Stratégiai tervezés, fejlesztés és területszerzés</t>
  </si>
  <si>
    <t>Mindösszesen:</t>
  </si>
  <si>
    <t>Megnevezés</t>
  </si>
  <si>
    <t>Jogi Igazgatási feladatok</t>
  </si>
  <si>
    <t>Csatornarendszer (szennyvíz-csapadékvíz)</t>
  </si>
  <si>
    <t>Összesen</t>
  </si>
  <si>
    <t>Polgármesteri Hivatal</t>
  </si>
  <si>
    <t>Városüzemelési feladatok</t>
  </si>
  <si>
    <t>Vagyonkezelési feladatok</t>
  </si>
  <si>
    <t xml:space="preserve"> - Bursa Hungarica ösztöndíj</t>
  </si>
  <si>
    <t xml:space="preserve"> - "M9" Térségi Fejlesztési Tanács műk.költségei</t>
  </si>
  <si>
    <t xml:space="preserve"> - rendszeres gyermekvédelmi segély</t>
  </si>
  <si>
    <t xml:space="preserve"> - méltányossági közgyógyellátás</t>
  </si>
  <si>
    <t xml:space="preserve"> - lakásgazdálkodási feladatokra</t>
  </si>
  <si>
    <t xml:space="preserve"> - Családsegítő Szolgálathoz krízissegélyezés</t>
  </si>
  <si>
    <t>Finanszírozási kiadások</t>
  </si>
  <si>
    <t>Költségvetési kiadások</t>
  </si>
  <si>
    <t>Költségvetési bevételek</t>
  </si>
  <si>
    <t>Hitel-, kölcsönfelvétel áht-n kívülről</t>
  </si>
  <si>
    <t>Maradvány igénybevétele</t>
  </si>
  <si>
    <t>Hitel-, kölcsöntör-lesztés áht-n kívülre</t>
  </si>
  <si>
    <t>Egyéb finanszírozási bevétel</t>
  </si>
  <si>
    <t xml:space="preserve"> - Sportcsarnok és környéke igénybevétel miatti kiadás</t>
  </si>
  <si>
    <t xml:space="preserve"> - reptér működési kiadásai </t>
  </si>
  <si>
    <t xml:space="preserve"> - Polgármesteri rendelkezésű keret</t>
  </si>
  <si>
    <t>Egyéb finanszírozási kiadás</t>
  </si>
  <si>
    <t>számított hozzájárulás</t>
  </si>
  <si>
    <t>1.a) önkormányzati hivatal működésénak támogatása</t>
  </si>
  <si>
    <t>1.a) önkormányzati hivatal működésénak támogatása - beszámítás után</t>
  </si>
  <si>
    <t>1.b) település-üzemeltetéshez kapcsolódó feladataellátás támogatása</t>
  </si>
  <si>
    <t xml:space="preserve">1.b) település-üzemeltetéshez kapcsolódó feladataellátás támogatása - beszámítás után </t>
  </si>
  <si>
    <t>1.c) egyéb kötelező önkormányzati feladatok támogatása</t>
  </si>
  <si>
    <t>1.c) egyéb kötelező önkormányzati feladatok támogatása - beszámítás után</t>
  </si>
  <si>
    <t>III.2. Hozzájárulás a pénzbeli szociális ellátásokhoz ( egyösszegű)</t>
  </si>
  <si>
    <t>Beszámítás összege</t>
  </si>
  <si>
    <t>I.2.Lakossági folyékony hulladék ártalmatlanítás</t>
  </si>
  <si>
    <t xml:space="preserve">  - óvodapedagógusok átlagbérének és közterheinek elismert összege 8 hó</t>
  </si>
  <si>
    <t xml:space="preserve">  - óvodapedagógusok átlagbérének és közterheinek elismert összege 4 hó</t>
  </si>
  <si>
    <t xml:space="preserve">  - pótlólagos tám. 2014. őszi béremeléshez</t>
  </si>
  <si>
    <t xml:space="preserve"> - óvodapedagógusok nevelő munkáját közvetlenük segítők átlagbérének és közterheinek elismert összege 8 hó</t>
  </si>
  <si>
    <t xml:space="preserve"> - óvodapedagógusok nevelő munkáját közvetlenük segítők átlagbérének és közterheinek elismert összege 4 hó</t>
  </si>
  <si>
    <t xml:space="preserve">       Bölcsődei ellátás hátrányos helyzetű gyermek</t>
  </si>
  <si>
    <t>III.5.Gyermekétkeztetés támogatása</t>
  </si>
  <si>
    <t>Arany J.u.-tól nyugatra lévő lakóövezet járda felújítási munkái</t>
  </si>
  <si>
    <t>Kosztolányi tér járda felújítás és zöldfelület rendezés:</t>
  </si>
  <si>
    <t>Madách u. – Landorhegyi u. 37. – 51. sz. társasházakat összekötő lépcső felújítása</t>
  </si>
  <si>
    <t>Bazita u. járdaburkolat felújítás</t>
  </si>
  <si>
    <t>Ebergényi járdák</t>
  </si>
  <si>
    <t>Szent László utca és környéke járdafelújítások</t>
  </si>
  <si>
    <t>Bozsoki úti járda felújítás II. ütem</t>
  </si>
  <si>
    <t>Stadion u. járdaburkolat felújítás</t>
  </si>
  <si>
    <t>4./47</t>
  </si>
  <si>
    <t>4./48</t>
  </si>
  <si>
    <t>4./49</t>
  </si>
  <si>
    <t xml:space="preserve"> - ZALA-DEPO Kft.által fizetett haszn. díj </t>
  </si>
  <si>
    <t xml:space="preserve"> - OrganP integrált rendszer intézményi  bevezetése </t>
  </si>
  <si>
    <t xml:space="preserve"> - felszámolással és peres eljárással kapcsolatos fizetési kötelezettség</t>
  </si>
  <si>
    <t xml:space="preserve"> -"Egymásra hangolva"projekt  TÁMOP-5.4.9-11/1-2012-0043 </t>
  </si>
  <si>
    <t xml:space="preserve"> - lakásfenntartási támogatás normatív alapon</t>
  </si>
  <si>
    <t xml:space="preserve"> - rendszeres szociális segély</t>
  </si>
  <si>
    <t xml:space="preserve"> - ápolási díj méltányossági alapon</t>
  </si>
  <si>
    <t xml:space="preserve"> -  Önkormányzati segély</t>
  </si>
  <si>
    <t xml:space="preserve"> - adósságkezelési szolgáltatás</t>
  </si>
  <si>
    <t xml:space="preserve"> - köztemetés</t>
  </si>
  <si>
    <t>Adósság-konszoli-dáció során várható hitel átváll.</t>
  </si>
  <si>
    <t>Hitelek állomá-nya 2014.XII. 31-én</t>
  </si>
  <si>
    <t>2016. évi adósságszolg.</t>
  </si>
  <si>
    <t>Későbbi évek tőketör-lesztése</t>
  </si>
  <si>
    <t>Hitelek állománya  2013. XII. 31-én</t>
  </si>
  <si>
    <t>2014. é. és áthúz. felada-tok hitel igénybev.</t>
  </si>
  <si>
    <t xml:space="preserve"> - önk. által kezelt ing.közös ktg.közüz.díj</t>
  </si>
  <si>
    <t xml:space="preserve"> - pályázatok előkészítése, pályázati díjak</t>
  </si>
  <si>
    <t xml:space="preserve"> -  hosszútávú fejlesztési programok,külső szakértők díja</t>
  </si>
  <si>
    <t xml:space="preserve"> - Tervtanács működtetése</t>
  </si>
  <si>
    <t xml:space="preserve"> - mezőgazdasági utak felújításához pályázati pe.</t>
  </si>
  <si>
    <t xml:space="preserve"> - Zala Open Táncbajnokság megrendezéséhez támogatás</t>
  </si>
  <si>
    <t xml:space="preserve">        címpótlék a szociális intézményekben</t>
  </si>
  <si>
    <t xml:space="preserve">       eü. és szociális ágazat pályázati kerete</t>
  </si>
  <si>
    <t>Költségvetési szervek felújítási kerete (Vis maior)</t>
  </si>
  <si>
    <t>Önkormányzat összesen költségvetési szervek nélkül</t>
  </si>
  <si>
    <t xml:space="preserve"> - ünnepi díszkivilágítás szerelés</t>
  </si>
  <si>
    <t xml:space="preserve"> - Médiával kapcsolatos szerződések, támogatások</t>
  </si>
  <si>
    <t xml:space="preserve"> - parkolási közszolgáltatási tevékenység ellátásával kapcsolatos bevétel</t>
  </si>
  <si>
    <t>Hozzájárulás jogcíme</t>
  </si>
  <si>
    <t>létszám</t>
  </si>
  <si>
    <t>mutató</t>
  </si>
  <si>
    <t>Normatíva     Ft/fő</t>
  </si>
  <si>
    <t>Hozzájárulás       ezer Ft-ban</t>
  </si>
  <si>
    <t>I. Helyi önkormányzatok működésének általános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</si>
  <si>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</si>
  <si>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</si>
  <si>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</si>
  <si>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</si>
  <si>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II. Települési önkormányzatok egyes köznevelési feladatainak támogatása</t>
  </si>
  <si>
    <t xml:space="preserve">1. </t>
  </si>
  <si>
    <t>Zalaegerszeg Megyei Jogú Város Polgármesteri Hivatala</t>
  </si>
  <si>
    <t>Fogyasztási helyek:</t>
  </si>
  <si>
    <t xml:space="preserve"> Zalaegerszegi Ady Endre Általános Iskola, Gimnázium és Alapfokú Művészeti Iskola  (Kisfaludy u. 2.)</t>
  </si>
  <si>
    <t xml:space="preserve"> Zalaegerszegi Belvárosi Magyar-Angol Két Tanítási Nyelvű Általános Iskola (Kosztolányi u. 17-21)</t>
  </si>
  <si>
    <t xml:space="preserve"> Zalaegerszegi Belvárosi Magyar-Angol Két Tanítási Nyelvű Általános Iskola  Dózsa György Tagiskolája (Kis u. 6)</t>
  </si>
  <si>
    <t xml:space="preserve"> Zalaegerszegi Kertvárosi Általános Iskola (Köztársaság u. 68.)</t>
  </si>
  <si>
    <t xml:space="preserve"> Zalaegerszegi Kertvárosi Általános Iskola Liszt Ferenc Tagiskolája (Varkaus tér)</t>
  </si>
  <si>
    <t xml:space="preserve"> Landorhegyi Sportiskolai Általános Iskola (Landorhegyi u. 12.)</t>
  </si>
  <si>
    <t xml:space="preserve"> Béke ligeti Általános Iskola, Speciális Szakiskola és Egységes Gyógypedagógiai Módszertani Intézmény  Béke liget 6. (csak villamos energia)</t>
  </si>
  <si>
    <t xml:space="preserve"> Pálóczi Horváth Ádám Alapfokú Művészeti Iskola Köztársaság u. 2/A. (csak villamos energia)</t>
  </si>
  <si>
    <t xml:space="preserve"> Zalaegerszegi Kölcsey Ferenc Gimnázium (Rákóczi u. 49-53.)</t>
  </si>
  <si>
    <t xml:space="preserve"> Zalaegerszegi Zrínyi Miklós Gimnázium (Rákóczi u. 30.)</t>
  </si>
  <si>
    <t xml:space="preserve"> Zalaegerszegi Városi Középiskolai Kollégium (Göcseji u. 16.)</t>
  </si>
  <si>
    <t xml:space="preserve"> Zalaegerszegi Városi Középiskolai Kollégium Kovács Károly Tagkollégiuma (Puskás T. u. 1-3.)</t>
  </si>
  <si>
    <t xml:space="preserve"> Zalaegerszegi Városi Középiskolai Kollégium Kaffka Margit Tagkollégiuma (Puskás T. u.2.)</t>
  </si>
  <si>
    <t xml:space="preserve">  - Apáczai Csere János tér 5</t>
  </si>
  <si>
    <t xml:space="preserve">  - Zalaegerszeg, Iskola u. 1.</t>
  </si>
  <si>
    <t xml:space="preserve">  - Szivárvány tér 1-3.</t>
  </si>
  <si>
    <t xml:space="preserve">      Zalaegerszegi Tipegő Bölcsőde (csak villamos energia beszerzés)</t>
  </si>
  <si>
    <t xml:space="preserve">      Zalaegerszegi Napsugár Bölcsőde (csak villamos energia beszerzés)</t>
  </si>
  <si>
    <t xml:space="preserve">      Zalaegerszegi Cseperedő Bölcsőde (csak villamos energia beszerzés)</t>
  </si>
  <si>
    <t xml:space="preserve">      Zalaegerszegi Űrhajós Bölcsőde</t>
  </si>
  <si>
    <t xml:space="preserve">     Kossuth L. u. 58-60.</t>
  </si>
  <si>
    <t xml:space="preserve">     II. sz. Idősek Klubja, Kosztolányi u. 23.</t>
  </si>
  <si>
    <t xml:space="preserve">     III. sz. Idősek Klubja, Platán sor 4.</t>
  </si>
  <si>
    <t xml:space="preserve">     IV. sz. Idősek Klubja, Andráshida u. 5.</t>
  </si>
  <si>
    <t xml:space="preserve">     Idősek Gondozóháza, Landorhegyi u. 13/a.</t>
  </si>
  <si>
    <t xml:space="preserve">     Idősek Otthona, Gasparich u. 3. (gáz és villamos energia)</t>
  </si>
  <si>
    <t xml:space="preserve">Zalaegerszegi Belvárosi I. sz.  Óvoda </t>
  </si>
  <si>
    <t>Zalaegerszegi Belvárosi I. sz.  Óvoda Mikes K. utcai Tagóvodája (csak villamos energia)</t>
  </si>
  <si>
    <t>Zalaegerszegi Balvárosi I. sz. Óvoda  Ságodi Telephelye (csak villamos energia)</t>
  </si>
  <si>
    <t>Zalaegerszegi Belvárosi I. sz. Óvoda Kis utcai Székhelye  (gáz és villamos energia)</t>
  </si>
  <si>
    <t>Zalaegerszegi Belvárosi I. sz. Óvoda Szivárvány téri Tagóvodája (csak villamos energia)</t>
  </si>
  <si>
    <t xml:space="preserve">Zalaegerszegi Belvárosi II. sz. Óvoda </t>
  </si>
  <si>
    <t>Zalaegerszegi Belvárosi II. sz. Óvoda  Radnóti utcai Székhelyóvoda (gáz és villamos energia)</t>
  </si>
  <si>
    <t>Zalaegerszegi Belvárosi II. sz. Óvoda  Petőfi utcai Tagóvodája (gáz és villamos energia)</t>
  </si>
  <si>
    <t>Zalaegerszegi Belvárosi II. sz. Óvoda  Kosztolányi D. téri Tagóvodája (csak villamos energia)</t>
  </si>
  <si>
    <t>Zalaegerszegi Belvárosi II. sz. Óvoda  Szent László úti Tagóvodája (csak villamos energia)</t>
  </si>
  <si>
    <t>Zalaegerszegi  Kertvárosi  Óvoda</t>
  </si>
  <si>
    <t>Zalaegerszegi Kertvárosi Óvoda Csillag közi  Székhelyóvoda (csak villamos energia)</t>
  </si>
  <si>
    <t>Zalaegerszegi Kertvárosi Óvoda  Napsugár utcai Tagóvodája (csak villamos energia)</t>
  </si>
  <si>
    <t>Zalaegerszegi Kertvárosi Óvoda  Andráshidai Tagóvodája (csak villamos energia)</t>
  </si>
  <si>
    <t>Zalaegerszegi Landorhegyi Óvoda  Űrhajós utcai Székhelyóvoda (csak villamos energia)</t>
  </si>
  <si>
    <t>Zalaegerszegi Landorhegyi Óvoda  Kodály Zoltán utcai Tagóvodája (csak villamos energia)</t>
  </si>
  <si>
    <t>Zalaegerszegi Landorhegyi Óvoda  Bazitai Telephelye (csak villamos energia)</t>
  </si>
  <si>
    <t>Zalaegerszegi Landorhegyi Óvoda  Landorhegyi útcai Tagóvodája (csak villamos energia)</t>
  </si>
  <si>
    <t xml:space="preserve">    Városi Hangverseny- és Kiállítóterem (csak villamos energia)</t>
  </si>
  <si>
    <t xml:space="preserve">     Kézműves Ház (Gébárt) (csak villamos energia)</t>
  </si>
  <si>
    <t xml:space="preserve">     Családi Intézet (csak villamos energia)</t>
  </si>
  <si>
    <t xml:space="preserve">     Zalaegerszegi Turisztikai Hivatal és Információs Iroda (csak villamos energia)</t>
  </si>
  <si>
    <t xml:space="preserve">Hevesi Sándor Színház  </t>
  </si>
  <si>
    <t>- Deák Ferenc Megyei és Városi Könyvtár Deák Ferenc tér 6. (gáz és villamos energia)</t>
  </si>
  <si>
    <t xml:space="preserve">- Keresztury Ház Bartók Béla u. 60.(csak villamos energia) </t>
  </si>
  <si>
    <t>- Göcsej Múzeum Batthyány u. 2. (gáz és villamos energia)</t>
  </si>
  <si>
    <t>- Vendégszoba Várkör 3. (csak villamos energia)</t>
  </si>
  <si>
    <t>- Göcsej Falumúzeum és Finnugor Néprajzi Park Falumúzeum u. 18.(csak villamos energia)</t>
  </si>
  <si>
    <r>
      <t xml:space="preserve">Zalaegerszegi Családsegítő Szolgálat és Gyermekjóléti Központ </t>
    </r>
    <r>
      <rPr>
        <sz val="11"/>
        <rFont val="Times New Roman"/>
        <family val="1"/>
      </rPr>
      <t>(csak villamos energia)</t>
    </r>
  </si>
  <si>
    <r>
      <t xml:space="preserve">Zalaegerszegi Egészségügyi Alapellátási Intézmény </t>
    </r>
    <r>
      <rPr>
        <sz val="11"/>
        <rFont val="Times New Roman"/>
        <family val="1"/>
      </rPr>
      <t xml:space="preserve"> (csak villamos energia)</t>
    </r>
  </si>
  <si>
    <r>
      <t xml:space="preserve">Zalaegerszegi Gondozási Központ </t>
    </r>
    <r>
      <rPr>
        <sz val="11"/>
        <rFont val="Times New Roman"/>
        <family val="1"/>
      </rPr>
      <t>(a megjelölt fogyasztási hely kivételével csak villamos energia)</t>
    </r>
  </si>
  <si>
    <r>
      <t xml:space="preserve">Keresztury Dezső VMK  </t>
    </r>
    <r>
      <rPr>
        <sz val="11"/>
        <rFont val="Times New Roman"/>
        <family val="1"/>
      </rPr>
      <t xml:space="preserve"> </t>
    </r>
  </si>
  <si>
    <r>
      <t xml:space="preserve">Városi Sportlétesítmény Gondnokság Intézménye </t>
    </r>
    <r>
      <rPr>
        <sz val="11"/>
        <rFont val="Times New Roman"/>
        <family val="1"/>
      </rPr>
      <t>(csak villamos energia beszerzés)</t>
    </r>
  </si>
  <si>
    <r>
      <t xml:space="preserve">ZMJV Vásárcsarnok Gazdálkodási Szervezete </t>
    </r>
    <r>
      <rPr>
        <sz val="11"/>
        <rFont val="Times New Roman"/>
        <family val="1"/>
      </rPr>
      <t>(csak villamos energia beszerzés)</t>
    </r>
  </si>
  <si>
    <t>1. Óvodapedagógusok és az óvodapedagógusok nevelő munkáját közvetlenül segítők bértámogatása</t>
  </si>
  <si>
    <t>2. Óvodaműködtetési támogatás</t>
  </si>
  <si>
    <t>III. Települési önkormányzatok szociális és gyermekjóléti feladatainak támogatása</t>
  </si>
  <si>
    <t>1000-25000</t>
  </si>
  <si>
    <t>3. Egyes szociális és gyermekjóléti feladatok támogatása</t>
  </si>
  <si>
    <t>6.) Egyéb finanszírozási kiadás</t>
  </si>
  <si>
    <t xml:space="preserve"> -  folyékony hulladék szállítás</t>
  </si>
  <si>
    <t xml:space="preserve"> - volt Kaffka Koll. őrzés-védelme</t>
  </si>
  <si>
    <t xml:space="preserve"> - Főépítészi keret</t>
  </si>
  <si>
    <t>4./2</t>
  </si>
  <si>
    <t>4./3</t>
  </si>
  <si>
    <t>4./4</t>
  </si>
  <si>
    <t>4./5</t>
  </si>
  <si>
    <t>4./6</t>
  </si>
  <si>
    <t>Göcseji úti köztemető hősi halottak sírjelének felújítása</t>
  </si>
  <si>
    <t>8.a/1</t>
  </si>
  <si>
    <t>Ilosvai u.-i csapadékvízelvezető műtárgyak felújítása</t>
  </si>
  <si>
    <t>Lakótelepek faállományának felújítása</t>
  </si>
  <si>
    <t>Labdarúgó Stadion fejlesztéséhez költségvetési támogatás</t>
  </si>
  <si>
    <t>Önkormányzati kezelésben lévő intézmények közműveinek felújítása</t>
  </si>
  <si>
    <t>Béke liget felújítása</t>
  </si>
  <si>
    <t>Pázmány P. u. Színház hátsó bejárati zöldsáv felújítás</t>
  </si>
  <si>
    <t>Berzsenyi-Stadion utcai tömbbelsőben és környékén járda felújítás és zöldfelület rendezés</t>
  </si>
  <si>
    <t>Kinizsi u. fák cseréje, karbantartása</t>
  </si>
  <si>
    <t>Belvárosi zöldterület felújítás</t>
  </si>
  <si>
    <t>Botfai temető kerítésének javítása</t>
  </si>
  <si>
    <t>8./5</t>
  </si>
  <si>
    <t>Landorhegyi járdák, parkok felújítása</t>
  </si>
  <si>
    <t>Bazitai kilátó környékének rendbetétele</t>
  </si>
  <si>
    <t>1.a) megyei hatókörű városi múzeumok feldataiank támogatása ( Göcseji Múzeum)</t>
  </si>
  <si>
    <t>1.c) megyei jogú városok közművelődési támogatása</t>
  </si>
  <si>
    <t>2. Települési önk.által fenntartott előadó-művészeti szervezetek támogatása</t>
  </si>
  <si>
    <t>2.a) színházművészeti szervezetek támogatása</t>
  </si>
  <si>
    <t>Hevesi Sándor Színház és Griff Bábszínház állami támogatása</t>
  </si>
  <si>
    <t>Szociális városrehabilitáció Zalaegerszegen NYDOP-3.1.1/B2-13-k2-2013-0001</t>
  </si>
  <si>
    <r>
      <t>Zalaegerszegi Egészségügyi Alapellátási Intézmény:</t>
    </r>
    <r>
      <rPr>
        <sz val="10"/>
        <rFont val="Times New Roman"/>
        <family val="1"/>
      </rPr>
      <t xml:space="preserve"> Szociális városrehabilitáció Zalaegerszegen (NYDOP-3.1.1/B2-12-k1-2013-0001)</t>
    </r>
  </si>
  <si>
    <r>
      <t>Zalaegerszegi Városzrészek Művelődési Központja és Könyvtára</t>
    </r>
    <r>
      <rPr>
        <sz val="10"/>
        <rFont val="Times New Roman"/>
        <family val="1"/>
      </rPr>
      <t>: "Itt kiköthetsz" Diák-Sziget (TÁMOP-5.2.5.B-10/2-2010-0070</t>
    </r>
  </si>
  <si>
    <r>
      <t>Deák Ferenc Megyei és Városi Könyvtár:</t>
    </r>
    <r>
      <rPr>
        <sz val="10"/>
        <rFont val="Times New Roman"/>
        <family val="1"/>
      </rPr>
      <t xml:space="preserve"> Olvasás, megértés, érvényes tudás támogatása könyvtári eszközökkel Zala megyében (TÁMOP-3.2.4.A-11/1-2012-0102)</t>
    </r>
  </si>
  <si>
    <r>
      <t>Deák Ferenc Megyei és Városi Könyvtár:</t>
    </r>
    <r>
      <rPr>
        <sz val="10"/>
        <rFont val="Times New Roman"/>
        <family val="1"/>
      </rPr>
      <t xml:space="preserve"> Zala megyei könyvtárosok összehangolt továbbképzése 2013-2015 (TÁMOP-3.2.12-12/12012-0027)</t>
    </r>
  </si>
  <si>
    <r>
      <t xml:space="preserve">Keresztury Dezső VMK: </t>
    </r>
    <r>
      <rPr>
        <sz val="10"/>
        <rFont val="Times New Roman"/>
        <family val="1"/>
      </rPr>
      <t>Almárium 2012-2014 (TÁMOP-3.4.4/B-11/2-2012-0036)</t>
    </r>
  </si>
  <si>
    <r>
      <t>Keresztury Dezső VMK:</t>
    </r>
    <r>
      <rPr>
        <sz val="10"/>
        <rFont val="Times New Roman"/>
        <family val="1"/>
      </rPr>
      <t xml:space="preserve"> KREA-TEAM 2012-2014 (TÁMOP-3.2.3/A-11/1-2012-0020)</t>
    </r>
  </si>
  <si>
    <r>
      <t xml:space="preserve">Keresztury Dezső VMK: </t>
    </r>
    <r>
      <rPr>
        <sz val="10"/>
        <rFont val="Times New Roman"/>
        <family val="1"/>
      </rPr>
      <t>Játék-Szín-Tér 2012-2014 (TÁMOP-3.2.13-12/1-2012-0129)</t>
    </r>
  </si>
  <si>
    <r>
      <t>Keresztury Dezső VMK</t>
    </r>
    <r>
      <rPr>
        <sz val="10"/>
        <rFont val="Times New Roman"/>
        <family val="1"/>
      </rPr>
      <t>: MESH-terség felsőfokon 2012-2014 (TÁMOP-3.2.12-12/1-2012-0036)</t>
    </r>
  </si>
  <si>
    <r>
      <t xml:space="preserve">Keresztury Dezső VMK: </t>
    </r>
    <r>
      <rPr>
        <sz val="10"/>
        <rFont val="Times New Roman"/>
        <family val="1"/>
      </rPr>
      <t>Pannon Közművelődési Tudásbázis 2009-2012 (TÁMOP-3.2.3-08/2-2009-0023)</t>
    </r>
  </si>
  <si>
    <t>önrész / megelőlegezés</t>
  </si>
  <si>
    <t xml:space="preserve">1.b) megyei hatáskörű könyvtárak feladatainak támogatása ( (Deák Ferenc Megyei    Könyvtár és a  városi könyvtár) </t>
  </si>
  <si>
    <t>1.h) megyei hatókörű könyvtár kistelepülési könyvtári és közművelődési célú kieg. Támogatása ( év közben pályázat)</t>
  </si>
  <si>
    <t>Állami hozzájárulás összesen:</t>
  </si>
  <si>
    <t>Szociális és igazgatási feladatok</t>
  </si>
  <si>
    <t>Humánigazgatási feladatok</t>
  </si>
  <si>
    <t>Humánigazgatási feladatok működési kiadásai:</t>
  </si>
  <si>
    <t>Humánigazgatási feladatok összesen:</t>
  </si>
  <si>
    <t>Szociális és igazgatási fa. kiadásai összesen:</t>
  </si>
  <si>
    <t>Szociális és igazgatási fa.működési kiadás összesen:</t>
  </si>
  <si>
    <t>Városüzemelési működési kiadásai összesen:</t>
  </si>
  <si>
    <t>Szociális és igazgatási feladatok összesen:</t>
  </si>
  <si>
    <t xml:space="preserve"> - Roma Nemzetiségi Önkormányzat támogatása</t>
  </si>
  <si>
    <t xml:space="preserve"> - VERSO projekt pályázat önrész</t>
  </si>
  <si>
    <t>Idősek Otthona lízingdíj</t>
  </si>
  <si>
    <t>Hitelező</t>
  </si>
  <si>
    <t>Lejárat éve</t>
  </si>
  <si>
    <t>II. Felhalmozási célú kiadások</t>
  </si>
  <si>
    <t xml:space="preserve">          ebből:    - felújítás</t>
  </si>
  <si>
    <t xml:space="preserve">                        - fejlesztés</t>
  </si>
  <si>
    <t>II. Felhalmozási célú bevételek</t>
  </si>
  <si>
    <t>2.) Beruházás</t>
  </si>
  <si>
    <t>3.) Felújítás</t>
  </si>
  <si>
    <t>4.) Céltartalék</t>
  </si>
  <si>
    <t>6.b/1</t>
  </si>
  <si>
    <t>FELHALMOZÁSI CÉLÚ BEVÉTELEK  ÖSSZESEN:</t>
  </si>
  <si>
    <t>FELHALMOZÁSI CÉLÚ KIADÁSOK ÖSSZESEN:</t>
  </si>
  <si>
    <t>BEVÉTELEK</t>
  </si>
  <si>
    <t xml:space="preserve"> - csapadékvíz elvezető rendszer felmérése, szakági nyilvántartása</t>
  </si>
  <si>
    <t xml:space="preserve"> - foglalkoztatást helyettesítő támogatás</t>
  </si>
  <si>
    <t xml:space="preserve"> -Fogyatékos Otthon működtetése</t>
  </si>
  <si>
    <t xml:space="preserve"> - területfejlesztési feladatok</t>
  </si>
  <si>
    <t xml:space="preserve">Közgyűlés által létrehozott alapítványok támogatása </t>
  </si>
  <si>
    <t xml:space="preserve"> - Környezetvédelmi Jeles napok rendezvény lebonyolítása</t>
  </si>
  <si>
    <t xml:space="preserve"> - parkolási közszolgáltatási tevékenység ellátásával kapcsolatos költségek</t>
  </si>
  <si>
    <t>Személyi juttatások</t>
  </si>
  <si>
    <t xml:space="preserve"> - intézmények támogatása, rendezvényeik finanszírozása</t>
  </si>
  <si>
    <t xml:space="preserve"> - Zalaegerszegi Atlétikai Klub támogatása</t>
  </si>
  <si>
    <t xml:space="preserve"> - ZTE Teniszklub támogatása</t>
  </si>
  <si>
    <t>Közvetett támogatás jogcíme</t>
  </si>
  <si>
    <t>1. Ellátottak térítési díjának illetve kártérítésének méltányossági alapon történő elengedése</t>
  </si>
  <si>
    <t>2. Lakásépítéshez, lakásfelújításhoz nyújtott kölcsön elengedése</t>
  </si>
  <si>
    <t>3. Helyi adónál biztosított kedvezmény, mentesség</t>
  </si>
  <si>
    <t>4. Helyiségek, eszközök hasznosításából származó bevételből nyújtott kedvezmény</t>
  </si>
  <si>
    <t>5. Egyéb nyújtott kedvezmény vagy kölcsön elengedése</t>
  </si>
  <si>
    <t>2015. évi kötelezettség</t>
  </si>
  <si>
    <t>2016. évi kötelezettség</t>
  </si>
  <si>
    <t>Megjegyzés</t>
  </si>
  <si>
    <t>I. Hitelek törlesztése és kamatai, lízingdíj</t>
  </si>
  <si>
    <t>II. Fejlesztési kiadás kötelezettsége</t>
  </si>
  <si>
    <t>ZTE FC Zrt.</t>
  </si>
  <si>
    <t>ZTE Kosárlabda Klub Sportszolgáltató Kft.</t>
  </si>
  <si>
    <t>IV. Kézfizető kezességvállalások</t>
  </si>
  <si>
    <t>ZTE Futball Club</t>
  </si>
  <si>
    <t>Városgazdálkodási Kft. ( Parkológazda)</t>
  </si>
  <si>
    <t>Városgazdálkodási Kft.</t>
  </si>
  <si>
    <t xml:space="preserve"> Kézfizető kezességek összesen:</t>
  </si>
  <si>
    <t>Összes kötelezettség:</t>
  </si>
  <si>
    <t>2017. évi kötelezettség</t>
  </si>
  <si>
    <t>Részletesen a 7. mellékletben</t>
  </si>
  <si>
    <t>Részletesen a 11. mellékletben</t>
  </si>
  <si>
    <t xml:space="preserve"> Támogatási és egyéb megállapodások összesen:</t>
  </si>
  <si>
    <t>III. Támogatási és egyéb megállapodások</t>
  </si>
  <si>
    <t>Zalavolán Zrt. veszteség finanszírozás</t>
  </si>
  <si>
    <t>Edelmann Hungary Packaging Zrt. Bérleti díj</t>
  </si>
  <si>
    <t>2022.</t>
  </si>
  <si>
    <t>2025.</t>
  </si>
  <si>
    <t>Az adókedvezmények és mentességek esetében a 2012. évi adat állt rendelkezésre</t>
  </si>
  <si>
    <t xml:space="preserve"> - TISZK megszüntetésével kapcsolatos elszámolás</t>
  </si>
  <si>
    <t xml:space="preserve"> - Zeg-i Súlyemelő Klub támogatása</t>
  </si>
  <si>
    <t xml:space="preserve"> - ZG 3 termálkút üzemeltetése</t>
  </si>
  <si>
    <t>8.) Betétek megszüntetése</t>
  </si>
  <si>
    <t xml:space="preserve">   B818</t>
  </si>
  <si>
    <t>Betétek megszüntetése</t>
  </si>
  <si>
    <t xml:space="preserve">Támogatás az önkormányzat feladatainak biztonságos finanszírozása érdekében </t>
  </si>
  <si>
    <t>2014. évi módosított ei. a IV. negyedévi módosítás után</t>
  </si>
  <si>
    <t>2014. évi  módosítás</t>
  </si>
  <si>
    <t>2./7.</t>
  </si>
  <si>
    <t>2014. évi közösségi - művészeti pályázatok felhalmozási célú pe.átadás</t>
  </si>
  <si>
    <t>6./22</t>
  </si>
  <si>
    <t xml:space="preserve"> Vagyongazdálkodási feladatok és szakértői díjak</t>
  </si>
  <si>
    <t>Fejlesztési céltartalék</t>
  </si>
  <si>
    <t>2014. módosítás</t>
  </si>
  <si>
    <t xml:space="preserve"> - parkolási közszolgáltatási tevékenység </t>
  </si>
  <si>
    <t xml:space="preserve"> - cserével vegyes ingatlanszerződések</t>
  </si>
  <si>
    <t xml:space="preserve"> - önk.működésének általános támogatása</t>
  </si>
  <si>
    <t xml:space="preserve">  -központosított támogatás </t>
  </si>
  <si>
    <t xml:space="preserve"> - egyéb központi támogatások</t>
  </si>
  <si>
    <t xml:space="preserve"> - egyéb egészségügyi feladat</t>
  </si>
  <si>
    <t xml:space="preserve"> - Kábítószerügyi Fórum</t>
  </si>
  <si>
    <t xml:space="preserve"> - Belvárosrehabilitáció II.ütemének előkészítő munkái</t>
  </si>
  <si>
    <t xml:space="preserve"> - Labdarúgó Stadionban fejlesztési munkák</t>
  </si>
  <si>
    <t>Kiegészítő állami támogatás 2015. évi önkormányzati feladatokhoz</t>
  </si>
  <si>
    <t xml:space="preserve"> - forgalomtechnikai  és közlekedési feladatok</t>
  </si>
  <si>
    <t xml:space="preserve"> - vízkészlethasználati járulék</t>
  </si>
  <si>
    <t xml:space="preserve"> - ár és belvízvédelmi feladatok</t>
  </si>
  <si>
    <t xml:space="preserve"> - Vízügyi hatóságokkal kapcs. Feladatok</t>
  </si>
  <si>
    <t xml:space="preserve"> - köztisztaság  szerződéses munkák</t>
  </si>
  <si>
    <t xml:space="preserve">                        - költségvetési szervek</t>
  </si>
  <si>
    <t xml:space="preserve">         ebből: költségvetési szervek</t>
  </si>
  <si>
    <t xml:space="preserve"> - Aquaparkba kisértékű eszközök beszerzése</t>
  </si>
  <si>
    <t xml:space="preserve"> - hóeltakarítás, sikosságmentesítés</t>
  </si>
  <si>
    <t xml:space="preserve"> - köztéri hulladéktárolók pótlása</t>
  </si>
  <si>
    <t xml:space="preserve"> - egyéb város és községgazd.</t>
  </si>
  <si>
    <t xml:space="preserve"> - Városüzemelési fa-hoz kapcsolódó közfoglalkoztatás</t>
  </si>
  <si>
    <t xml:space="preserve"> - közterületek, önk-i ingatlanok zöldfelület gazdálkodása</t>
  </si>
  <si>
    <t xml:space="preserve">  -  környezetvéd.alap feltöltése</t>
  </si>
  <si>
    <t xml:space="preserve"> - Botfai LSC sportlétesítmény üzemeltetés tám.</t>
  </si>
  <si>
    <t>tőke</t>
  </si>
  <si>
    <t>kamat</t>
  </si>
  <si>
    <t>Ivóvíz beruházások</t>
  </si>
  <si>
    <t>Vagyonkezelési feladatok műk. kiadásai</t>
  </si>
  <si>
    <t>Jogi és igazgatási feladatok:</t>
  </si>
  <si>
    <t xml:space="preserve"> - helyi védelmi igazgatás</t>
  </si>
  <si>
    <t xml:space="preserve"> - közbeszerzési eljárásokkal és jogi feladatokkal  kapcsolatos díjak</t>
  </si>
  <si>
    <t>Termálmedence csempeburkolat felújítás</t>
  </si>
  <si>
    <t xml:space="preserve"> Református Egyház részére orgona felújításhoz támogatás</t>
  </si>
  <si>
    <t xml:space="preserve"> - kamatmentes hitelek és kölcsön  törlesztéséből </t>
  </si>
  <si>
    <t xml:space="preserve"> - lakásalap  pénzmaradványának bevonása</t>
  </si>
  <si>
    <t xml:space="preserve"> - Ny-Magyarországi Egyetem költségtérítéses hallgatók támogatása</t>
  </si>
  <si>
    <t>Egészségügyi és humánigazgatási feladatok</t>
  </si>
  <si>
    <t xml:space="preserve">Útterületek rendezése, területvásárlás </t>
  </si>
  <si>
    <t>OTP</t>
  </si>
  <si>
    <t>CIB</t>
  </si>
  <si>
    <t>2021.</t>
  </si>
  <si>
    <t>2026.</t>
  </si>
  <si>
    <t>K&amp;H</t>
  </si>
  <si>
    <t>ERSTE Bank</t>
  </si>
  <si>
    <t>Unicredit Bank</t>
  </si>
  <si>
    <t>2027.</t>
  </si>
  <si>
    <t>Kamat és egyéb ktg.</t>
  </si>
  <si>
    <t>Önkormányzat összesen:</t>
  </si>
  <si>
    <t>I. Működési célú bevételek</t>
  </si>
  <si>
    <t>I. Működési célú kiadások</t>
  </si>
  <si>
    <t xml:space="preserve">Közvilágítás korszerűsítés Zalaegerszeg I. (KEOP-5.5.0/A/12-2013-0191) </t>
  </si>
  <si>
    <t xml:space="preserve">Közvilágítás korszerűsítés Zalaegerszeg II. (KEOP-5.5.0/A)/12-2013-0182 </t>
  </si>
  <si>
    <t xml:space="preserve"> - csapadékvízelvezető és árvízvédelmi létesítménnyek tisztítása-diagnosztika</t>
  </si>
  <si>
    <t>8./6</t>
  </si>
  <si>
    <t>Első világháborús történelmi emlékművek helyreállítása pályázati önrész</t>
  </si>
  <si>
    <t>6.b/15</t>
  </si>
  <si>
    <t>Botfa sportpálya fejlesztés területrendezés, kompenzáció</t>
  </si>
  <si>
    <t>Közvilágítás és egyéb közmű beruházások</t>
  </si>
  <si>
    <t>4.) Céltartalékból működésre</t>
  </si>
  <si>
    <t>MŰKÖDÉSI CÉLÚ KIADÁSOK ÖSSZ.:</t>
  </si>
  <si>
    <t>Jogi és közig. feladatok</t>
  </si>
  <si>
    <t>Kiadások összesen</t>
  </si>
  <si>
    <t xml:space="preserve"> - HPV védőoltás</t>
  </si>
  <si>
    <t xml:space="preserve"> - felsőoktatási ösztöndíj</t>
  </si>
  <si>
    <t xml:space="preserve"> - ZTE KK. Kft. támogatás és átvállalt hitel és kamata</t>
  </si>
  <si>
    <t xml:space="preserve"> - ZTE FC Rt. támog. </t>
  </si>
  <si>
    <t xml:space="preserve"> - eredményességi támogatás</t>
  </si>
  <si>
    <t>Önkormányzat</t>
  </si>
  <si>
    <t xml:space="preserve">Önkormányzat </t>
  </si>
  <si>
    <t>Költségvetési szervek</t>
  </si>
  <si>
    <t xml:space="preserve"> - képviselők és bizottsági tagok tiszteletdíja</t>
  </si>
  <si>
    <t xml:space="preserve"> - Ágazati felad. postai szolg. és utalvány díja, illeték</t>
  </si>
  <si>
    <t xml:space="preserve"> - Intézményi pályázatokhoz biztosított kölcsön visszafizetése</t>
  </si>
  <si>
    <t xml:space="preserve"> - Református Egyház által fizetendő bérleti díj</t>
  </si>
  <si>
    <t xml:space="preserve"> - önkormányzat kezelésében lévő ingatlanok hasznosításához kapcsolódó kiadások</t>
  </si>
  <si>
    <t xml:space="preserve"> - önkormányzat kezelésében lévő ingatlanok hasznosításából származó bevétel</t>
  </si>
  <si>
    <t xml:space="preserve"> - körzeti orvosi ügyelet fenntartásához községek hozzájárulása</t>
  </si>
  <si>
    <t xml:space="preserve"> - VERSO projekt pályázati támogatás</t>
  </si>
  <si>
    <t xml:space="preserve"> - központosított előirányzatok</t>
  </si>
  <si>
    <t>Munkaadókat terhelő járulékok és szociális hj. adó</t>
  </si>
  <si>
    <t xml:space="preserve">Dologi kiadások </t>
  </si>
  <si>
    <t>Működési költségvetés összesen:</t>
  </si>
  <si>
    <t>Felhalmozási költségvetés összesen:</t>
  </si>
  <si>
    <t>ÖNKORMÁNYZAT ÖSSZESEN:</t>
  </si>
  <si>
    <t>1.) Költségvetési szervek kiadásai</t>
  </si>
  <si>
    <t xml:space="preserve"> - erdészeti szakirányítás</t>
  </si>
  <si>
    <t>feladat jellege</t>
  </si>
  <si>
    <t>6./6</t>
  </si>
  <si>
    <t>6./7</t>
  </si>
  <si>
    <t>Aquapark  fejlesztés</t>
  </si>
  <si>
    <t>Cím    szám</t>
  </si>
  <si>
    <t>Orvos</t>
  </si>
  <si>
    <t>Vásárcsarnok</t>
  </si>
  <si>
    <t>Összes beruh. célú kiadás</t>
  </si>
  <si>
    <t>Dologi kiadások</t>
  </si>
  <si>
    <t>Városfejlesztési, Üzemeltetési és Tervezési Bizottság átruházott hatáskörében felosztható keret</t>
  </si>
  <si>
    <t>Út-járda, parkoló felújítások</t>
  </si>
  <si>
    <t xml:space="preserve"> - Hevesi Sándor Színház  és Griff Bábszínház állami támogatása</t>
  </si>
  <si>
    <t>Felhalmozási célú céltartalék</t>
  </si>
  <si>
    <t>Tartalék összesen:</t>
  </si>
  <si>
    <t xml:space="preserve"> - ZALAVÍZ Zrt. befizetése</t>
  </si>
  <si>
    <t xml:space="preserve"> - volt laktanyával kapcsolatos bevétel</t>
  </si>
  <si>
    <t xml:space="preserve"> - Kvártélyház támogatása</t>
  </si>
  <si>
    <t>Önkormányzat tulajdonában lévő lakóépületek (lakások)  teljes vagy részleges  felújítása, korszerűsítése  (Lakásalap)</t>
  </si>
  <si>
    <t>Zalabesenyő temető kápolna állagmegóvás (építészeti érték)</t>
  </si>
  <si>
    <t>9./6</t>
  </si>
  <si>
    <t>Összesen:</t>
  </si>
  <si>
    <t>Működési célú támogatások áht-n belülről</t>
  </si>
  <si>
    <t>Felhalmozási célú támogatások áht-n belülről</t>
  </si>
  <si>
    <t>Közhatalmi bevételek</t>
  </si>
  <si>
    <t xml:space="preserve">Nehézatlétikai pálya kialakítása Városi Sportcentrum területén </t>
  </si>
  <si>
    <t>Göcseji Múzeum részére  pe. átadás kiállítóterem fejlesztéséhez pályázati támogatással</t>
  </si>
  <si>
    <t>Zala utcai árvízkapu építése</t>
  </si>
  <si>
    <t>Pintér M. u. nyugati oldal Lörincz b. u. és Püspöki G. u. közötti szakaszának csapadékvízelvezetése</t>
  </si>
  <si>
    <t>Működési bevételek</t>
  </si>
  <si>
    <t>Felhalmozási bevételek</t>
  </si>
  <si>
    <t>Működési célú átvett pénzeszközök</t>
  </si>
  <si>
    <t>Felhalmozási célú átvett pénzeszközök</t>
  </si>
  <si>
    <t xml:space="preserve">   b) Gyermekjóléti Központ </t>
  </si>
  <si>
    <t xml:space="preserve">   c) Szociális étkeztetés</t>
  </si>
  <si>
    <t xml:space="preserve">   d) Házi segítségnyújtás</t>
  </si>
  <si>
    <t xml:space="preserve">   f) Időskorúak nappali intézményi  ellátása</t>
  </si>
  <si>
    <t xml:space="preserve">   g) Fogyatékos és demens személyek nappali intézményi ellátása</t>
  </si>
  <si>
    <t xml:space="preserve">   h)  Pszichiátriai és szenvedélybetegek nappali intézményi ellátása</t>
  </si>
  <si>
    <t xml:space="preserve">  j) Gyermekek napközbeni ellátása</t>
  </si>
  <si>
    <t xml:space="preserve">  ja) Bölcsődei ellátás</t>
  </si>
  <si>
    <t>Támogatási intenzitás</t>
  </si>
  <si>
    <t>Szerződéskötés éve</t>
  </si>
  <si>
    <t>ZMJV Önkormányzata költségvetésében 2014. évben tervezett</t>
  </si>
  <si>
    <t>összköltsége</t>
  </si>
  <si>
    <t>forrásai</t>
  </si>
  <si>
    <t>támogatás</t>
  </si>
  <si>
    <t>önrészből EU-önerőalap</t>
  </si>
  <si>
    <t>Zalaegerszeg, Buslakpusztai bezárt települési hulladéklerakó okozta szennyezés lokalizációja (KEOP-2.4.0/B/2F/10-11-2012-0005)</t>
  </si>
  <si>
    <t>2013</t>
  </si>
  <si>
    <t>Közvilágítás energiatakarékos átalakítása Zalaegerszegen I. ütem (KEOP-5.5.0/A/12-2013-0191)</t>
  </si>
  <si>
    <t xml:space="preserve"> Állami ingatlanok tulajdonszerzésével kapcs. kiadások </t>
  </si>
  <si>
    <t>Út-járda parkoló</t>
  </si>
  <si>
    <t xml:space="preserve"> l) Gyermekek átmeneti intézményei ( helyettes szülői ellátás)</t>
  </si>
  <si>
    <t>A helyi és helyközi közösségi közlekedés fejlesztése a Nyugat-dunántúli Régióban (NYDOP-3.2.1/B-12-2013-0001)</t>
  </si>
  <si>
    <t>Zalaegerszeg történelmi városközpont rehabilitációs és revitalizációs program (konzorciumi partnerekkel együtt) (NYDOP-3.1.1/B-2009-0005)</t>
  </si>
  <si>
    <t>2009</t>
  </si>
  <si>
    <t>Komplex belváros rehabilitációs program Zalaegerszegen (NYDOP-3.1.1/B1-13-k-2013-0005)</t>
  </si>
  <si>
    <t>25.</t>
  </si>
  <si>
    <t>26.</t>
  </si>
  <si>
    <r>
      <t xml:space="preserve">Göcseji Múzeum: </t>
    </r>
    <r>
      <rPr>
        <sz val="10"/>
        <rFont val="Times New Roman"/>
        <family val="1"/>
      </rPr>
      <t>Továbbképzés (TÁMOP-009)</t>
    </r>
  </si>
  <si>
    <r>
      <t xml:space="preserve">Göcseji Múzeum: </t>
    </r>
    <r>
      <rPr>
        <sz val="10"/>
        <rFont val="Times New Roman"/>
        <family val="1"/>
      </rPr>
      <t>Dolgozva tanulni (TÁMOP-38)</t>
    </r>
  </si>
  <si>
    <r>
      <t xml:space="preserve">Göcseji Múzeum: </t>
    </r>
    <r>
      <rPr>
        <sz val="10"/>
        <rFont val="Times New Roman"/>
        <family val="1"/>
      </rPr>
      <t>Szerethető Múzeum (TÁMOP-140)</t>
    </r>
  </si>
  <si>
    <r>
      <t xml:space="preserve">Göcseji Múzeum: </t>
    </r>
    <r>
      <rPr>
        <sz val="10"/>
        <rFont val="Times New Roman"/>
        <family val="1"/>
      </rPr>
      <t>Gyűjtemények közös térben (TIOP-53)</t>
    </r>
  </si>
  <si>
    <t>Önkormányzat hozzájárulása európai uniós projektek megvalósulásához:</t>
  </si>
  <si>
    <t>----</t>
  </si>
  <si>
    <t>Zalaegerszeg történelmi városközpont rehabilitációs és revitalizációs program NYDOP-3.1.1/B-2009-0005</t>
  </si>
  <si>
    <r>
      <t xml:space="preserve">Önkormányzati Társulás Zalaegerszeg és térsége ivóvízminőségének javítására </t>
    </r>
    <r>
      <rPr>
        <sz val="10"/>
        <rFont val="Times New Roman"/>
        <family val="1"/>
      </rPr>
      <t>által elnyert pályázat: A Zalavíz Zrt. szolgáltatási területén lévő településeinek ivóvízminőség javítása és vízellátás fejlesztése (KEOP-1.3.0/09-11-2013-0013)</t>
    </r>
  </si>
  <si>
    <t xml:space="preserve"> - rendezvényhez kapcsolódó forgalomkorlátozások</t>
  </si>
  <si>
    <t xml:space="preserve"> - utastájékoztatási rendszer üzemeltetése</t>
  </si>
  <si>
    <t xml:space="preserve"> - köztemetőben lévő hadisírok rendbetétele</t>
  </si>
  <si>
    <t xml:space="preserve"> - városmarketing</t>
  </si>
  <si>
    <t xml:space="preserve"> - tagsági díjak</t>
  </si>
  <si>
    <t xml:space="preserve"> - Holokauszt 70. évforduló</t>
  </si>
  <si>
    <t xml:space="preserve">  - Nyugat-Pannon Járműipari és Mechanikai Szolgáltató Kp. működési hozzájárulás</t>
  </si>
  <si>
    <t xml:space="preserve"> - peremterületről bejáró tanulók bérlettámogatása</t>
  </si>
  <si>
    <t xml:space="preserve"> - FIKOT (fiatal klözgazdászok) rendezvénye</t>
  </si>
  <si>
    <t xml:space="preserve"> - Zalaegerszegi Ifjúsági Kerekasztal</t>
  </si>
  <si>
    <t xml:space="preserve"> - Zalaegerszegi Kábítószerügyi Egyeztető Fórum</t>
  </si>
  <si>
    <t xml:space="preserve"> -VII. Fazekas-keramikus találkozó</t>
  </si>
  <si>
    <t xml:space="preserve"> - hatósági ügyintézés</t>
  </si>
  <si>
    <t xml:space="preserve"> - Keresztury Emlékbizottság</t>
  </si>
  <si>
    <t xml:space="preserve"> - Kamaratánc fesztivál</t>
  </si>
  <si>
    <t xml:space="preserve"> - Kerámia Városok Szövetségénak III. Országos Konferenciája</t>
  </si>
  <si>
    <t xml:space="preserve">         2014. évi közösségi, művészeti pályázatok</t>
  </si>
  <si>
    <t xml:space="preserve"> - fogászati alapellátás 2014. évi önkormányzati támogatása</t>
  </si>
  <si>
    <t xml:space="preserve"> - Zöldterületi Startégia feladatai</t>
  </si>
  <si>
    <t>4./40</t>
  </si>
  <si>
    <t>Belvárosi zöldfelület és játszótér felújítások</t>
  </si>
  <si>
    <t>3).Egyéb működési célú kiadások (költségvetési szervek és tartalék nélkül)</t>
  </si>
  <si>
    <t>B54</t>
  </si>
  <si>
    <t>Részesedések értékesítése</t>
  </si>
  <si>
    <t>Létszámcsökkentési pályázat (Többcélú Társulás)</t>
  </si>
  <si>
    <t>Helyi közösségi közlekedés támogatása</t>
  </si>
  <si>
    <t>1./4/1.</t>
  </si>
  <si>
    <t xml:space="preserve">ERESCO ipari röntgengép megvásárlása TISZK-től  </t>
  </si>
  <si>
    <t>Lakossági közműfejlesztési hozzájárulás (állami)</t>
  </si>
  <si>
    <t>4./9.</t>
  </si>
  <si>
    <t>Parkolóépítés parkolómegváltás bevételéből</t>
  </si>
  <si>
    <t>4./10.</t>
  </si>
  <si>
    <t>Ebergény buszváró létesítés</t>
  </si>
  <si>
    <t>4./11.</t>
  </si>
  <si>
    <t>Liget utca 0651/65 hrsz.magánerős útépítés</t>
  </si>
  <si>
    <t>4./12.</t>
  </si>
  <si>
    <t>Páterdombon buszváró létesítése</t>
  </si>
  <si>
    <t>9./10</t>
  </si>
  <si>
    <t>Lakossági-civil kezdeményezések támogatása</t>
  </si>
  <si>
    <t>Pannon Fejlesztési Alapítvány részére pénzeszköz átadás e-formaautó fejlesztési projekthez</t>
  </si>
  <si>
    <t>Egyéb szervezetek támogatása</t>
  </si>
  <si>
    <t>Holokauszt 70. évforduló emléktábla</t>
  </si>
  <si>
    <t>Aquacity jótékonysági nap bevételéből támogatás</t>
  </si>
  <si>
    <t>1./2/10.</t>
  </si>
  <si>
    <t>Petőfi Iskolában parketta csere</t>
  </si>
  <si>
    <t>3./1/2.</t>
  </si>
  <si>
    <t>Páterdombi orvosi rendelő nyílászáró felújítás</t>
  </si>
  <si>
    <t>4./62</t>
  </si>
  <si>
    <t>Termálfürdő sétány felújítása</t>
  </si>
  <si>
    <t>4./63</t>
  </si>
  <si>
    <t>Zala lakópark bejárat felújítása</t>
  </si>
  <si>
    <t>4./64</t>
  </si>
  <si>
    <t>Berzsenyi u.11.sz. rámpa</t>
  </si>
  <si>
    <t>4./65</t>
  </si>
  <si>
    <t>Cserfa utcai átkötő járda felújítása</t>
  </si>
  <si>
    <t>4./66</t>
  </si>
  <si>
    <t>Május 1. u.útburkolat felújítás</t>
  </si>
  <si>
    <t>4./67</t>
  </si>
  <si>
    <t>Bartók Béla u. felújítás</t>
  </si>
  <si>
    <t>Termálfürdő balesetveszélyes külső gyermekmedence gumiburkolat csere</t>
  </si>
  <si>
    <t>Alsójánkahegyi Közösségi Ház felújítása</t>
  </si>
  <si>
    <t>Társasház felújításához pénzeszköz átadás Kossuth L.u. 32. sz.társasház részére</t>
  </si>
  <si>
    <t>Városi középiskolai kollégiumban felújítások</t>
  </si>
  <si>
    <t>6./2.</t>
  </si>
  <si>
    <t>Előtervezés</t>
  </si>
  <si>
    <t>6./3.</t>
  </si>
  <si>
    <t>6./4.</t>
  </si>
  <si>
    <t>Vásárcsarnok felújításánek járulékos munkái</t>
  </si>
  <si>
    <t>LÉSZ Kft.részére önk-i tulajdonú ingatlanok utáni felújítási hj.</t>
  </si>
  <si>
    <t xml:space="preserve"> - jogtalanul felvett segélyek visszafizetése</t>
  </si>
  <si>
    <t xml:space="preserve"> - köztemetés megtérítése</t>
  </si>
  <si>
    <t xml:space="preserve"> - TISZK megszüntetésével kapcsolatos elszámoláshoz nyújtott támogatás visszafizetése</t>
  </si>
  <si>
    <t>082091 Közművelődés-közösségi és társadalmi részvétel fejl.</t>
  </si>
  <si>
    <t xml:space="preserve"> - Z.M.Népművészeti Egyesület kölcsön visszafizetés (59/2010. kgy.hat.)</t>
  </si>
  <si>
    <t xml:space="preserve"> - Zalaegerszegi Kábítószerügyi Egyeztető Fórum pályázati támogatás</t>
  </si>
  <si>
    <t xml:space="preserve">  - Liget u. 0651/65 magánerős útépítéshez befizetés</t>
  </si>
  <si>
    <t xml:space="preserve"> - Mártírok u.burkolat helyreállításához E-ON-tól átvett pe.</t>
  </si>
  <si>
    <t xml:space="preserve">  - Pózváért Alapítványtól átvett pénzeszköz </t>
  </si>
  <si>
    <t xml:space="preserve"> - parkolómegváltás bevétele</t>
  </si>
  <si>
    <t xml:space="preserve"> - környezetvédelmi bírság</t>
  </si>
  <si>
    <t xml:space="preserve"> - kishaszonbérlet</t>
  </si>
  <si>
    <t xml:space="preserve"> - Szociális városrehabilitáció Zalaegerszegen NYDOP-3.1.1/B2-13-k2-2013-0001</t>
  </si>
  <si>
    <t xml:space="preserve"> - Idősek Otthona kialakításához pénzeszköz átvétele Kolping OSZISZ-től</t>
  </si>
  <si>
    <t xml:space="preserve"> -Ingatlan értékesítés bev. É-i ipari parkban </t>
  </si>
  <si>
    <t xml:space="preserve"> - egyéb ingatlanhasznosítás (nem lakás célú hely. bérleti díja)</t>
  </si>
  <si>
    <t xml:space="preserve"> - adóbírság és pótlék bevétel </t>
  </si>
  <si>
    <t xml:space="preserve"> - oktatási intézményekkel kapcsolatos elszámolások, befizetések</t>
  </si>
  <si>
    <t xml:space="preserve"> - átmenetileg szabad pénzeszközök befektetése utáni kamat</t>
  </si>
  <si>
    <t xml:space="preserve"> - előző évek tartalékának bevonása</t>
  </si>
  <si>
    <t xml:space="preserve">  - építésügyi bírság</t>
  </si>
  <si>
    <t xml:space="preserve"> - rendezvény. kommunikáció, reprezentáció</t>
  </si>
  <si>
    <t xml:space="preserve"> - Aquacity jótékonysági nap bevétele</t>
  </si>
  <si>
    <t xml:space="preserve"> - Településrészi Önkormányzatok </t>
  </si>
  <si>
    <t xml:space="preserve">  - Nyugat-Pannon Zrt. üzletrész értékesítés</t>
  </si>
  <si>
    <t xml:space="preserve"> -természetbeli támogatások (Erzsébet utalvány)</t>
  </si>
  <si>
    <t xml:space="preserve"> - BGF Zalaegerszegi Gazdálkodási Kar  működési támogatása</t>
  </si>
  <si>
    <t xml:space="preserve">  - Kisfaludi monográfia elkészítéséhez támogatás Göcseji Múzeum részére</t>
  </si>
  <si>
    <t>084031 Civil szervezetek műk. támogatása</t>
  </si>
  <si>
    <t>082010 Kultúra igazgatása</t>
  </si>
  <si>
    <t xml:space="preserve">kgy,pm </t>
  </si>
  <si>
    <t xml:space="preserve"> - Landorhegyi köztéri padok beszerzése</t>
  </si>
  <si>
    <t xml:space="preserve"> - egyéb város- és községgazdálkoddás</t>
  </si>
  <si>
    <t xml:space="preserve"> - gébárti fürdő jegyárkompenzáció</t>
  </si>
  <si>
    <t xml:space="preserve"> -Szociális városrehabilitáció Zalaegerszegen NYDOP-3.1.1/B2-13-k2-2013-0001</t>
  </si>
  <si>
    <t xml:space="preserve"> - "ZEG MobElitás"rendezvény támogatása (Kvártélyház Kft.)</t>
  </si>
  <si>
    <t xml:space="preserve">084031 Civil szervezetek műk. támogatása </t>
  </si>
  <si>
    <t xml:space="preserve"> - Közgyűlés alapítványainak támogatása</t>
  </si>
  <si>
    <t>2014. évi bevétel módosított előirányzat</t>
  </si>
  <si>
    <t xml:space="preserve"> Lakott külterülettel kapcsolatos feladatok</t>
  </si>
  <si>
    <t xml:space="preserve"> Üdülőhelyi feladatok</t>
  </si>
  <si>
    <t>Eútdíj bevezetésével kapcsolatos bevételkiesés ellentételezése</t>
  </si>
  <si>
    <t>2013.évről áthúzódó bérkompenzáció</t>
  </si>
  <si>
    <t>Lakossági közműfejlesztés támogatása</t>
  </si>
  <si>
    <t>EU Önerőalap támogatás</t>
  </si>
  <si>
    <t>Múzeális intézmények szakmai támoagatása</t>
  </si>
  <si>
    <t>Egyéb központi támogatás</t>
  </si>
  <si>
    <t>1. 2014. évi bérkompenzáció</t>
  </si>
  <si>
    <t>2. Adósságkonszolídáció</t>
  </si>
  <si>
    <t>Címszám</t>
  </si>
  <si>
    <t>Alcímszám</t>
  </si>
  <si>
    <t xml:space="preserve">Önkormányzat összesen költségvetési szervek nélkül </t>
  </si>
  <si>
    <t>Munkaadót terhelő járulékok és szociális hj.adó</t>
  </si>
  <si>
    <t>Hitel-, kölcsöntörlesztés áht-n kívülre</t>
  </si>
  <si>
    <t>Módosítás hatáskör szerint</t>
  </si>
  <si>
    <t>kgy</t>
  </si>
  <si>
    <t>Városi középiskolai Kollégium udvari pihenő kialakítása</t>
  </si>
  <si>
    <t>2./4.</t>
  </si>
  <si>
    <t>Keresztury ház Németh János dombormű</t>
  </si>
  <si>
    <t>Várberki utcában felépülő 22x44 m méretű műfüves labdarúgó pálya építés pályázati önerő és egyéb feladatok</t>
  </si>
  <si>
    <t>Sportcentrumban felépülő 111 x 72 m méretű műfüves labdarúgó pálya építés pályázati önerő és egyéb feladatok</t>
  </si>
  <si>
    <t>4./6.</t>
  </si>
  <si>
    <t xml:space="preserve">ZTE-SPORTSZOLG Kft.törzstőke és tőketartalék </t>
  </si>
  <si>
    <t>4./7.</t>
  </si>
  <si>
    <t>Botfai sportöltöző szigetelése, fűtéskorszerűsítéspályázati önrész Botfai LSC részére</t>
  </si>
  <si>
    <t>1./10</t>
  </si>
  <si>
    <t>Szennyvíztársulástól átvett viziközmű vagyon működtetésére pénzeszköz átadás Zalavíz Zrt. részére</t>
  </si>
  <si>
    <t>1./11</t>
  </si>
  <si>
    <t>Ady utcai szennyvízbekötések</t>
  </si>
  <si>
    <t>"Ivóvízminőség javítása" KEOP pályázathoz Önerő alap támogatás átadása</t>
  </si>
  <si>
    <t>3./8.</t>
  </si>
  <si>
    <t>Botfai közvilágítás fejlesztés</t>
  </si>
  <si>
    <t>3./9.</t>
  </si>
  <si>
    <t>pm</t>
  </si>
  <si>
    <t>5./21</t>
  </si>
  <si>
    <t xml:space="preserve"> Mikes u.tagóvoda udvarára kültéri játékok beszerzése pe. Átadás "Játékvár Alapítvány a Mikes Kelemen Úti Óvodáért"részére</t>
  </si>
  <si>
    <t>5./22</t>
  </si>
  <si>
    <t>Erkel F.utcai régi rönk játszótér eszközbővítés</t>
  </si>
  <si>
    <t>Zalabesenyő közösségi ház fejlesztéséhez pe. átadás Besenyő a 2000-es években Alapítvány részére</t>
  </si>
  <si>
    <t>Egyéb város- és községgazdálkodás kisértékű tárgyi eszközök beszerzése</t>
  </si>
  <si>
    <t>9./7</t>
  </si>
  <si>
    <t>Környezetvédelmi Jeles napok kisértékű tárgyi eszköz beszerzés</t>
  </si>
  <si>
    <t>9./8</t>
  </si>
  <si>
    <t xml:space="preserve"> Közfoglalkoztatás anyag- és eszközigény biztosítása</t>
  </si>
  <si>
    <t>9./9</t>
  </si>
  <si>
    <t>Városüzemelteéssel kapcsolatos kisértékű eszköz beszerzése</t>
  </si>
  <si>
    <t>"Települési szilárdhulladék-gazdálkodási rendszerek eszközparkjának fejlesztése, informatikai korszerűsítése" pályázati támogatással KEOP-1.1.1/C/13.</t>
  </si>
  <si>
    <t xml:space="preserve"> Aquaparkba kisértékű eszközök beszerzése</t>
  </si>
  <si>
    <t>MÜLLEX Közszolgáltató Nonprofit Kft. üzletrészének megvásárlás</t>
  </si>
  <si>
    <t>Dolgozói lakásépítés és -vásárlás támogatása</t>
  </si>
  <si>
    <t>4./61</t>
  </si>
  <si>
    <t>Kutilapi u. aszfaltozása</t>
  </si>
  <si>
    <t>biz.</t>
  </si>
  <si>
    <t>4.a/1.</t>
  </si>
  <si>
    <t>Sas u. - Jánkahegy útcsatlakozás kiépítése</t>
  </si>
  <si>
    <t>6./1.</t>
  </si>
  <si>
    <t>Duális képzőközpont kialakítása</t>
  </si>
  <si>
    <t>Költségvetési szerv megnevezése</t>
  </si>
  <si>
    <t>2014. eredeti előirányzat</t>
  </si>
  <si>
    <t>Bevételek összesen</t>
  </si>
  <si>
    <t>Munkaadókat terhelő járulékok és szociális hozzájárulási adó</t>
  </si>
  <si>
    <t>2014. évi  előirányzat</t>
  </si>
  <si>
    <t>2014. évi módos. ei.</t>
  </si>
  <si>
    <t>Cím              szám</t>
  </si>
  <si>
    <t>Alcím                    szám</t>
  </si>
  <si>
    <t xml:space="preserve">  - Kiegészítő gyemekvédelmi támogatás</t>
  </si>
  <si>
    <t xml:space="preserve"> - Holokauszt Emlékév </t>
  </si>
  <si>
    <t>421100 Út, autópálya építés</t>
  </si>
  <si>
    <t xml:space="preserve"> - Bio és megújuló energiafelhasználás startmunka mintaprogram</t>
  </si>
  <si>
    <t xml:space="preserve"> - vizíközmű fejlesztési hozzájárulás Zalavíz Zrt-től</t>
  </si>
  <si>
    <t xml:space="preserve"> - Szennyvíztársulástól átvett viziközmű vagyon használati díja</t>
  </si>
  <si>
    <t>"Települési szilárdhulladék-gazdálkodási rendszerek eszközparkjának fejlesztése, informatikai korszerűsítése" pályázati támogatás KEOP-1.1.1/C/13.</t>
  </si>
  <si>
    <t xml:space="preserve"> - LÉSZ Kft. önkormányzati vagyon működtetési díj</t>
  </si>
  <si>
    <t xml:space="preserve"> -  osztalék bevétel</t>
  </si>
  <si>
    <t xml:space="preserve"> - lakásalap  2013. évi pénzmaradványának bevonása</t>
  </si>
  <si>
    <t xml:space="preserve"> - lakásalap előző évek maradványának igénybevétele</t>
  </si>
  <si>
    <t>Jogi igazgatási feladatok összesen:</t>
  </si>
  <si>
    <t xml:space="preserve"> - helyi önkormányzatok általános működésének és ágazati feladatainak támogatása</t>
  </si>
  <si>
    <t xml:space="preserve"> - központosított támogatások</t>
  </si>
  <si>
    <t xml:space="preserve"> - központi támogatások</t>
  </si>
  <si>
    <t xml:space="preserve"> - áfa visszaigénylés</t>
  </si>
  <si>
    <t xml:space="preserve"> - Pénzmaradvány terhére intézményi elvonás</t>
  </si>
  <si>
    <t xml:space="preserve"> - Többcélú Kistérségi Társulás befizetése 2013. évi állami támogatás elszámolása miatt</t>
  </si>
  <si>
    <t xml:space="preserve"> - Nyugdíjasházi adományok</t>
  </si>
  <si>
    <t xml:space="preserve"> - Járulékmegtakarításból eredő int-i befizetési kötelezettség</t>
  </si>
  <si>
    <t xml:space="preserve"> - előző évek tartalékának igénybevétele</t>
  </si>
  <si>
    <t>Építéshatósági feladatok összesen:</t>
  </si>
  <si>
    <t>Módosítás
döntési
hatáskör
szerint *</t>
  </si>
  <si>
    <t>Ellátottak pénzbeni juttatásai</t>
  </si>
  <si>
    <t>Egyéb felhalmozási kiadások</t>
  </si>
  <si>
    <t xml:space="preserve"> -  rendszeres szociális segély</t>
  </si>
  <si>
    <t xml:space="preserve"> - kiegészítő gyermekvédelmi támogatás</t>
  </si>
  <si>
    <t xml:space="preserve"> - adósságkezelési szolgáltatás </t>
  </si>
  <si>
    <t>107054  Családsegítés</t>
  </si>
  <si>
    <t>032020 Tűz- és katasztrófavéd. tevékenység</t>
  </si>
  <si>
    <t>Szociális és igazgatási fa. működési kiadás összesen:</t>
  </si>
  <si>
    <t>Beruházási kiadások:</t>
  </si>
  <si>
    <t xml:space="preserve"> - intézményi pályázatok és egyéb támogatások</t>
  </si>
  <si>
    <t xml:space="preserve"> - díszokleveles pedagógusok ünnepsége és jutalmazása</t>
  </si>
  <si>
    <t xml:space="preserve"> - Kábítószerügyi Egyeztető Fórum </t>
  </si>
  <si>
    <t xml:space="preserve"> - Kvártélyház Kft. támogatása</t>
  </si>
  <si>
    <t xml:space="preserve"> - 2014. évi közösségi, művészeti pályázatok</t>
  </si>
  <si>
    <t xml:space="preserve"> -  Idősek Otthona férőhely megváltás visszafizetés</t>
  </si>
  <si>
    <t xml:space="preserve"> - sport- és humánigazgatási feladatok</t>
  </si>
  <si>
    <t xml:space="preserve"> - Zalaegerszegi Futball utánpótlás és sport klub támogatása</t>
  </si>
  <si>
    <t xml:space="preserve"> -     rendezvények támogatása</t>
  </si>
  <si>
    <t>6.b/8</t>
  </si>
  <si>
    <t xml:space="preserve"> - "Zalaegerszeg elővárosi közlekedési rendszereinek fejlesztése"  projekt KÖZOP-5.5.0-09-11-2012-0016 </t>
  </si>
  <si>
    <t xml:space="preserve"> - "Zalaegerszeg intermodális közösségi közlekedési csomópont létesítése" projekt KÖZOP-5.5.0-09-11-2012-0019 </t>
  </si>
  <si>
    <t xml:space="preserve"> Helyi és helyközi közösségi közlekedés fejlesztése pályázati  támogatással NYDOP -3.2.1/B-12-2013-0001</t>
  </si>
  <si>
    <t>6.b/9</t>
  </si>
  <si>
    <t>6.b/10</t>
  </si>
  <si>
    <t>6.b/11</t>
  </si>
  <si>
    <t>6.b/12</t>
  </si>
  <si>
    <t>6.b/13</t>
  </si>
  <si>
    <t xml:space="preserve"> Buslakpusztai bezárt szilárd hulladéklerakó okozta szennyezés lokalizációja  pályázati támogatással KEOP-2.4.0/B/2F/10-11-2012-0005</t>
  </si>
  <si>
    <t>7.a./2</t>
  </si>
  <si>
    <t>Ökováros projekt</t>
  </si>
  <si>
    <t>Zalavíz Zrt. részvény vásárlás</t>
  </si>
  <si>
    <t xml:space="preserve">Stúdió Rádió fejlesztési célú támogatása </t>
  </si>
  <si>
    <t>4./50</t>
  </si>
  <si>
    <t>4./51</t>
  </si>
  <si>
    <t>4./52</t>
  </si>
  <si>
    <t>4./53</t>
  </si>
  <si>
    <t>4./54</t>
  </si>
  <si>
    <t>4./55</t>
  </si>
  <si>
    <t>4./56</t>
  </si>
  <si>
    <t>4./57</t>
  </si>
  <si>
    <t>4./58</t>
  </si>
  <si>
    <t>4./59</t>
  </si>
  <si>
    <t>4./60</t>
  </si>
  <si>
    <t xml:space="preserve"> a) a finanszírozás szempontjából elismert szakmai dolgozók bértámogatása</t>
  </si>
  <si>
    <t>b) Gyermekétkeztetés-üzemeltetési támogatás</t>
  </si>
  <si>
    <t>Központosított előirányzatok</t>
  </si>
  <si>
    <t xml:space="preserve"> - kulturális városi rendezvények</t>
  </si>
  <si>
    <t xml:space="preserve"> - lépcsők,sétányok, támfalak, korlátok javítása</t>
  </si>
  <si>
    <t xml:space="preserve"> - csapadékvízelvezető és árvízvédelmi létesítmények fenntartása</t>
  </si>
  <si>
    <t xml:space="preserve"> - csapadékvíz elvezető rendszer fennmaradási/üzemeltetési engedélyek</t>
  </si>
  <si>
    <t xml:space="preserve"> - védett síremlékek rendbetétele</t>
  </si>
  <si>
    <t xml:space="preserve"> - Idegenforgalmi feladatok</t>
  </si>
  <si>
    <t>Szociális, Egészségügyi  és Esélyegyenlőségi Bizottság átruházott hatáskörében felosztható keret</t>
  </si>
  <si>
    <t>Oktatási, Kulturális és Sport Bizottság átruházott hatáskörében felosztható keret</t>
  </si>
  <si>
    <t xml:space="preserve"> - Zeg. Úszóklub támogatása</t>
  </si>
  <si>
    <t xml:space="preserve"> - Zeg. Triatlon Klub támogatása</t>
  </si>
  <si>
    <t xml:space="preserve"> - Csuti SK sportlétesítmény üzemeltetés támogatása</t>
  </si>
  <si>
    <t xml:space="preserve"> - Police Ola LSK sportlétesítmény bérleti díja</t>
  </si>
  <si>
    <t xml:space="preserve"> - Páterdombi LSC sportlétesítmény bérleti díj</t>
  </si>
  <si>
    <t>Igazga-tási dolgozó</t>
  </si>
  <si>
    <t>Óvoda pedagó-gus</t>
  </si>
  <si>
    <t>Népmű-velő, könyv-táros</t>
  </si>
  <si>
    <t>Egyéb szakal-kal- mazott</t>
  </si>
  <si>
    <t>Ügyvi-teli dolgo-zó</t>
  </si>
  <si>
    <t xml:space="preserve"> Zalaegerszegi Egészségügyi Alapellátás</t>
  </si>
  <si>
    <t>Zalaegerszegi Belvárosi I. sz.Óvoda</t>
  </si>
  <si>
    <t>Zalaegerszegi Belvárosi II. sz.Óvoda</t>
  </si>
  <si>
    <t>Zalaegerszegi Városrészek  Művelődési Központja és Könyvtára</t>
  </si>
  <si>
    <t xml:space="preserve">Hevesi Sándor Színház </t>
  </si>
  <si>
    <t>Költségvetési szervek összesen:</t>
  </si>
  <si>
    <t>Ferences Plébánia részére felújításhoz pénzeszköz átadás</t>
  </si>
  <si>
    <t xml:space="preserve"> - ipari parkban területértékesítés  254/2013..kgy.hat.alapján</t>
  </si>
  <si>
    <t>Területcsere É-i és D-i ipari parkban 254/2013. kgy.hat.alapján</t>
  </si>
  <si>
    <t>III.2. Hozzájárulás a pénzbeli szociális ellátásokhoz ( egyösszegű) beszámítás után</t>
  </si>
  <si>
    <t xml:space="preserve"> -  Zalaegerszegi Városi Közbiztonsági  Polgárőr Egyesület támogatása</t>
  </si>
  <si>
    <t xml:space="preserve"> - "Rendért" Zalai Közbiztonsági és Polgárőr Egyesület támogatása</t>
  </si>
  <si>
    <t xml:space="preserve"> - települési vízellátás</t>
  </si>
  <si>
    <t>1.a/1.</t>
  </si>
  <si>
    <t xml:space="preserve"> -köztemető fenntartás és temetői létesítmények  használati díja</t>
  </si>
  <si>
    <t>B53</t>
  </si>
  <si>
    <t>Egyéb tárgyi eszközök értékesítése</t>
  </si>
  <si>
    <t>Jövedelempótló támogatások</t>
  </si>
  <si>
    <t>Óvodáztatási támogatás</t>
  </si>
  <si>
    <t>Könyvtári érdekeltségnövelő támogatás</t>
  </si>
  <si>
    <t>Közművelődési érdekeltségnövelő támogatás</t>
  </si>
  <si>
    <t>Nyári gyermekétkeztetés</t>
  </si>
  <si>
    <t xml:space="preserve">3. Szociális ágazati pótlék </t>
  </si>
  <si>
    <t>4./8.</t>
  </si>
  <si>
    <t>ZTE Kosárlabda Klub Kft. tőketartalék</t>
  </si>
  <si>
    <t>Havasi gyopár u. magánerős útépítés</t>
  </si>
  <si>
    <t>Intézményi fejlesztések előkészítési munkái (tervezési, bonyolítási,  műszaki ellenőrzési díjak és kivitelezés)</t>
  </si>
  <si>
    <t>Platán sor 18.szám mögötti parkoló építés</t>
  </si>
  <si>
    <t xml:space="preserve">Idősek Otthona kialakítása </t>
  </si>
  <si>
    <t>6.b/16</t>
  </si>
  <si>
    <t>Szociális városrehabilitáció területszerzés, -rendezés, bontás</t>
  </si>
  <si>
    <t>Cserével vegyes ingatlanszerződések</t>
  </si>
  <si>
    <t>Zalaegerszegi Televízió Kft.felhalmozási célú pénzeszköz átadás</t>
  </si>
  <si>
    <t>Kosztolányi téri Óvoda felújítása</t>
  </si>
  <si>
    <t>1./1/10.</t>
  </si>
  <si>
    <t xml:space="preserve"> Kis utca óvoda vizesblokk felújítás</t>
  </si>
  <si>
    <t>1./1/11.</t>
  </si>
  <si>
    <t xml:space="preserve"> Napsugár úti óvoda felújítása</t>
  </si>
  <si>
    <t xml:space="preserve">Eötvös Iskola főépület déli és keleti oldalán nyílászárók cseréje és homlokzati  hőszigetelés </t>
  </si>
  <si>
    <t>1./2/7.</t>
  </si>
  <si>
    <t>1./2/8.</t>
  </si>
  <si>
    <t xml:space="preserve"> Ady iskolában nagytornatermi 2 db vizesblokk felújítása</t>
  </si>
  <si>
    <t>1./2/9.</t>
  </si>
  <si>
    <t xml:space="preserve"> Petőfi Iskolában vizesblokk felújítás II. üteme</t>
  </si>
  <si>
    <t xml:space="preserve"> - Idősügyi feladatok</t>
  </si>
  <si>
    <t>Havasi gyopár u. magánerős útépítéshez lakossági befizetés</t>
  </si>
  <si>
    <t xml:space="preserve"> - térítésmentes közmű átadás-átvétellel kapcsolatos elszámolások</t>
  </si>
  <si>
    <t xml:space="preserve"> 042220 Erdőgazdálkodás</t>
  </si>
  <si>
    <t xml:space="preserve"> - önkormányzati erdők ápolási és felújítási munkák</t>
  </si>
  <si>
    <t xml:space="preserve"> - Cserével vegyes ingatlanszerződések</t>
  </si>
  <si>
    <t xml:space="preserve"> - lakásalap előző évek tartalékának hasznosításából</t>
  </si>
  <si>
    <t xml:space="preserve"> - lakásalappal kapcsolatos bevételek</t>
  </si>
  <si>
    <t xml:space="preserve"> - előző évek pénzmaradványának igénybevétele</t>
  </si>
  <si>
    <t xml:space="preserve"> - előző évek tartalékának hasznosításából</t>
  </si>
  <si>
    <t xml:space="preserve"> - Nemzetközi kapcsolatok</t>
  </si>
  <si>
    <t>104051 Gyermekvédelmi pénzbeli és természetbeni ellátások</t>
  </si>
  <si>
    <t xml:space="preserve"> - óvodáztatási támogatás</t>
  </si>
  <si>
    <t>107060 Egyéb szociális pénzbeli és természetbeni ellátások, támogatások</t>
  </si>
  <si>
    <t xml:space="preserve"> - egyéb szociális szolgáltatás</t>
  </si>
  <si>
    <t xml:space="preserve"> - egészségügyi és szociális ágazat pályázati kerete</t>
  </si>
  <si>
    <t>- Természettudományos oktatás eszközrendszerének és módszertanának fejlesztése a Kölcsey F. Gimnáziumban TÁMOP 3.1.3.-11/2-2012-0023</t>
  </si>
  <si>
    <t>013350 Az önkorm. vagyonnal való gazd. kapcs. feladatok</t>
  </si>
  <si>
    <t xml:space="preserve"> - nyári étkeztetés</t>
  </si>
  <si>
    <t xml:space="preserve"> - Idősek Otthona lízingdíj kamata és árfolyamveszteség</t>
  </si>
  <si>
    <t xml:space="preserve"> - Zalaegerszeg Jégsportjáért Alapítvány támogatása</t>
  </si>
  <si>
    <t xml:space="preserve"> - jégidő</t>
  </si>
  <si>
    <t xml:space="preserve">pm </t>
  </si>
  <si>
    <t>062020 Területfejlesztési projektek és támogatásuk</t>
  </si>
  <si>
    <t xml:space="preserve"> - lakásalappal kapcsolatos kiadások</t>
  </si>
  <si>
    <t xml:space="preserve"> - előző évek tartalékának hasznosítása</t>
  </si>
  <si>
    <t xml:space="preserve"> - lízingfizetési kötelezettség</t>
  </si>
  <si>
    <t xml:space="preserve">  - Zenica testvérváros támogatása árvízkárok enyhítésére</t>
  </si>
  <si>
    <t>biz</t>
  </si>
  <si>
    <t>Napsugár úti bölcsőde udvari létesítmények és belső vizesblokk felújítás</t>
  </si>
  <si>
    <t>Űrhajós úti bölcsőde udvari létesítmények és belső vizesblokk felújítás</t>
  </si>
  <si>
    <t>Kis utcai Tipegő Bölcsődében nyílászáró csere</t>
  </si>
  <si>
    <t>Kis utcai Óvodában udvarfelújítás</t>
  </si>
  <si>
    <t>Napsugár úti óvoda udvari létesítmények és belső vizesblokk felújítás</t>
  </si>
  <si>
    <t>Óvodák felújítása</t>
  </si>
  <si>
    <t>Általános iskolákban felújítási munkák</t>
  </si>
  <si>
    <t xml:space="preserve">Dózsa Gy. tagiskola felújítás </t>
  </si>
  <si>
    <t xml:space="preserve">Ady Iskola felújítás                 </t>
  </si>
  <si>
    <t xml:space="preserve">Petőfi Iskola felújítás </t>
  </si>
  <si>
    <t>Zrínyi Gimnázium felújítás</t>
  </si>
  <si>
    <t>Beruházási célú pénzeszk. átadás és egyéb felhalmozási kiadás</t>
  </si>
  <si>
    <t>Felúj. célú pénzeszk. átad.és egyéb felújítási célú kiadás</t>
  </si>
  <si>
    <t xml:space="preserve"> - Zalaegerszegi Szociális és Gyermekjóléti Alapszolgáltatási Társulás működési hozzájárulás</t>
  </si>
  <si>
    <t>Térfigyelő kamera felszerelése Botfán</t>
  </si>
  <si>
    <t xml:space="preserve"> - Andráshida története könyv </t>
  </si>
  <si>
    <t xml:space="preserve"> - Andráshida civil összefogás napja</t>
  </si>
  <si>
    <t>6./11</t>
  </si>
  <si>
    <t>6./13</t>
  </si>
  <si>
    <t>6./19</t>
  </si>
  <si>
    <t>6./20</t>
  </si>
  <si>
    <t>Harasztifalu területszerzés</t>
  </si>
  <si>
    <t>Ipari parkban internet kapcsolat kiépítése</t>
  </si>
  <si>
    <t>082091 Közművelődés – közösségi és társadalmi részvétel fejlesztése</t>
  </si>
  <si>
    <t>107060 Egyéb szociális pénzbeli ellátások, támogatások</t>
  </si>
  <si>
    <t>Andráshidai LSC sportfejlesztési program támogatása</t>
  </si>
  <si>
    <t xml:space="preserve"> - parkolómegváltás bevételből visszafizetés</t>
  </si>
  <si>
    <t>Ipari környezet fejlesztése</t>
  </si>
  <si>
    <t>"Art" mozihálózat digitális fejlesztése pályázati támogatással</t>
  </si>
  <si>
    <t xml:space="preserve"> - Lízingdíj törlesztés</t>
  </si>
  <si>
    <t>3./7</t>
  </si>
  <si>
    <t>Izsák Általános Iskola melletti sportlétesítmények és környezetének fejlesztése, parkosítás</t>
  </si>
  <si>
    <t>Berzsenyi utcai tízemeletesek közötti parkfejlesztés illetve egyéb beruházás</t>
  </si>
  <si>
    <t>Önkormányzati erdő telepítése</t>
  </si>
  <si>
    <t>Köztemető fenntartási feladatok ellátásához anyageszközigény biztosítása</t>
  </si>
  <si>
    <t>Gyepmesteri feladatok ellátásához anyag -eszközigény biztosítása</t>
  </si>
  <si>
    <t>5./5</t>
  </si>
  <si>
    <t>5./6</t>
  </si>
  <si>
    <t>5./7</t>
  </si>
  <si>
    <t>5./8</t>
  </si>
  <si>
    <t>5./9</t>
  </si>
  <si>
    <t>5./10</t>
  </si>
  <si>
    <t>5./11</t>
  </si>
  <si>
    <t>5./12</t>
  </si>
  <si>
    <t>5./13</t>
  </si>
  <si>
    <t>5./14</t>
  </si>
  <si>
    <t>5./15</t>
  </si>
  <si>
    <t>5./16</t>
  </si>
  <si>
    <t>5./17</t>
  </si>
  <si>
    <t>5./18</t>
  </si>
  <si>
    <t>5./19</t>
  </si>
  <si>
    <t>5./20</t>
  </si>
  <si>
    <t>Göcseji úti köztemető ravatalozójának padozat cseréje, felújítása</t>
  </si>
  <si>
    <t>Új köztemető ravatalozó tetőfelújítás</t>
  </si>
  <si>
    <t>Olasz hősi temető sírhelyek felújítása</t>
  </si>
  <si>
    <t>16.</t>
  </si>
  <si>
    <t xml:space="preserve"> - ingatlaneladás </t>
  </si>
  <si>
    <t xml:space="preserve"> - helypénz és helybiztosítás</t>
  </si>
  <si>
    <t xml:space="preserve"> - egyéb ingatlanhasznosítás</t>
  </si>
  <si>
    <t>(nem lakás célú hely bérl. díj)</t>
  </si>
  <si>
    <t xml:space="preserve"> - LÉSZ bérlemény üzemeltetés bevétele</t>
  </si>
  <si>
    <t>Lakásalappal kapcsolatos bevételek</t>
  </si>
  <si>
    <t>Vagyonkezelési felad. összesen:</t>
  </si>
  <si>
    <t>Jogi igazgatási feladatok</t>
  </si>
  <si>
    <t xml:space="preserve"> - Augusztus 20-i falumúzeumi rendezvény</t>
  </si>
  <si>
    <t xml:space="preserve"> - Egerszeg Búcsú</t>
  </si>
  <si>
    <t xml:space="preserve"> - Németh János állandó kiállítás működtetéséhez</t>
  </si>
  <si>
    <t xml:space="preserve"> - Zalai Civil Életért Közhasznú Egy.támogatása (Civil ház működtetése)</t>
  </si>
  <si>
    <t xml:space="preserve"> - Pannon Tükör kulturális folyóirat támogatása</t>
  </si>
  <si>
    <t>3./2</t>
  </si>
  <si>
    <t>8./1</t>
  </si>
  <si>
    <t>8./2</t>
  </si>
  <si>
    <t>2./3</t>
  </si>
  <si>
    <t>4./18</t>
  </si>
  <si>
    <t>4./19</t>
  </si>
  <si>
    <t xml:space="preserve"> - szakképzési  ösztöndíj</t>
  </si>
  <si>
    <t xml:space="preserve"> - víziközművek területigénybevételével  kapcsolatos költségek</t>
  </si>
  <si>
    <t>Pénzügyi lebonyolítás</t>
  </si>
  <si>
    <t xml:space="preserve"> </t>
  </si>
  <si>
    <t>Pénzügyi lebonyolítás összesen:</t>
  </si>
  <si>
    <t>Cím szám</t>
  </si>
  <si>
    <t>Alcím szám</t>
  </si>
  <si>
    <t>2.</t>
  </si>
  <si>
    <t>1./1</t>
  </si>
  <si>
    <t>1./2</t>
  </si>
  <si>
    <t>1./3</t>
  </si>
  <si>
    <t>1.</t>
  </si>
  <si>
    <t>3.</t>
  </si>
  <si>
    <t>3./1</t>
  </si>
  <si>
    <t>4.</t>
  </si>
  <si>
    <t>Út-járda parkoló beruházások</t>
  </si>
  <si>
    <t>4./1</t>
  </si>
  <si>
    <t xml:space="preserve"> - Csácsbozsok-Alsónemesapáti LSC sportlét.bérleti díj</t>
  </si>
  <si>
    <t>6.1.a/1</t>
  </si>
  <si>
    <t xml:space="preserve"> - országos DO. zalaegerszegi rendezvényei</t>
  </si>
  <si>
    <t xml:space="preserve"> - sportfeladatok</t>
  </si>
  <si>
    <t>Zöldterület kezelés</t>
  </si>
  <si>
    <t xml:space="preserve">        rendezvények támogatása</t>
  </si>
  <si>
    <t xml:space="preserve"> - Inkubátorház bérleti díja</t>
  </si>
  <si>
    <t xml:space="preserve"> -  vagyongazdálkodási feladatok és szakértői díjak</t>
  </si>
  <si>
    <t xml:space="preserve"> - közterületen hagyott gépjárművek elszállítása</t>
  </si>
  <si>
    <t>"Zalaegerszeg 2020-Integrált településfejlesztési stratégia megalkotása" projekt pályázati támogatással  NYDOP-3.1.1/F-13-2013-0001</t>
  </si>
  <si>
    <t>Központi, irányító szervi támogatás</t>
  </si>
  <si>
    <t xml:space="preserve"> - városi újság támogatása</t>
  </si>
  <si>
    <t xml:space="preserve"> - Rendezvények, kommunikáció, reprezentáció</t>
  </si>
  <si>
    <t xml:space="preserve"> - Egerszegkártya</t>
  </si>
  <si>
    <t xml:space="preserve"> - Nemzedékek kézfogása</t>
  </si>
  <si>
    <t xml:space="preserve"> - Zalai Táncegyüttes Egyesület támogatás</t>
  </si>
  <si>
    <t xml:space="preserve"> - Településrészi Önkormányzatok</t>
  </si>
  <si>
    <t xml:space="preserve"> - Foglalkoztatás támogatása, munkaerőkölcsönzés</t>
  </si>
  <si>
    <t xml:space="preserve"> - Vállalkozás fejlesztés és befektetés támogató program</t>
  </si>
  <si>
    <t xml:space="preserve"> - közterület felügyelet működési kiadásai</t>
  </si>
  <si>
    <t>4./14</t>
  </si>
  <si>
    <t>4./15</t>
  </si>
  <si>
    <t>4./16</t>
  </si>
  <si>
    <t>4./17</t>
  </si>
  <si>
    <t>2.a/1</t>
  </si>
  <si>
    <t xml:space="preserve"> - önkormányzati utak szakági nyilvántartása</t>
  </si>
  <si>
    <t>2./2</t>
  </si>
  <si>
    <t>Jogi és igazgatási feladatok összesen:</t>
  </si>
  <si>
    <t>Pénzügyi lebonyolítás:</t>
  </si>
  <si>
    <t xml:space="preserve"> - forgalmi jutalék, számlavezetési díj</t>
  </si>
  <si>
    <t xml:space="preserve"> - ÁFA befizetés</t>
  </si>
  <si>
    <t xml:space="preserve"> - vagyon- és gépjármű biztosítás</t>
  </si>
  <si>
    <t xml:space="preserve"> - könyvvizsgálat díja</t>
  </si>
  <si>
    <t xml:space="preserve">  - városi kiadvány</t>
  </si>
  <si>
    <t xml:space="preserve"> - Millecentenáriumi Közalapítvány támogatása</t>
  </si>
  <si>
    <t xml:space="preserve"> - Nemzetközi kapcsolatokra</t>
  </si>
  <si>
    <t xml:space="preserve"> - Hajléktalanok szállása (Vöröskereszt) műk. támog.</t>
  </si>
  <si>
    <t xml:space="preserve"> -  Megyei Jogú Városok Szövetsége tagdíja</t>
  </si>
  <si>
    <t xml:space="preserve"> - Városi TV működési támogatása</t>
  </si>
  <si>
    <t xml:space="preserve"> - Városi Hírportál szerkesztése</t>
  </si>
  <si>
    <t xml:space="preserve"> - Zalavolán Rt. működési támogatása</t>
  </si>
  <si>
    <t xml:space="preserve"> - Fejlesztési célú hitel igénybevételi díj, törlesztés és   kamatfizetési kötelezettség</t>
  </si>
  <si>
    <t xml:space="preserve"> - Zeg.Felsőfokú Oktatásáért Közalapítvány támogatása</t>
  </si>
  <si>
    <t>Zalaegerszegi GESZ</t>
  </si>
  <si>
    <t>3./3</t>
  </si>
  <si>
    <t>3./4</t>
  </si>
  <si>
    <t>Keresztury Dezső Városi Művelődési Központ</t>
  </si>
  <si>
    <t>Deák Ferenc Megyei és Városi Könyvtár</t>
  </si>
  <si>
    <t>Göcseji Múzeum</t>
  </si>
  <si>
    <t>Zalaegerszegi Egyesített Bölcsődék</t>
  </si>
  <si>
    <t>Zalaegerszegi Egészségügyi Alapellátás</t>
  </si>
  <si>
    <t>Zalaegerszegi Belvárosi I. számú Óvoda</t>
  </si>
  <si>
    <t>Zalaegerszegi Belvárosi II. számú Óvoda</t>
  </si>
  <si>
    <t>Zalaegerszegi Kertvárosi Óvoda</t>
  </si>
  <si>
    <t>Zalaegerszegi Landorhegyi Óvoda</t>
  </si>
  <si>
    <t>Zalaegerszegi Városrészek Művelődési Központja és Könyvtára</t>
  </si>
  <si>
    <t>Zalaegerszegi Turisztikai Hivatal és Információs Iroda</t>
  </si>
  <si>
    <t>Hevesi Sándor Színház</t>
  </si>
  <si>
    <t>Griff Bábszínház</t>
  </si>
  <si>
    <t>Városi Sportlétesítmények Gondnoksága</t>
  </si>
  <si>
    <t>Költségvetési szervek mindösszesen:</t>
  </si>
  <si>
    <t xml:space="preserve"> - Városi Strandfürdő és Fedett uszoda műk.  támogatása</t>
  </si>
  <si>
    <t>Pénzügyi lebonyolítás és kp-i  összesen:</t>
  </si>
  <si>
    <t>22.</t>
  </si>
  <si>
    <t xml:space="preserve"> Polgármesteri iroda </t>
  </si>
  <si>
    <t>Gazdasági   Bizottság átruházott hatáskörében felosztható keret</t>
  </si>
  <si>
    <t xml:space="preserve">        egyéb szervezetek támogatása</t>
  </si>
  <si>
    <t xml:space="preserve">        lakossági, civil kezdeményezések támogatása</t>
  </si>
  <si>
    <t xml:space="preserve"> - villamos energia vásárlás</t>
  </si>
  <si>
    <t xml:space="preserve"> - liberalizált energiapiacra való kilépés műszaki előkész.</t>
  </si>
  <si>
    <t>Önkormányzat összesen költségetési szervek nélkül</t>
  </si>
  <si>
    <t>2.) Önkormányzat szakosztályainak  kiadásai</t>
  </si>
  <si>
    <t xml:space="preserve"> - közvilágítási hálózat karbantartása</t>
  </si>
  <si>
    <t xml:space="preserve"> - közvilágítási feladatok előkészítő munkái</t>
  </si>
  <si>
    <t>Városüzemelési kiadások összesen:</t>
  </si>
  <si>
    <t>Városépítészeti feladatok:</t>
  </si>
  <si>
    <t xml:space="preserve"> - Fejlesztési kiadások </t>
  </si>
  <si>
    <t xml:space="preserve"> - Felújítási kiadások</t>
  </si>
  <si>
    <t>Városépítészet összesen:</t>
  </si>
  <si>
    <t xml:space="preserve">Vagyonkezelési feladatok </t>
  </si>
  <si>
    <t xml:space="preserve"> - helyiséggazdálkodás kiadásai</t>
  </si>
  <si>
    <t xml:space="preserve"> - LÉSZ bérlemény üzemeltetés</t>
  </si>
  <si>
    <t>Finanszírozási bevételek</t>
  </si>
  <si>
    <t>Munkaadókat terhelő járulékok és szociális hj.adó</t>
  </si>
  <si>
    <t>Ellátottak pénzbeli juttatásai</t>
  </si>
  <si>
    <t>Egyéb felhalmo-zási célú kiadások</t>
  </si>
  <si>
    <t>Finanszíro-zási kiadások</t>
  </si>
  <si>
    <t xml:space="preserve"> - belterületi fás szárú növények fenntartási munkái</t>
  </si>
  <si>
    <t xml:space="preserve"> - játszóterek fenntartása, karbantartása</t>
  </si>
  <si>
    <t>Sorszám</t>
  </si>
  <si>
    <t>Cím</t>
  </si>
  <si>
    <t>Elnyert forrás</t>
  </si>
  <si>
    <t>Saját erő</t>
  </si>
  <si>
    <t>Összköltség</t>
  </si>
  <si>
    <t>2014. évi eredeti előirányzat</t>
  </si>
  <si>
    <t>Módosítás összege</t>
  </si>
  <si>
    <t>2014. évi  módosított előirányzat</t>
  </si>
  <si>
    <t>2014. évi módosított előirányzat</t>
  </si>
  <si>
    <t>B116</t>
  </si>
  <si>
    <t>Helyi önkormányzatok kiegészítő támogatásai</t>
  </si>
  <si>
    <t>2014. évi bevétel eredeti előirányzat</t>
  </si>
  <si>
    <t>Vis maior támogatás</t>
  </si>
  <si>
    <t xml:space="preserve"> Lakásvásárlás és -építés támogatásból "Bébi kedvezmény"</t>
  </si>
  <si>
    <t>2./5.</t>
  </si>
  <si>
    <t>Intézmények támogatása, rendezvényeik finanszírozása</t>
  </si>
  <si>
    <t>2./6.</t>
  </si>
  <si>
    <t>Hevesi Sándor Színházban szőnyeg beszerzés</t>
  </si>
  <si>
    <t>1./12.</t>
  </si>
  <si>
    <t>Állatmenhely szennyvízbekötése</t>
  </si>
  <si>
    <t>1./13.</t>
  </si>
  <si>
    <t>Telekalja u.csapadékvíz elvezetés</t>
  </si>
  <si>
    <t>Mártírok úton és a Csácsi arborétum közelében és a Fórum körforgalmi csomópontnál autóbuszváró létesítése</t>
  </si>
  <si>
    <t>Lakásvásárlás (lakásalapból)</t>
  </si>
  <si>
    <t>Önkormányzat kezelésében lévő ingatlanok hasznosításához kapcsolódó kiadások</t>
  </si>
  <si>
    <t>Felhalmozási célú pénzeszköz átadás a Z.M.Katasztrófavéd. Igazgatóság részére</t>
  </si>
  <si>
    <t>Településrészi önkorm. tárgyi eszköz beszerzés és felhalm.célú pe.átadás</t>
  </si>
  <si>
    <t>Befektetés támogatás Nova Bútor Kft. részére 146/2014. kgy.hat.</t>
  </si>
  <si>
    <t>1./1./12.</t>
  </si>
  <si>
    <t>Belvárosi I.sz.Óvoda Mikes tagóvoda részére pe.átadás belső felújításhoz</t>
  </si>
  <si>
    <t>1./3/3.</t>
  </si>
  <si>
    <t>Kölcsey Gimnázium labor tetőfelépítményeinek beázás elleni védelme</t>
  </si>
  <si>
    <t>1./4.</t>
  </si>
  <si>
    <t>Szennyvíztársulástól átvett víziközművagyon felújítása és eseményvezérelt felújítások használati díj terhére, Társulási elszámolás</t>
  </si>
  <si>
    <t>1./5.</t>
  </si>
  <si>
    <t>Szennyvíztársulástól átvett viziközmű vagyon fejlesztésére pénzeszköz átadás Szennyvíztársulás részére</t>
  </si>
  <si>
    <t>4./68.</t>
  </si>
  <si>
    <t>Alsóerdei út- Gyimesi u. összekötő tereplépcső felújítása</t>
  </si>
  <si>
    <t>4./69.</t>
  </si>
  <si>
    <t>6./5.</t>
  </si>
  <si>
    <t>9./4.</t>
  </si>
  <si>
    <t>Aquapark felújítás</t>
  </si>
  <si>
    <t>Önk-i tulajdonú lakások iparosított tehnológiájú felújításhoz pe. átadás LÉSZ Kft. részére (Lakásalapból)</t>
  </si>
  <si>
    <t>Kossuth L.u. 45.  felújítás</t>
  </si>
  <si>
    <t>Társasházi felúj.alap átadása LÉSZ Kft. részére (Széchenyi tér 4-6.)</t>
  </si>
  <si>
    <t xml:space="preserve"> - természetbeli támogatások (Erzsébet utalvány)</t>
  </si>
  <si>
    <t xml:space="preserve">            - központosított állami támogatás</t>
  </si>
  <si>
    <t xml:space="preserve">            -  egyéb felhalmozási célú támogatás</t>
  </si>
  <si>
    <t xml:space="preserve"> - Szennyvíztársulástól átvett víziközmű vagyon felújításához pénzeszköz átvétel a Szennyvíztársulástól</t>
  </si>
  <si>
    <t xml:space="preserve"> - közművesítési hozzájárulás</t>
  </si>
  <si>
    <t xml:space="preserve"> - Felhalmozási célú pénzeszköz átvétel a MOL Nyrt-től</t>
  </si>
  <si>
    <t>066010 Zöldterület kezelése</t>
  </si>
  <si>
    <t xml:space="preserve"> - Zalaegerszeg történelmi városközpont rehabilitációs és revitalizációs program NYDOP-3.1.1/B-2009-0005</t>
  </si>
  <si>
    <t xml:space="preserve"> - ingatlaneladás Nova Bútor Kft. részére 146/2014. kgy.hat.</t>
  </si>
  <si>
    <t xml:space="preserve"> - Zalai Közszolgáltató Nonprofit Kft.  tagi kölcsön visszafizetése </t>
  </si>
  <si>
    <t xml:space="preserve"> - Kaszaházi belterületbe vonás költségeinek megtérítése</t>
  </si>
  <si>
    <t xml:space="preserve"> - Lakásalap előző évek maradványának igénybevétele</t>
  </si>
  <si>
    <t xml:space="preserve"> - bérlakásértékesítés</t>
  </si>
  <si>
    <t xml:space="preserve"> - Áfa visszaigénylés</t>
  </si>
  <si>
    <t xml:space="preserve"> - Vis maior támogatás központosított állami hozzájárulás</t>
  </si>
  <si>
    <t xml:space="preserve">  - Vis maior egyéb felhalmozási támogatás</t>
  </si>
  <si>
    <t xml:space="preserve">  - közoktatási feladatok ellátásához önkormányzatok befizetése</t>
  </si>
  <si>
    <t xml:space="preserve"> - adósságcsökkentési támogatás</t>
  </si>
  <si>
    <t xml:space="preserve"> - Keresztury ház Németh János dombormű</t>
  </si>
  <si>
    <t xml:space="preserve">   - rendezvények támogatása</t>
  </si>
  <si>
    <t xml:space="preserve"> - lakótelepek faállományának fenntartása</t>
  </si>
  <si>
    <t xml:space="preserve"> - zöldfelületi stratégia feladatai</t>
  </si>
  <si>
    <t xml:space="preserve"> - információs táblák pótlása</t>
  </si>
  <si>
    <t xml:space="preserve"> - köztisztaság szerződéses munkák</t>
  </si>
  <si>
    <t xml:space="preserve"> - rendezési tervek működési kiadás</t>
  </si>
  <si>
    <t xml:space="preserve"> - "Zalaegerszeg 2020-Integrált településfejlesztési stratégia megalkotása" projekt pályázati támogatással  NYDOP-3.1.1/F-13-2013-0001</t>
  </si>
  <si>
    <t xml:space="preserve"> - pályázati műszaki előkészítés</t>
  </si>
  <si>
    <t xml:space="preserve"> - felhalmozási kiadásokhoz kapcsolódó dologi kiadások</t>
  </si>
  <si>
    <t xml:space="preserve"> - hulladékdepó bővítés működési kiadások</t>
  </si>
  <si>
    <t>"Települési szilárdhulladék-gazdálkodási rendszerek eszközparkjának fejlesztése, informatikai korszerűsítése"és Áfa  kiadás megelőlegezése KEOP-1.1.1/C/13.</t>
  </si>
  <si>
    <t xml:space="preserve">  -Buslakpusztai bezárt szilárd hulladéklerakó okozta szennyezés lokalizációja  pályázati támogatással KEOP-2.4.0/B/2F/10-11-2012-0005</t>
  </si>
  <si>
    <t xml:space="preserve"> - LÉSZ Kft. bérlemény üzemeltetés</t>
  </si>
  <si>
    <t xml:space="preserve"> - Kaszaházi belterületbe vonás </t>
  </si>
  <si>
    <t>Lakásalappal kapcsolatos kiadások</t>
  </si>
  <si>
    <t xml:space="preserve"> - Bérlakásértékesítés bonyolítási díja</t>
  </si>
  <si>
    <t xml:space="preserve"> - állami támogatás visszafizetése</t>
  </si>
  <si>
    <t>082091 Közművelődés, közösségi és társadalmi részvétel fejlesztése</t>
  </si>
  <si>
    <t xml:space="preserve"> - Intézményi pályázatokhoz megelőlegezett pe. </t>
  </si>
  <si>
    <t xml:space="preserve">                                                                                            </t>
  </si>
  <si>
    <t xml:space="preserve"> - Gébárti Szabadidőközpont fejlesztésével kapcsolatos működési kiadások</t>
  </si>
  <si>
    <t xml:space="preserve"> - adósságkezelés lakásfenntartási támogatás</t>
  </si>
  <si>
    <t>2014. évi adósságszolg.</t>
  </si>
  <si>
    <t xml:space="preserve"> - Kertváros LSC sportlétesítmény üzemeltetés tám.</t>
  </si>
  <si>
    <t xml:space="preserve"> - iparűzési adó</t>
  </si>
  <si>
    <t xml:space="preserve"> - gépjárműadó</t>
  </si>
  <si>
    <t xml:space="preserve"> - idegenforgalmi adó</t>
  </si>
  <si>
    <t xml:space="preserve"> - talajterhelési díj</t>
  </si>
  <si>
    <t xml:space="preserve"> -Áfa visszaigénylés</t>
  </si>
  <si>
    <t>Polgármesteri Iroda</t>
  </si>
  <si>
    <t xml:space="preserve"> - Egerszeg kártya értékesítés</t>
  </si>
  <si>
    <t>Polgármesteri Iroda összesen:</t>
  </si>
  <si>
    <t>Hitelkeret</t>
  </si>
  <si>
    <t>2028.</t>
  </si>
  <si>
    <t>2029.</t>
  </si>
  <si>
    <t>2034.</t>
  </si>
  <si>
    <t xml:space="preserve">MŰKÖDÉSI CÉLÚ BEVÉTELEK ÖSSZ:                      </t>
  </si>
  <si>
    <t>Polgármesteri Iroda kiadásai</t>
  </si>
  <si>
    <t xml:space="preserve"> - Gébárti fürdő lét. üzemelt. (Termál és Tóstrand)</t>
  </si>
  <si>
    <t>890509 Egyéb m.n.s. közösségi, társadalmi tevékenységek támogatása</t>
  </si>
  <si>
    <t xml:space="preserve"> - Egészséges Városok Mozgalom</t>
  </si>
  <si>
    <t xml:space="preserve"> - Idősek Otthona lízingdíj kamata</t>
  </si>
  <si>
    <t xml:space="preserve"> - ügyeleti ellátás támogatása</t>
  </si>
  <si>
    <t>9./5</t>
  </si>
  <si>
    <t xml:space="preserve"> - saját fenntartású, illetve működtetésű intézmények karbantartása</t>
  </si>
  <si>
    <t xml:space="preserve"> - Zalaegerszegi Városi Diákönkormányzat </t>
  </si>
  <si>
    <t xml:space="preserve"> - II. Zalaegerszegi Városi Diáknapok</t>
  </si>
  <si>
    <t xml:space="preserve"> - Zalaegerszegi Főiskolások Egyesülete</t>
  </si>
  <si>
    <t xml:space="preserve"> - Gébárti Művésztelep</t>
  </si>
  <si>
    <t>Beruházási kiadások</t>
  </si>
  <si>
    <t>Városüzemelési feladatok:</t>
  </si>
  <si>
    <t>kgy,pm</t>
  </si>
  <si>
    <t xml:space="preserve"> - Zöldterületi Stratégia feladatai</t>
  </si>
  <si>
    <t xml:space="preserve"> - Aqua jótékonysági nap bevételéből virágosítás</t>
  </si>
  <si>
    <t xml:space="preserve"> - Bio és megújuló energiafelhasználás startmunka mintaprogram  BM támogatással</t>
  </si>
  <si>
    <t xml:space="preserve"> - temetők fenntartása</t>
  </si>
  <si>
    <t xml:space="preserve"> - lakosssági, civil kezdeményezések támogatása</t>
  </si>
  <si>
    <t>Városüzemelési működési kiadások összesen:</t>
  </si>
  <si>
    <t>Beruházási  kiadások:</t>
  </si>
  <si>
    <t>Városépítészeti feladatok működési kiadásai:</t>
  </si>
  <si>
    <t>Beruházás kiadások</t>
  </si>
  <si>
    <t xml:space="preserve"> - stratégiai fejl. tervek, megvalósíthatósági tanulmányok</t>
  </si>
  <si>
    <t xml:space="preserve"> - Zalai Közszolgáltató Nonprofit Kft. részére tagi kölcsön </t>
  </si>
  <si>
    <t xml:space="preserve"> - főépítészi keret</t>
  </si>
  <si>
    <t>Vagyonkezelési feladatok működési kiadások</t>
  </si>
  <si>
    <t xml:space="preserve"> - közbiztonsági feladatok</t>
  </si>
  <si>
    <t>- Landorhegyi közbiztonsági feladatok</t>
  </si>
  <si>
    <t>Jogi és igazgatási feladatok működési kiadási:</t>
  </si>
  <si>
    <t xml:space="preserve"> - Járulékcsökkenésből eredő magtakarítás befizetési kötelezettség</t>
  </si>
  <si>
    <t xml:space="preserve"> - Többcélú Kistérségi Társulás részére állami támogatás továbbadása</t>
  </si>
  <si>
    <t xml:space="preserve"> - okmányirodai bevételek átadása a Kormányhivatal részére</t>
  </si>
  <si>
    <t xml:space="preserve"> - Egyéb szervezetek támogatása</t>
  </si>
  <si>
    <t xml:space="preserve"> - dolgozói lakásépítés és -vásárlás támogatása</t>
  </si>
  <si>
    <t xml:space="preserve"> - adósságkonszolídáció során teljesített kifizetés</t>
  </si>
  <si>
    <t>Pénzügyi lebonyolítás működési kiadásai  összesen:</t>
  </si>
  <si>
    <t xml:space="preserve"> - Andráshidán Szentivánéji rendezvények támogatása</t>
  </si>
  <si>
    <t>841908 Fejezeti és általános tartalékok elszámolása</t>
  </si>
  <si>
    <t xml:space="preserve">Céltartalék </t>
  </si>
  <si>
    <t>Év közben jelentkező feladatok</t>
  </si>
  <si>
    <t>Ügyrendi, Jogi és Vagyonnyilatkozatot  Ellenőrző Bizottság átruházott hatáskörben felosztható keret</t>
  </si>
  <si>
    <t>Támogatott lakások elkülönített lakbérbev.</t>
  </si>
  <si>
    <t xml:space="preserve">     3.ae) (1) kiegészítő tám. Társult formában történő ellátás esetén családsegítés</t>
  </si>
  <si>
    <t xml:space="preserve">     3.ae) (2) kiegészítő tám. Társult formában történő ellátás esetén gyermekjóléti szolgálat</t>
  </si>
  <si>
    <t xml:space="preserve">  a) Szociális és gyermekjóléti alapszolgáltatások általános feladatai</t>
  </si>
  <si>
    <t>Közvilágítás energiatakarékos átalakítása Zalaegerszegen II. ütem (KEOP-5.5.0/A/12-2013-0182)</t>
  </si>
  <si>
    <t>Zalaegerszeg, elővárosi közlekedés fejlesztése (KÖZOP-5.5.0-09-11-2012-0016)</t>
  </si>
  <si>
    <t>Zalaegerszeg, intermodális közösségi közlekedési csomópont létesítése (KÖZOP-5.5.0-09-11-2012-0019)</t>
  </si>
  <si>
    <t>Balesetveszélyes tereplépcsők, járdák, volt Skála melletti lépcső  felújítása</t>
  </si>
  <si>
    <t>Balesetveszélyes tereplépcsők, járdák  felújítása</t>
  </si>
  <si>
    <t>6./21</t>
  </si>
  <si>
    <t>LÉSZ Kft. telephely útcsatlakozás és szervízút építés</t>
  </si>
  <si>
    <t xml:space="preserve">      Bölcsödei ellátás fogyatékos gyermek</t>
  </si>
  <si>
    <t>Köztársaság útja - Czobor M. u. csomópont (Szentcsalád Óvoda) korrekció és gyalogos átkelőhely létesítése</t>
  </si>
  <si>
    <t>Szociális városrehabilitáció Zalaegerszegen (NYDOP-3.1.1/B2-12-k1-2013-0001)</t>
  </si>
  <si>
    <t>Zalaegerszeg 2020-Integrált településfejlesztési stratégia megvalósítása (NYDOP-3.1.1/F-13-2013-0001)</t>
  </si>
  <si>
    <t>Természettudományos oktatás eszközrendszerének és módszertanának fejlesztése a Kölcsey Ferenc Gimnáziumban (TÁMOP 3.1.3.-11/2-2012-0023 )</t>
  </si>
  <si>
    <t>2012</t>
  </si>
  <si>
    <t>Egymásra hangolva (TÁMOP-5.4.9-11/1-2012-0043)</t>
  </si>
  <si>
    <t>Önkormányzat által irányított költségvetési szervek:</t>
  </si>
  <si>
    <t>2011</t>
  </si>
  <si>
    <t>19.</t>
  </si>
  <si>
    <t>20.</t>
  </si>
  <si>
    <t>21.</t>
  </si>
  <si>
    <t xml:space="preserve">Költségvetési szervek összesen: </t>
  </si>
  <si>
    <t>4. települési önk. által az idős és hajléktalan személyek részére nyújtott szociális szakosított ellátási feladatok</t>
  </si>
  <si>
    <t>a) a kötelezően foglalkoztatott szakmai dolgozók bértámogatása</t>
  </si>
  <si>
    <t>b)  intézmény üzemeltetési támogatás</t>
  </si>
  <si>
    <t>IV. Települési önk. kulturális feladatainak támogatása</t>
  </si>
  <si>
    <t>korábban kiutalt támogatás, előleg</t>
  </si>
  <si>
    <t>23.</t>
  </si>
  <si>
    <t>24.</t>
  </si>
  <si>
    <t>2014. évi kötelezettség</t>
  </si>
  <si>
    <t xml:space="preserve"> - közterületi reklám bevétel</t>
  </si>
  <si>
    <t xml:space="preserve"> - közterületi reklám </t>
  </si>
  <si>
    <t xml:space="preserve">2014. évben várható támogatás, kedvezmény összege             </t>
  </si>
  <si>
    <t>Városfejlesztő Zrt.</t>
  </si>
  <si>
    <t>Vis maior pályázat árvízvédelem és partfalomlás helyreállítás</t>
  </si>
  <si>
    <t>Lukahegyi horhos burkolatemelés</t>
  </si>
  <si>
    <t>Balassi u. felújítás IV. ütem</t>
  </si>
  <si>
    <t>KI-SZO-SAN lakóparkhoz vezető út aszfaltozása</t>
  </si>
  <si>
    <t>Katona József utca burkolatfelújítás</t>
  </si>
  <si>
    <t>Gyimesi utca parkolófelújítás I. ütem</t>
  </si>
  <si>
    <t>Cimpóhegy aszfaltozás I. ütem</t>
  </si>
  <si>
    <t xml:space="preserve">Zalagyöngye utca </t>
  </si>
  <si>
    <t>Cserlapi út - Gombás utca útfelújítás</t>
  </si>
  <si>
    <t>Szekeresvölgyi - Petúnia - Barka u. felújítás</t>
  </si>
  <si>
    <t>Munkaügyi központ mellett zúzalékos parkolók felújítása</t>
  </si>
  <si>
    <t>Útfelújítások Gógánhegyen</t>
  </si>
  <si>
    <t>Virágszer Gógánhegy közötti útra mart aszfalt, beton</t>
  </si>
  <si>
    <t>Virágzómező u. felújítás IV. ütem</t>
  </si>
  <si>
    <t xml:space="preserve">Telekalja u. felújítása </t>
  </si>
  <si>
    <t xml:space="preserve">Ságodi u. párhuzamos lakóút felújítása </t>
  </si>
  <si>
    <t>A pózvai köztemetőnél zúzalékkavicsos parkoló kiépítése</t>
  </si>
  <si>
    <t>Kinizsi u. 78. társasház előtt parkoló szegély javítása</t>
  </si>
  <si>
    <t>Hegyi u. aszfaltos focipálya aszfaltozása, fejlesztése</t>
  </si>
  <si>
    <t>Öreghegyi u. aszfaltozása</t>
  </si>
  <si>
    <t>Arany J. u. 69-71. társasházak közötti belső út felújítása</t>
  </si>
  <si>
    <t>Gasparich út 11.-13. – út és parkolófelújítás</t>
  </si>
  <si>
    <t>Olajmunkás utca 4. szám mögött parkolóépítés</t>
  </si>
  <si>
    <t>Babits utca 2. szám előtti útszakasz burkolatfelújítás</t>
  </si>
  <si>
    <t xml:space="preserve">Zárda u. - Orsolya tér útfelújítás                         </t>
  </si>
  <si>
    <t>Dombalja utca aszfaltozása</t>
  </si>
  <si>
    <t>Csácsi és Bozsoki hegyi utak felújítása</t>
  </si>
  <si>
    <t xml:space="preserve">Patkó utcáról keletre nyíló rövid útszakasz felújítása </t>
  </si>
  <si>
    <t>Szabadság útról Bozsoki hegyre vezető 21354 hrsz út építése és a Bozsoki horhos támfalának javítása</t>
  </si>
  <si>
    <t>4./41</t>
  </si>
  <si>
    <t>4./42</t>
  </si>
  <si>
    <t>4./43</t>
  </si>
  <si>
    <t>4./44</t>
  </si>
  <si>
    <t>4./45</t>
  </si>
  <si>
    <t>4./46</t>
  </si>
  <si>
    <t>Alsóerdei u. balesetveszélyes fahíd felújítása</t>
  </si>
  <si>
    <t>Tüttőssy utca 6. szám előtti (Európa tér) járda felújítása</t>
  </si>
  <si>
    <t>Ady utca járda - Strand előtti szakasz felújítása</t>
  </si>
  <si>
    <t>Neszelében a Gébárti utcai járda felújítása</t>
  </si>
  <si>
    <t>Ságodi u. járdaburkolat felújítás</t>
  </si>
  <si>
    <t>Kaszaházi u. Thifim közötti járdaszakasz felújítás</t>
  </si>
  <si>
    <t>Ola utca járda felújítás és zöldfelület rendezés</t>
  </si>
  <si>
    <t>Járdafelújítások Zalabesenyőben</t>
  </si>
  <si>
    <t>Juhász Gy. u. útszűkület, vasúti átjáró burkolat javítás</t>
  </si>
  <si>
    <t>Felújítások</t>
  </si>
  <si>
    <t>Beruházások</t>
  </si>
  <si>
    <t xml:space="preserve"> - utánpótlás nevelés és támogatása</t>
  </si>
  <si>
    <t>10.</t>
  </si>
  <si>
    <t>11.</t>
  </si>
  <si>
    <t>12.</t>
  </si>
  <si>
    <t>13.</t>
  </si>
  <si>
    <t>14.</t>
  </si>
  <si>
    <t>15.</t>
  </si>
  <si>
    <t>17.</t>
  </si>
  <si>
    <t>18.</t>
  </si>
  <si>
    <t>Változás</t>
  </si>
  <si>
    <t xml:space="preserve"> - Fejlesztési célú hitel felvétel  áthúzódó feladatokhoz kapcsolódó hitelkeretekből</t>
  </si>
  <si>
    <t>Oktatási feladatok</t>
  </si>
  <si>
    <t>Kulturális és ifjúsági feladatok</t>
  </si>
  <si>
    <t>2015. évi adósságszolg.</t>
  </si>
  <si>
    <t>2015. évi                              eFt-ban</t>
  </si>
  <si>
    <t>Egyéb működési célú kiadások</t>
  </si>
  <si>
    <t xml:space="preserve"> - hibaelhárítás, sürgősségi feladatok</t>
  </si>
  <si>
    <t xml:space="preserve">        egyéb szociális szolgáltatás</t>
  </si>
  <si>
    <t>Ügyrendi, Jogi és Vagyonnyilatkozatot  Ellenőrző Bizottság</t>
  </si>
  <si>
    <t xml:space="preserve">        közbiztonsági feladatokra</t>
  </si>
  <si>
    <t>Vízelvezetési problémák megoldása Botfán</t>
  </si>
  <si>
    <t>Vízelvezetési problémák megoldása Zalabesenyőben</t>
  </si>
  <si>
    <t>Magánerős ivóvíz bekötések</t>
  </si>
  <si>
    <t>Köztársaság út 92.-102. sz t.ház K.-i oldalán lévő terület vízelvezetése</t>
  </si>
  <si>
    <t>Magánerős szennyvízcsatorna bekötések</t>
  </si>
  <si>
    <t>Humánigazgatási  feladatok összesen:</t>
  </si>
  <si>
    <t>Játszótér és park kialakítása Hatházán</t>
  </si>
  <si>
    <t>Közvilágítás kiépítése ellátatlan területen</t>
  </si>
  <si>
    <t>Avashegyi közvilágítás kiépítése</t>
  </si>
  <si>
    <t>Ola u. és Platán sor  kereszteződésénél lévő 10 emeletes épület  NY-i, bejárati oldala előtti (posta, boltok, zöldséges,stb.) „sötét” járda megvilágítása</t>
  </si>
  <si>
    <t>Alkotmány utcai garázssor lámpatestek létesítése</t>
  </si>
  <si>
    <t>Csácsi hegyi kápolna díszkivilágítása</t>
  </si>
  <si>
    <t>Közvilágítás fejlesztése a Csács-bozsoki városrészben</t>
  </si>
  <si>
    <t>3.a/1</t>
  </si>
  <si>
    <t>3.a/2</t>
  </si>
  <si>
    <t>3./5</t>
  </si>
  <si>
    <t>3./6</t>
  </si>
  <si>
    <t>Zsinagóga önálló fűtési rendszer kialakítása</t>
  </si>
  <si>
    <t>Hevesi Sándor Színház tűzjelző rendszer</t>
  </si>
  <si>
    <t>Városi Sportcentrum atlétikai pálya kivilágítása</t>
  </si>
  <si>
    <t>103010, 104051, 107060 kormányzati funkciók</t>
  </si>
  <si>
    <t>Berek u. zöldterület rendbetétele, játszótér kialakítása</t>
  </si>
  <si>
    <t>Szent András park és játszótér fejlesztésének folytatása</t>
  </si>
  <si>
    <t>Szent András park játszóeszköz telepítése</t>
  </si>
  <si>
    <t>Göcseji úti köztemető közkútjának szennyvízhálózatra való rácsatlakozása</t>
  </si>
  <si>
    <t>Temetői fejlesztések</t>
  </si>
  <si>
    <t>Bazitai u. 80. sz. előtti terület csapadékvízelvezetése</t>
  </si>
  <si>
    <t>Vízelvezetési problémák megoldása Páterdombon</t>
  </si>
  <si>
    <t>Köztársaság u. 76-82. mögötti belső tér (Bóbita alatt) csapadékvízelvezetés megoldása, aszfaltozás</t>
  </si>
  <si>
    <t>Szent-István u. csapadékvízelvezetése</t>
  </si>
  <si>
    <t>Önkormányzati tulajdonú ingatlanok szennyvízbekötései</t>
  </si>
  <si>
    <t>1./6</t>
  </si>
  <si>
    <t>1./7</t>
  </si>
  <si>
    <t>1./8</t>
  </si>
  <si>
    <t>1./9</t>
  </si>
  <si>
    <t>Szenterzsébethegyi Közösségi tér fejlesztése</t>
  </si>
  <si>
    <t>Vorhotai közösségi tér fejlesztése</t>
  </si>
  <si>
    <t>Gébárti tó Ny-i oldal parkosítása</t>
  </si>
  <si>
    <t>Szenterzsébethegy virágosítási munkák</t>
  </si>
  <si>
    <t>Pózva játszótér fejlesztése</t>
  </si>
  <si>
    <t>Ságodi játszótér fejlesztése</t>
  </si>
  <si>
    <t>Idősek Otthona mögötti tömbbelső parkoló-zöldsáv megújítás</t>
  </si>
  <si>
    <t>Játszóterek, zöldfelületek fejlesztése Páterdombon</t>
  </si>
  <si>
    <t>Botfai sporpályához padok telepítése</t>
  </si>
  <si>
    <t>József Attila Játszótér felújítása (növényzettel, játszóeszközökkel és térbútorokkal)</t>
  </si>
  <si>
    <t>Landorhegyi köztéri padok beszerzése</t>
  </si>
  <si>
    <t>Kamatmentes kölcsön az ideiglenesen nehéz helyzetbe került zeg-i polgárok számára (Lakásalapból)</t>
  </si>
  <si>
    <t>Szociális és igazgatási feladatok össszesen:</t>
  </si>
  <si>
    <t>Városrehabilitációra, valamint lakóövezetbe sorolt építési telek kialakítása, lakásvásárlás Lakásalapból</t>
  </si>
  <si>
    <t>Elővásárlási jog gyakorlásával történő lakóingatlan vásárlása (Lakásalap)</t>
  </si>
  <si>
    <t>1.a./4</t>
  </si>
  <si>
    <t>1.a./5</t>
  </si>
  <si>
    <t xml:space="preserve"> -Keresztury Dezső emlékév rendezvényei</t>
  </si>
  <si>
    <t>KEOP vízvezeték építéshez pályázatban nem támogatott munkák</t>
  </si>
  <si>
    <t>Tüttő Gy u. 15.. és a szomszédos ingatlanok csapadékvízelvezetése</t>
  </si>
  <si>
    <t xml:space="preserve">"Komplex belváros rehabilitációs program Zalaegerszegen" projekt pályázati támogatással NYDOP-3.1.1/B1-13-k-2013-0005 </t>
  </si>
  <si>
    <t>B</t>
  </si>
  <si>
    <t>B1</t>
  </si>
  <si>
    <t>Működési célú támogatások államháztartáson belülről</t>
  </si>
  <si>
    <t>B11</t>
  </si>
  <si>
    <t>Önkormányzatok működési támogatásai</t>
  </si>
  <si>
    <t>B111</t>
  </si>
  <si>
    <t>Helyi önkormányzatok működésének általános támogatása</t>
  </si>
  <si>
    <t>B112</t>
  </si>
  <si>
    <t>B113</t>
  </si>
  <si>
    <t>Települési önkormányzatok szociális és gyermekjóléti feladatainak támogatása</t>
  </si>
  <si>
    <t>B114</t>
  </si>
  <si>
    <t>B115</t>
  </si>
  <si>
    <t>Települési önkormányzatok kulturális feladatainak támogatása</t>
  </si>
  <si>
    <t>Működési célú központosított előirányzatok</t>
  </si>
  <si>
    <t>Működési célú támogatások államháztartáson belülről összesen</t>
  </si>
  <si>
    <t>B2</t>
  </si>
  <si>
    <t>Felhalmozási célú támogatások államháztartáson belülről</t>
  </si>
  <si>
    <t>B21</t>
  </si>
  <si>
    <t>Felhalmozási célú önkormányzati támogatás</t>
  </si>
  <si>
    <t>B25</t>
  </si>
  <si>
    <t>Egyéb felhalmozási célú támogatások bevételei államháztartáson belülről</t>
  </si>
  <si>
    <t>Települési önkormányzatok egyes köznevelési feladatainak tám.</t>
  </si>
  <si>
    <t>Felhalmozási célú támogatások államháztartáson belülről összesen</t>
  </si>
  <si>
    <t>B3</t>
  </si>
  <si>
    <t>B35</t>
  </si>
  <si>
    <t>B351</t>
  </si>
  <si>
    <t>Értékesítési és forgalmi adók ( helyi iparűzési adó)</t>
  </si>
  <si>
    <t xml:space="preserve">Termékek és szolgáltatások adói </t>
  </si>
  <si>
    <t>B354</t>
  </si>
  <si>
    <t>Gépjárműadók</t>
  </si>
  <si>
    <t>B355</t>
  </si>
  <si>
    <t>Egyéb áruhasználati és szolgáltatási adók (talajterhelési díj)</t>
  </si>
  <si>
    <t>B36</t>
  </si>
  <si>
    <t>Közhatalmi bevételek összesen</t>
  </si>
  <si>
    <t>Egyéb közhatalmi bevételek</t>
  </si>
  <si>
    <t>B4</t>
  </si>
  <si>
    <t>B5</t>
  </si>
  <si>
    <t>B52</t>
  </si>
  <si>
    <t>Ingatlanok értékesítése</t>
  </si>
  <si>
    <t>Felhalmozási bevételek összesen</t>
  </si>
  <si>
    <t>B6</t>
  </si>
  <si>
    <t>B7</t>
  </si>
  <si>
    <t>B72</t>
  </si>
  <si>
    <t>Felhalmozási célú visszatérítendő támogatások, kölcsönök visszatérülése államháztartáson kívülről</t>
  </si>
  <si>
    <t>B73</t>
  </si>
  <si>
    <t>Egyéb felhalmozási célú átvett pénzeszközök</t>
  </si>
  <si>
    <t>Felhalmozási célú átvett pénzeszközök összesen</t>
  </si>
  <si>
    <t>B1-B7</t>
  </si>
  <si>
    <t>B8</t>
  </si>
  <si>
    <t>B81</t>
  </si>
  <si>
    <t>Belföldi finanszírozás bevételei</t>
  </si>
  <si>
    <t>B811</t>
  </si>
  <si>
    <t xml:space="preserve"> Hitel-, kölcsönfelvétel államháztartáson kívülről</t>
  </si>
  <si>
    <t>B813</t>
  </si>
  <si>
    <t>Finanszírozási bevételek összesen</t>
  </si>
  <si>
    <t>BEVÉTELEK ÖSSZESEN:</t>
  </si>
  <si>
    <t xml:space="preserve"> Finanszírozási bevételek</t>
  </si>
  <si>
    <t>1.) Működési célú támogatások államháztartáson belülről</t>
  </si>
  <si>
    <t xml:space="preserve">1.) Felhalmozási célú támogatások államháztartáson belülről </t>
  </si>
  <si>
    <t>2.) Közhatalmi bevételek</t>
  </si>
  <si>
    <t>3.) Működési bevételek</t>
  </si>
  <si>
    <t>3.) Felhalmozási bevételek</t>
  </si>
  <si>
    <t>4.) Felhalmozási célú átvett pénzeszközök</t>
  </si>
  <si>
    <t>4.) Működési célú átvett pénzeszközök</t>
  </si>
  <si>
    <t>5.) Előző év költségvetési maradványának igénybevétele</t>
  </si>
  <si>
    <t>6.) Előző év vállalkozási maradványának igénybevétele</t>
  </si>
  <si>
    <t>1.) Egyéb  felhalmozási célú kiadások</t>
  </si>
  <si>
    <t xml:space="preserve"> Finanszírozási kiadások</t>
  </si>
  <si>
    <t>5.)Fejlesztési hitel kamata</t>
  </si>
  <si>
    <t>Egyéb felhalmozási célú kiadások</t>
  </si>
  <si>
    <t>K1-K8</t>
  </si>
  <si>
    <t>Költségvetési kiadások összesen:</t>
  </si>
  <si>
    <t>K9</t>
  </si>
  <si>
    <t>Városi Középiskolai Kollégium Kaffka Margit Tagkollégium udvari pavilon építés és udvarrendezés</t>
  </si>
  <si>
    <t>Csillagközi óvoda udvar parkosítás, füvesítés</t>
  </si>
  <si>
    <t>Nemzetőr u. vége (Cinke park alatti) rendezetlen tér parkosítása</t>
  </si>
  <si>
    <t>Kis utcai óvoda kazánház ablakcsere</t>
  </si>
  <si>
    <t>Kodály úti tagóvodában vizesblokk felújítás</t>
  </si>
  <si>
    <t>4./7</t>
  </si>
  <si>
    <t>4./8</t>
  </si>
  <si>
    <t>4./9</t>
  </si>
  <si>
    <t>4./10</t>
  </si>
  <si>
    <t>4./11</t>
  </si>
  <si>
    <t>4./12</t>
  </si>
  <si>
    <t>4./13</t>
  </si>
  <si>
    <t>5./1</t>
  </si>
  <si>
    <t>6.</t>
  </si>
  <si>
    <t>6./1</t>
  </si>
  <si>
    <t>5.</t>
  </si>
  <si>
    <t>6./2</t>
  </si>
  <si>
    <t>6./3</t>
  </si>
  <si>
    <t>7.</t>
  </si>
  <si>
    <t>Hulladékgazdálkodás</t>
  </si>
  <si>
    <t>8.</t>
  </si>
  <si>
    <t>Köztemető</t>
  </si>
  <si>
    <t>9.</t>
  </si>
  <si>
    <t>9./1</t>
  </si>
  <si>
    <t>9./2</t>
  </si>
  <si>
    <t>9./3</t>
  </si>
  <si>
    <t>Fejlesztési kiadás</t>
  </si>
  <si>
    <t>Egyéb feladatok</t>
  </si>
  <si>
    <t>9./4</t>
  </si>
  <si>
    <t>A *-gal jelzett felújítási feladatok megvalósításához hitel felvétel szükséges</t>
  </si>
  <si>
    <t>Városépítészeti  feladatok</t>
  </si>
  <si>
    <t>6./4</t>
  </si>
  <si>
    <t xml:space="preserve"> - fa értékesítés bevétele</t>
  </si>
  <si>
    <t xml:space="preserve">Bazitai templom felújítása </t>
  </si>
  <si>
    <t>Landorhegyi Idősek Klubja tetőcsere</t>
  </si>
  <si>
    <t>Orvosi rendelők felújítása</t>
  </si>
  <si>
    <t>Bölcsődék felújítása</t>
  </si>
  <si>
    <t>Űrhajós úti óvoda udvari létesítmények és belső vizesblokk felújítás</t>
  </si>
  <si>
    <t>Béke ligeti Iskola felújítás</t>
  </si>
  <si>
    <t>Kölcsey Gimnázium TÁMOP pályázatához nem támogatott munkarész költsége (labor lapostető szigetelés munkái)</t>
  </si>
  <si>
    <t>Zalaegerszegi VMK DK-i szárny belső átalakítása (Családsegítő Szolgálat és Gyermekjóléti Központ)</t>
  </si>
  <si>
    <t>Landorhegyi u. 8. szám alatti gyermekorvosi rendelők felújítása</t>
  </si>
  <si>
    <t>Landorhegyi u. 20. mögötti parkoló felújítása</t>
  </si>
  <si>
    <t>Hegyalja u. 11. mögötti terület parkoló bővítés, parkosítás</t>
  </si>
  <si>
    <t>Hegyalja u. 11-13. parkoló burkolatfelújítás, Hegyalja  u. 9-11. között betonlapos gyalogjárda felújítás</t>
  </si>
  <si>
    <t>Izsák I. Általános Iskola eszközfejlesztés</t>
  </si>
  <si>
    <t>Gébárti kézművesház tűzivízellátása</t>
  </si>
  <si>
    <t>Labdarúgó Stadionban fejlesztési munkák</t>
  </si>
  <si>
    <t xml:space="preserve"> - Óvadékok és garanciális visszatartások elszámolása</t>
  </si>
  <si>
    <t>Elmaradt bevételek pótlására</t>
  </si>
  <si>
    <t xml:space="preserve"> -Ivóvízminőség javítása KEOP pályázathoz önrész (KEOP-7.1.3.0/09-201-0017 )</t>
  </si>
  <si>
    <t>047410 Ár- és belvízvédelemmel összefüggő tevékenység</t>
  </si>
  <si>
    <t>063020 Víztermelés, -kezelés, -ellátás</t>
  </si>
  <si>
    <t>051030 Nem veszélyes hulladék vegyes begyűjtése, szállítása, átrakása</t>
  </si>
  <si>
    <t>066020 Város-, községgazdálkodási egyéb szolgáltatás</t>
  </si>
  <si>
    <t>066010 Zöldterület-kezelés</t>
  </si>
  <si>
    <t>081061 Szabadidős park, fürdő és strandszolgáltatás</t>
  </si>
  <si>
    <t>013320 Köztemető-fenntartás és működtetés</t>
  </si>
  <si>
    <t>064010 Közvilágítás</t>
  </si>
  <si>
    <t>042180 Állat-egészségügy</t>
  </si>
  <si>
    <t>052020 Szennyvíz gyűjtése, tisztítása, elhelyezése</t>
  </si>
  <si>
    <t>084031 Civil szervezetek működési támogatása</t>
  </si>
  <si>
    <t>031030 Közterület rendjének fenntartása</t>
  </si>
  <si>
    <t>018020 Központi költségvetési befizetések</t>
  </si>
  <si>
    <t>041140 Területfejlesztés igazgatása</t>
  </si>
  <si>
    <t>083030 Egyéb kiadói tevékenység</t>
  </si>
  <si>
    <t>011140 Országos és helyi nemzetiségi önkorm.igazg. tev.</t>
  </si>
  <si>
    <t>107013 Hajléktalanok átmeneti ellátása</t>
  </si>
  <si>
    <t>083050 Televízió-műsor szolgáltatása és támogatása</t>
  </si>
  <si>
    <t>045140 Városi és elővárosi közúti személyszállítás</t>
  </si>
  <si>
    <t>900060 Forgatási és befektetési célú finanszírozási műveletek</t>
  </si>
  <si>
    <t>105020 Foglalkoztatást előlsegítő képz. és egyéb támog.</t>
  </si>
  <si>
    <t>900070 Fejezeti és általános tartalékok elszámolása</t>
  </si>
  <si>
    <t>Zalaegerszegi Gazdasági Ellátó Szervezet</t>
  </si>
  <si>
    <t>Ebergényben sportpálya és pihenőpark kialakítása</t>
  </si>
  <si>
    <t>6.1.a/2</t>
  </si>
  <si>
    <t>6.b/2</t>
  </si>
  <si>
    <t>Rendezési tervek</t>
  </si>
  <si>
    <t>6.b/3</t>
  </si>
  <si>
    <t>6.b/4</t>
  </si>
  <si>
    <t>6.b/5</t>
  </si>
  <si>
    <t>6.b/6</t>
  </si>
  <si>
    <t>Belvárosrehabilitáció II.ütemének előkészítő munkái</t>
  </si>
  <si>
    <t xml:space="preserve">Körzeti megbízotti iroda céljára ingatlan vásárlás </t>
  </si>
  <si>
    <t>1.a./2</t>
  </si>
  <si>
    <t>1.a./3</t>
  </si>
  <si>
    <t>041233 Hosszabb időtartamú közfoglalkoztatás</t>
  </si>
  <si>
    <t>094260 Hallgatói és oktatói ösztöndíjak, egyéb juttatások</t>
  </si>
  <si>
    <t>032020 Tűz- és katasztrófavéd. Tevékenység</t>
  </si>
  <si>
    <t>098010 Oktatás igazgatása</t>
  </si>
  <si>
    <t>013350 Az önkorm. vagyonnal való gazd. kapcs. Feladatok</t>
  </si>
  <si>
    <t>084070 A fiatalok társ. integrációját seg. struktúra, szakmai szolgált. fejlesztése, működtetése</t>
  </si>
  <si>
    <t>074052 Kábítószer megelőzés programja</t>
  </si>
  <si>
    <t>082091 Közművelődés - közösségi és társ. részvétel fejleszt.</t>
  </si>
  <si>
    <t>082030 Művészeti tevékenység</t>
  </si>
  <si>
    <t>074040 Fertőző megbetegedések megelőzése, járványügyi ellát.</t>
  </si>
  <si>
    <t>109010 Szociális szolgáltatás igazgatása</t>
  </si>
  <si>
    <t>045120 Út, autópálya építése</t>
  </si>
  <si>
    <t>045170 Parkoló, garázs üzemeltetése, fenntartása</t>
  </si>
  <si>
    <t>106010 Lakóing. szoc. célú bérbeadása, üzemeltetése</t>
  </si>
  <si>
    <t>013350 Önk-i vagyonnal való gazdálkodáshoz kapcs.fa.</t>
  </si>
  <si>
    <t>031060 Bűnmegelőzés</t>
  </si>
  <si>
    <t>011320 Nemzetközi szervezetekben való részvétel</t>
  </si>
  <si>
    <t>Építési telek kialakítása, közművesítése (Flórián u. , Andráshida ) Lakásalap</t>
  </si>
  <si>
    <t>Szociális rászorultság alapján és egyéb biztosítandó támogatások  a költségvetési szerveknél</t>
  </si>
  <si>
    <t>Felújítási cél megnevezése</t>
  </si>
  <si>
    <t>Felújítási célú kiad.</t>
  </si>
  <si>
    <t xml:space="preserve">     Költségvetési műk. bevételei összesen:</t>
  </si>
  <si>
    <t xml:space="preserve">     Költségvetési felhalm. bevételei összesen:</t>
  </si>
  <si>
    <t xml:space="preserve">      Költségvetési felh.célú kiadásai összesen:</t>
  </si>
  <si>
    <t>Jogi Igazgatási feladatok összesen:</t>
  </si>
  <si>
    <t>Szennyvízberuházások és csapadékcsatornák</t>
  </si>
  <si>
    <t>1./4</t>
  </si>
  <si>
    <t>1./5</t>
  </si>
  <si>
    <t xml:space="preserve"> - operatív program (2014-2020.) előkészítése</t>
  </si>
  <si>
    <t xml:space="preserve"> - hatósági, szakhatósági eljárásokkal kapcs.kiadások</t>
  </si>
  <si>
    <t xml:space="preserve"> - ingatlanok jogi helyzetének rendezése, művelési ág változtatása</t>
  </si>
  <si>
    <t xml:space="preserve"> - egyéb városépítészeti feladatok</t>
  </si>
  <si>
    <t xml:space="preserve"> - új projektjavaslatok előkészítésével kapcs.kiadások</t>
  </si>
  <si>
    <t>Fizikai dolgozó</t>
  </si>
  <si>
    <t xml:space="preserve">   Költségvetési műk. kiadásai összesen:</t>
  </si>
  <si>
    <t>Városépítészeti feladatok</t>
  </si>
  <si>
    <t>Feladat megnevezése</t>
  </si>
  <si>
    <t>Beruházási célú kiadás</t>
  </si>
  <si>
    <t>Városépítészeti feladatok összesen:</t>
  </si>
  <si>
    <t>Cím  szám</t>
  </si>
  <si>
    <t>Alcím-          szám</t>
  </si>
  <si>
    <t>Sor-                     szám</t>
  </si>
  <si>
    <t>Felújítás összesen</t>
  </si>
  <si>
    <t xml:space="preserve"> - alapfokú versenyek rendezése és  támogatása</t>
  </si>
  <si>
    <t xml:space="preserve"> - szabadidősport klubok támogatása</t>
  </si>
  <si>
    <t xml:space="preserve"> - futófolyosó üzemeltetése</t>
  </si>
  <si>
    <t xml:space="preserve">  - Andráshidai LSC sportlétesítmény üzemeltetés tám.</t>
  </si>
  <si>
    <t>Lakásalap</t>
  </si>
  <si>
    <t>Természettudományos oktatás eszközrendszerének és módszertanának fejlesztése a Kölcsey F. Gimnáziumban TÁMOP 3.1.3.-11/2-2012-0023</t>
  </si>
  <si>
    <t>100 %-os támogatottságú pályázatok előkészítésének költségei</t>
  </si>
  <si>
    <t>Városrehabilitáció II. ütem folytatása Lakásalapból</t>
  </si>
  <si>
    <t>önkormányzat hitel állománya</t>
  </si>
  <si>
    <t>6./5</t>
  </si>
  <si>
    <t>A lakáscélú állami támogatásokról szóló külön jogszabály szerinti pályázati önrész finanszírozása (egycsatornás gyűjtőkémények felújítása) Lakásalapból</t>
  </si>
  <si>
    <t>Állami támogatások  évközi visszafizetésére</t>
  </si>
  <si>
    <t xml:space="preserve">Év közben jelentkező feladatokra </t>
  </si>
  <si>
    <t>Önkormányzat kiadásai összesen</t>
  </si>
  <si>
    <t xml:space="preserve"> - Építéshatósági feladatok</t>
  </si>
  <si>
    <t xml:space="preserve"> - Ökováros  egyéb kiadások</t>
  </si>
  <si>
    <t xml:space="preserve"> - Városfejlesztő Zrt. jutalék</t>
  </si>
  <si>
    <t xml:space="preserve"> - épületek energiatanusítványának elkészítése</t>
  </si>
  <si>
    <t xml:space="preserve"> - önk. ingatlanok állagmegóvása,vagyonvédelme</t>
  </si>
  <si>
    <t xml:space="preserve"> - Hadkieg Parancsnokság ingatlan fenntartási költségei</t>
  </si>
  <si>
    <t xml:space="preserve"> - volt vasúti ingatlanok működési kiadásai</t>
  </si>
  <si>
    <t xml:space="preserve"> - egyéb állami ingatlanok igénylésével kapcsolatos kiadások</t>
  </si>
  <si>
    <t>1.a/5</t>
  </si>
  <si>
    <t>1.a/6</t>
  </si>
  <si>
    <t>4.a./4</t>
  </si>
  <si>
    <t>4.a./5</t>
  </si>
  <si>
    <t>4.a./6</t>
  </si>
  <si>
    <t>Botfy L. u. Vizslaparki u. - Mártírok u. közötti szakaszon csapadékcsatorna felúj.</t>
  </si>
  <si>
    <t xml:space="preserve">  - jégidő</t>
  </si>
  <si>
    <t xml:space="preserve"> - Vorhotai LSC sportlétesítmény üzemeltetés támogatása</t>
  </si>
  <si>
    <t xml:space="preserve"> - Mányoki Attila Ocean's Seven sorozat</t>
  </si>
  <si>
    <t xml:space="preserve"> - ZTE Röplabda Klub támogatása</t>
  </si>
  <si>
    <t xml:space="preserve"> - volt laktanyával kapcsolatos kiadások</t>
  </si>
  <si>
    <t xml:space="preserve"> - térinformatika rendszer működtetése</t>
  </si>
  <si>
    <t xml:space="preserve"> - 2013. évi normatív hozzájárulás elszámolása </t>
  </si>
  <si>
    <t>4.a./7</t>
  </si>
  <si>
    <t>4.a./8</t>
  </si>
  <si>
    <t>4.a./9</t>
  </si>
  <si>
    <t>4.a./10</t>
  </si>
  <si>
    <t>4.a./11</t>
  </si>
  <si>
    <t>4.a./12</t>
  </si>
  <si>
    <t>Magánerős útépítések támogatása</t>
  </si>
  <si>
    <t>4.a/4</t>
  </si>
  <si>
    <t>4.a/5</t>
  </si>
  <si>
    <t>4.a/6</t>
  </si>
  <si>
    <t>4.a/7</t>
  </si>
  <si>
    <t xml:space="preserve">Vorhotán Újhegyi u. járdaépítés és kapcsolódó árok zárttá tétele </t>
  </si>
  <si>
    <t>Csácsi hegy nyomásövezetek összekötése</t>
  </si>
  <si>
    <t>105010 Munkanélküli aktív korúak ellátásai</t>
  </si>
  <si>
    <t>106020 Lakásfenntartással, lakhatással összefüggő ellátások</t>
  </si>
  <si>
    <t>061030 Lakáshoz jutást segítő támogatások</t>
  </si>
  <si>
    <t>107054 Családsegítés</t>
  </si>
  <si>
    <t>011130 Önkorm. és önkorm. hivatal. jogalk. és ált.ig.tev.</t>
  </si>
  <si>
    <t>084031 Civil szervezetek műk. Támogatása</t>
  </si>
  <si>
    <t>074054 Komplex egészségfejl., prevenciós programok</t>
  </si>
  <si>
    <t>101211 Fogyatékosággal élők tartós bentlakásos ellátása</t>
  </si>
  <si>
    <t>102021 Időskorúak, demens betegek tartós bentlak. ellát.</t>
  </si>
  <si>
    <t>072112 Háziorvosi ügyeleti ellátás</t>
  </si>
  <si>
    <t>072311 Fogorvosi alapellátás</t>
  </si>
  <si>
    <t>081041 Versenysport- és utánpótlás-nevelési tevékenység</t>
  </si>
  <si>
    <t>081043 Iskolai, diáksport-tevékenység és támogatása</t>
  </si>
  <si>
    <t>081045 Szabadidősport-tevékenység és támogatása</t>
  </si>
  <si>
    <t>081030 Sportlétes., edzőtáborok működtetése és fejlesztése</t>
  </si>
  <si>
    <t>O66010</t>
  </si>
  <si>
    <t>013350 Önk-i vagyonnal való gazdálkodáshoz kapcs. fa.</t>
  </si>
  <si>
    <t>B16</t>
  </si>
  <si>
    <t>Egyéb működési célú támogatások bevételei államháztartáson belülről</t>
  </si>
  <si>
    <t xml:space="preserve">6.) Hitel- és kölcsön törlesztések,lízing </t>
  </si>
  <si>
    <t>Állomány 2014.12.31</t>
  </si>
  <si>
    <t>5.) Működési bevételek (áfa visszaigénylés)</t>
  </si>
  <si>
    <t>6.) Hitel felvétel</t>
  </si>
  <si>
    <t>7.) Előző év költségvetési maradványának igénybevétele</t>
  </si>
  <si>
    <t>Kertváros  út-, járdaburkolat felújítási munkák</t>
  </si>
  <si>
    <t>Radnóti u. óvoda kerítés felújítása</t>
  </si>
  <si>
    <t xml:space="preserve"> - Zalaegerszegi Honvédklub támogatása</t>
  </si>
  <si>
    <t>5./1.</t>
  </si>
  <si>
    <t xml:space="preserve">Bekeháza temető környezetének rendezése, temetőt megközelítő út kialakítása </t>
  </si>
  <si>
    <t>8./3</t>
  </si>
  <si>
    <t>8./4</t>
  </si>
  <si>
    <t>Hegybíró u. aszfaltozása</t>
  </si>
  <si>
    <t>Belvárosi járdák felújítása</t>
  </si>
  <si>
    <t>Járdafelújítások Páterdombon</t>
  </si>
  <si>
    <t>Zárda u. - Alsójánkahegyi u. közötti tereplécső felújítása</t>
  </si>
  <si>
    <t>Beszerzésekhez szükséges egyszerű műszaki tervdokumentációk elkészítése, műszaki ellenőrzések és egyéb hatósági díjak</t>
  </si>
  <si>
    <t>Információs táblák pótlása, kihelyezése</t>
  </si>
  <si>
    <t>*</t>
  </si>
  <si>
    <t>Épületenergetikai korszerűsítések a zalaegerszegi közintézményekben (KEOP-5.5.0/A) - önrész, előkészítés</t>
  </si>
  <si>
    <t xml:space="preserve">            Óvodák</t>
  </si>
  <si>
    <t>1./1/1.</t>
  </si>
  <si>
    <t>1./1/2.</t>
  </si>
  <si>
    <t>1./1/3.</t>
  </si>
  <si>
    <t>1./1/4.</t>
  </si>
  <si>
    <t>1./1/5.</t>
  </si>
  <si>
    <t>1./1/6.</t>
  </si>
  <si>
    <t>1./1/7.</t>
  </si>
  <si>
    <t>1./1/8.</t>
  </si>
  <si>
    <t>1./1/9.</t>
  </si>
  <si>
    <t>1./2.</t>
  </si>
  <si>
    <t xml:space="preserve">             Általános iskolák</t>
  </si>
  <si>
    <t>1./2/1..</t>
  </si>
  <si>
    <t>1./2/2..</t>
  </si>
  <si>
    <t>1./2/3..</t>
  </si>
  <si>
    <t>1./2/4.</t>
  </si>
  <si>
    <t>1./2/5..</t>
  </si>
  <si>
    <t>1./2/6.</t>
  </si>
  <si>
    <t>1./3/1.</t>
  </si>
  <si>
    <t>1./3/2.</t>
  </si>
  <si>
    <t xml:space="preserve">2. </t>
  </si>
  <si>
    <t>2./1.</t>
  </si>
  <si>
    <t>2./2.</t>
  </si>
  <si>
    <t xml:space="preserve">Hevesi Sándor Színház ponthúzó hajtásrendszerének felújítása  </t>
  </si>
  <si>
    <t>3./1.</t>
  </si>
  <si>
    <t>3./1/1.</t>
  </si>
  <si>
    <t>3./2.</t>
  </si>
  <si>
    <t>3./2/1.</t>
  </si>
  <si>
    <t>3./2/2.</t>
  </si>
  <si>
    <t>3./2/3.</t>
  </si>
  <si>
    <t>3./2/4.</t>
  </si>
  <si>
    <t>3./3.</t>
  </si>
  <si>
    <t>3./3/1.</t>
  </si>
  <si>
    <t xml:space="preserve">5. </t>
  </si>
  <si>
    <t>Sportcsarnokban ZTE KK Kft. TAO-s pályázatához kapcsolódó felújítási feladatokhoz</t>
  </si>
  <si>
    <t>Vagyonkezelésre a Zalavíznek nem átadott szennyvízcsatornák felúj.</t>
  </si>
  <si>
    <t>Mátyás k. u. csapadékvízelvezetés  és útfelújítás</t>
  </si>
  <si>
    <t>Mártírok u. burkolatfelújítás, csapadékcsatorna építés</t>
  </si>
  <si>
    <t>Kovács Károly térről buszállomás felé az átkötő járda szélesítése és felújítása</t>
  </si>
  <si>
    <t>Bozsok Hegy út felújítása</t>
  </si>
  <si>
    <t>Mozgássérültek Zm.Egyesülete részére pe. átad. a Gébárti faház felúj.</t>
  </si>
  <si>
    <r>
      <t xml:space="preserve">            </t>
    </r>
    <r>
      <rPr>
        <i/>
        <sz val="9"/>
        <rFont val="Times New Roman"/>
        <family val="1"/>
      </rPr>
      <t>Középiskolák</t>
    </r>
  </si>
  <si>
    <r>
      <t xml:space="preserve">         </t>
    </r>
    <r>
      <rPr>
        <i/>
        <sz val="9"/>
        <rFont val="Times New Roman"/>
        <family val="1"/>
      </rPr>
      <t>Orvosi rendelők</t>
    </r>
  </si>
  <si>
    <r>
      <t xml:space="preserve">   </t>
    </r>
    <r>
      <rPr>
        <i/>
        <sz val="9"/>
        <rFont val="Times New Roman"/>
        <family val="1"/>
      </rPr>
      <t xml:space="preserve">       Bölcsődék</t>
    </r>
  </si>
  <si>
    <r>
      <t xml:space="preserve">       </t>
    </r>
    <r>
      <rPr>
        <i/>
        <sz val="10"/>
        <rFont val="Times New Roman"/>
        <family val="1"/>
      </rPr>
      <t xml:space="preserve"> Szociális feladatok</t>
    </r>
  </si>
  <si>
    <t>Önkormányzat által nyújtott lakástámogatás első lakáshoz jutók részére  (Lakásalapból)</t>
  </si>
  <si>
    <t>1./2/1.</t>
  </si>
  <si>
    <t xml:space="preserve">4. </t>
  </si>
  <si>
    <t>Sportfeladatok</t>
  </si>
  <si>
    <t>4./1.</t>
  </si>
  <si>
    <t>4./2.</t>
  </si>
  <si>
    <t>4./3.</t>
  </si>
  <si>
    <t>4./4.</t>
  </si>
  <si>
    <t>4./5.</t>
  </si>
  <si>
    <t>5.a/4</t>
  </si>
  <si>
    <t>5.a/5</t>
  </si>
  <si>
    <t>Ivóvízminőség javítása KEOP pályázathoz önrész Önerőalapból (KEOP-7.1.3.0/09-201-0017 )</t>
  </si>
  <si>
    <t>Szent L. u.-i közösségi ház közműhálózat leválasztása</t>
  </si>
  <si>
    <t>Becsali u. gyalogos átkelőhely létesítése</t>
  </si>
  <si>
    <t>Bozsoki horhos partfal stabilizációk</t>
  </si>
  <si>
    <t>Petőfi S. Iskola mögötti tömbbelsőben parkolóépítés</t>
  </si>
  <si>
    <t>Buslakpuszta hulladékdepó bővítéséhez területszerzés, kisajátítás</t>
  </si>
  <si>
    <t>6.b/14</t>
  </si>
  <si>
    <t>Épületenergetikai korszerűsítések megújuló energiaforrás hasznosításával a zalaegerszegi közintézményekben (KEOP-5.5.0/B) - önrész, előkészítés</t>
  </si>
  <si>
    <t>Vízjogi engedélyezési eljárások díja</t>
  </si>
  <si>
    <t>Beruházásokhoz kapcsolódó csatornadiagnosztikák költsége</t>
  </si>
  <si>
    <t>Ivóvízvezeték építési munkák</t>
  </si>
  <si>
    <t>Fenyő utca útépítés, közműfejlesztés, bővítés</t>
  </si>
  <si>
    <t>Kölcsey u. északi szakasz átépítése</t>
  </si>
  <si>
    <t>Október 6. tér - Batthyány u. csomópont jelzőlámpásítása</t>
  </si>
  <si>
    <t>Pályázati műszaki előkészítés</t>
  </si>
  <si>
    <t>Egyéb területrendezések, bontások</t>
  </si>
  <si>
    <t xml:space="preserve">Vasútfejlesztés </t>
  </si>
  <si>
    <t>6./8</t>
  </si>
  <si>
    <t>6./9</t>
  </si>
  <si>
    <t>6./10</t>
  </si>
  <si>
    <t>6./12</t>
  </si>
  <si>
    <t>6./14</t>
  </si>
  <si>
    <t>6./15</t>
  </si>
  <si>
    <t>6./16</t>
  </si>
  <si>
    <t>6./17</t>
  </si>
  <si>
    <t>6./18</t>
  </si>
  <si>
    <t>Raiffeisen Bank Zrt.</t>
  </si>
  <si>
    <t>2035.</t>
  </si>
  <si>
    <t>Vagyonkezelési feladatok összesen:</t>
  </si>
  <si>
    <t>2./1</t>
  </si>
  <si>
    <t>Városüzemelési feladatok összesen:</t>
  </si>
  <si>
    <t>Előtervezések</t>
  </si>
  <si>
    <t>4.a/1</t>
  </si>
  <si>
    <t>4.a/2</t>
  </si>
  <si>
    <t>4.a/3</t>
  </si>
  <si>
    <t>9.a/1</t>
  </si>
  <si>
    <t>1.a/1</t>
  </si>
  <si>
    <t>1.a/2</t>
  </si>
  <si>
    <t>1.a/3</t>
  </si>
  <si>
    <t>1.a/4</t>
  </si>
  <si>
    <t xml:space="preserve"> - Betlehem működtetése</t>
  </si>
  <si>
    <t>Felhalmozás</t>
  </si>
  <si>
    <t>Sport feladatok</t>
  </si>
  <si>
    <t xml:space="preserve"> - verseny-és élsport</t>
  </si>
  <si>
    <t xml:space="preserve"> - Zeg. Jégsportjáért Alapítvány támogatása</t>
  </si>
  <si>
    <t xml:space="preserve"> - DO rendezvények lebonyolítása</t>
  </si>
  <si>
    <t>Polgármesteri Iroda működési kiadásai összesen:</t>
  </si>
  <si>
    <t>Polgármesteri iroda kiadásai</t>
  </si>
  <si>
    <t>Általános tartalék</t>
  </si>
  <si>
    <t>Teljesítmény ösztönző keret</t>
  </si>
  <si>
    <t>Jogi és közig.feladatok</t>
  </si>
  <si>
    <t xml:space="preserve"> - közfoglalkoztatás</t>
  </si>
  <si>
    <t>066010 Zöldterület kezelés</t>
  </si>
  <si>
    <t>066020 Város-, községgazdálkodási egyéb szolgáltatások</t>
  </si>
  <si>
    <t>045120 Út, autópálya építés</t>
  </si>
  <si>
    <t>052020  Szennyvíz gyűjtése, tisztítása, elhelyezése</t>
  </si>
  <si>
    <t xml:space="preserve"> 045120 Út, autópálya építés</t>
  </si>
  <si>
    <t>051040 Nem veszélyes hulladék kezelése, ártalmatlanítása</t>
  </si>
  <si>
    <t>018010 Önkormányzatok elszámolásai a központi költségvetéssel</t>
  </si>
  <si>
    <t>A *-gal jelzett fejlesztési feladatok megvalósításához hitelfelvétel szükséges</t>
  </si>
  <si>
    <t xml:space="preserve"> - Deák F. Megyei és Városi Könyvtár részére  megelőlegezett ált.forgalmi adó visszafizetése</t>
  </si>
  <si>
    <t xml:space="preserve"> - ZG3 kút üzemeltetése</t>
  </si>
  <si>
    <t xml:space="preserve"> - önk.múködésének általános támogatása</t>
  </si>
  <si>
    <t xml:space="preserve"> - közterületfelügyeleti bírság</t>
  </si>
  <si>
    <t xml:space="preserve"> - ZALAVÍZ Zrt.előző évről áthúzódó befizetése</t>
  </si>
  <si>
    <t xml:space="preserve">      - ingatlanértékesítés Zalaco Zrt. 130/2013. kgy.hat.</t>
  </si>
  <si>
    <t xml:space="preserve"> -Ingatlan értékesítés bev. É-i ipari park és áfa visszaigénylés</t>
  </si>
  <si>
    <t xml:space="preserve"> - 2013. évi pénzmaradvány igénybevétele áthúzódó feladatokhoz</t>
  </si>
  <si>
    <t xml:space="preserve"> - Fejlesztési célú hitel felvétel  2014. évi célokhoz</t>
  </si>
  <si>
    <t xml:space="preserve"> -  Vis maior pályázat</t>
  </si>
  <si>
    <t>Közvilágítás energiatakarékos átalakítása Zalaegerszegen I. ütem KEOP-5.5.0/A/12-2013-0191 pályázati pe.</t>
  </si>
  <si>
    <t>Közvilágítás energiatakarékos átalakítása Zalaegerszegen II. ütem KEOP-5.5.0/A/12-2013-0182 pályázati pe.</t>
  </si>
  <si>
    <t>Landorhegyi óvoda ( Űrhajós u. 2. ) gyermek vizesblokk felújítás II. ütem</t>
  </si>
  <si>
    <t>2013. évről áthúzódó feladatok</t>
  </si>
  <si>
    <t>Páterdombi LSC sportpálya igényének megoldása</t>
  </si>
  <si>
    <t>Zalaegerszeg, 4815/6 hrsz-ú ingatlan vízbekötésének és szennyvízelvezetésének, valamint az Alkotmány utca 2, 4 és 6. sz. ingatlanok szennyvízelvezetésének megvalósítása</t>
  </si>
  <si>
    <t>Landorhegyi út 1-3-5. szennyvízcsatorna rekonstrukció, csapadékcsatorna leválasztás</t>
  </si>
  <si>
    <t>Zalaegerszeg, Aquacity élményfürdő területén belül található csapadékvíz-elvezető csatorna bővítése</t>
  </si>
  <si>
    <t>Béke utca szennyvízcsatorna rekonstrukció és járulékos munkák</t>
  </si>
  <si>
    <t xml:space="preserve">Posta út csatornázása </t>
  </si>
  <si>
    <t>Csapadékvíz-elvezetések, vízrendezések tervezése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</si>
  <si>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</si>
  <si>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</si>
  <si>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</si>
  <si>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</si>
  <si>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</si>
  <si>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</si>
  <si>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</si>
  <si>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</si>
  <si>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</si>
  <si>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</si>
  <si>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</si>
  <si>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</si>
  <si>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Önkormányzat bevételei</t>
  </si>
  <si>
    <t>Önkormányzat által irányított költségvetési szervek</t>
  </si>
  <si>
    <t>Önkormányzat bevételei mindösszesen:</t>
  </si>
  <si>
    <t>Önkormányzat  működési kiadásai</t>
  </si>
  <si>
    <t>Önkormányzat felhalmozási kiadási</t>
  </si>
  <si>
    <t>Önkormányzat költségvetési szervek nélkül</t>
  </si>
  <si>
    <t>Zalaegerszegi Eü.  Alapellátás</t>
  </si>
  <si>
    <t>Zegi Belvárosi I. számú Óvoda</t>
  </si>
  <si>
    <t>Zegi Belvárosi II. számú Óvoda</t>
  </si>
  <si>
    <t>Zalaegerszegi Városrészek MKK</t>
  </si>
  <si>
    <t>Keresztury Dezső VMK</t>
  </si>
  <si>
    <t>Önkormányzat kiadásai mindösszesen:</t>
  </si>
  <si>
    <t>Zalaegerszeg, Rákóczi Ferenc utca Arany János utca és Mártírok útja között lévő szakaszán üzemelő csapadékcsatorna és ivóvízvezeték rekonstrukciója</t>
  </si>
  <si>
    <t>Budai völgy vízellátása I. ütem befejező munkái</t>
  </si>
  <si>
    <t>Ságodi mélyfúrású kutakhoz kapcsolódó feladatok</t>
  </si>
  <si>
    <t>Zalaegerszeg, Déryné utcai gyalogátkelőhely létesítése</t>
  </si>
  <si>
    <t xml:space="preserve">Újtemető parkoló bővítés </t>
  </si>
  <si>
    <t>Göcseji u.- Závoczki I.u. jobbra kanyarodó sáv kialakítási munkái pályázati önrész</t>
  </si>
  <si>
    <t>Öveges ÁMK területén gázvezeték kiváltása</t>
  </si>
  <si>
    <t>Dísz tér átépítéséhez kapcsolódó építési munkák</t>
  </si>
  <si>
    <t xml:space="preserve">Zalaegerszeg, 5530/12 hrsz területén üzemelő hírközlési földkábel teljeskörű kiváltása </t>
  </si>
  <si>
    <t>Beruházásokhoz kapcsolódó egyéb feladatok ( tervezés, eljárási díjak)</t>
  </si>
  <si>
    <t>Tehermentesítő út II. ütem építéséhez kapcsolódó közműépítések</t>
  </si>
  <si>
    <t>Kosztolányi u. kétirányúsítása</t>
  </si>
  <si>
    <t>Városrehab. II. ütem kapcsolódó közműépítések</t>
  </si>
  <si>
    <t>Landorhegyi u. 8. sz. alatti orvosi rendelő parkoló kialakítási munkái</t>
  </si>
  <si>
    <t>Béke utca felújításának előkészítése, tervezése</t>
  </si>
  <si>
    <t>Rákóczi u. felújításához kapcsolódó vízi-közmű kiváltások előkészítése, tervezése</t>
  </si>
  <si>
    <t>Vizslapark funkcióbővítés és fejlesztés előkészítése, tervezése</t>
  </si>
  <si>
    <t>Gébárti fürdőlétesítmények (Aquacity) fejlesztési koncepció terv készítés</t>
  </si>
  <si>
    <t>6.1.a/3</t>
  </si>
  <si>
    <t>6.1.a/4</t>
  </si>
  <si>
    <t>Előtervezésekből 2013. évről áthúzódó feladatok</t>
  </si>
  <si>
    <t>6.1.a/5</t>
  </si>
  <si>
    <t>Fenyő u. korszerűsítése</t>
  </si>
  <si>
    <t>Egyéb 2014. évi pályázatok területszerzés, -rendezés</t>
  </si>
  <si>
    <t>Barnamezős területek rehabilitációja</t>
  </si>
  <si>
    <t>Ingatlanvásárlások</t>
  </si>
  <si>
    <t>AGORA-program - Ady mozi területszerzés (pince), jogi rendezés</t>
  </si>
  <si>
    <t>Belvárosi területrendezések, nem felújítható épületek bontása</t>
  </si>
  <si>
    <t xml:space="preserve">Kossuth u. 50. udvari épület bontása </t>
  </si>
  <si>
    <t>7./1.</t>
  </si>
  <si>
    <t>Buslakpuszta bezárt szilárd hulladék-lerakó szennyezés lokalizációja</t>
  </si>
  <si>
    <t>Bánya utca aszfaltozása, csapadék víz elvezetéssel</t>
  </si>
  <si>
    <t>Takarék köz közműcsere utáni helyreállítás</t>
  </si>
  <si>
    <t>Petőfi iskola parkoló építés</t>
  </si>
  <si>
    <t xml:space="preserve">Babits u. 5. szám előtti parkoló bővítése </t>
  </si>
  <si>
    <t>Kertvárosi templom alsó parkoló építése</t>
  </si>
  <si>
    <t>Biológuspark útcsatlakozás kialakítása</t>
  </si>
  <si>
    <t>Andráshidán járdaburkolat építés</t>
  </si>
  <si>
    <t>Csány - Zrínyi iskolák közötti belső sétány építése</t>
  </si>
  <si>
    <t>Tervek készítése, műszaki ellenőrzések és egyéb hatósági díjak</t>
  </si>
  <si>
    <r>
      <t xml:space="preserve">Platán sor alépítmény megerősítés - </t>
    </r>
    <r>
      <rPr>
        <i/>
        <sz val="9"/>
        <rFont val="Times New Roman"/>
        <family val="1"/>
      </rPr>
      <t>Hydrocomppal közös felújítás</t>
    </r>
  </si>
  <si>
    <t>Olajmunkás utca burkolatfelújítás</t>
  </si>
  <si>
    <t>Ady utca út- és járda felújítása (vízkiváltással)</t>
  </si>
  <si>
    <t>Csendes utca burkolatfelújítás II. ütem</t>
  </si>
  <si>
    <t>Bozsoki hegy beton burkolat építések</t>
  </si>
  <si>
    <t>Május 1. utca útfelújítása</t>
  </si>
  <si>
    <t>Mezőgazdasági utak felújítása</t>
  </si>
  <si>
    <t>Szenterzsébethegyi út végének felújítása</t>
  </si>
  <si>
    <t>Tőke-törlesz- tés</t>
  </si>
  <si>
    <t>Tőke-törlesz-tés</t>
  </si>
  <si>
    <t>Tőketör-lesztés</t>
  </si>
  <si>
    <t xml:space="preserve">1. Fejlesztési célú hitelfelvétel "Panel Plusz"  progr. </t>
  </si>
  <si>
    <t>2. Fejlesztési célú hitelfelvétel "Panel Plusz" progr.</t>
  </si>
  <si>
    <t xml:space="preserve">3. MFB Fejlesztési célú hitel felvétel 2006. évi  beruházásokhoz </t>
  </si>
  <si>
    <t xml:space="preserve">4. MFB  Fejlesztési célú hitel felvétel 74-es út körforgalom építéshez </t>
  </si>
  <si>
    <t>081041 Versenysport- és utánpótlás - nevelés tevékenység</t>
  </si>
  <si>
    <t>101211 Fogyatékossággal élők tartós bentlakásos ellátása</t>
  </si>
  <si>
    <t>084010 Társ.tev., esélyegyenlőséggel, érdekképv., nemzetiségekkel, egyházakkal kapcs. felad.igazg.</t>
  </si>
  <si>
    <t>092211 Gimn. oktatás, nevelés szakmai feladatai</t>
  </si>
  <si>
    <t>106010 Lakóingatl. szoc.célú bérbeadása, üzemeltetése</t>
  </si>
  <si>
    <t xml:space="preserve">018030 Támogatás célú finanszírozási műveletek </t>
  </si>
  <si>
    <t>900020 Önkormányzatok funkcióra nem sorolható bevételei áht-n kívűlről</t>
  </si>
  <si>
    <t>082042 Könyvtári állomány gyarapítása, nyilvánt.</t>
  </si>
  <si>
    <t>5. MFB  Fejlesztési célú hitel felvétel   2008. évi beruházásokhoz és Kosztolányi u.</t>
  </si>
  <si>
    <t>6. MFB  Fejlesztési célú hitel felvétel   2008. évi kerékpárút pályázat önrészéhez</t>
  </si>
  <si>
    <t>7. MFB Fejlesztési célú hitel felvétel   2009. évi intézményi felújításokhoz</t>
  </si>
  <si>
    <t>8.Új Magyarország Fejl.Terv  Operatív Programra benyújtott pályázatok önrészéhez  hit.</t>
  </si>
  <si>
    <t>9. MFB  Fejlesztési célú hitelfelvétel 2010. évben elnyert pályázatok önrészéhez ( Önkorm. Infratrukturális Hitelprogram)</t>
  </si>
  <si>
    <t>10. MFB  Fejlesztési célú hitelfelvétel 2011. évi fejlesztési célokhoz</t>
  </si>
  <si>
    <t>11. MFB  Fejlesztési célú hitelfelvétel 2012. évi fejlesztési célokhoz</t>
  </si>
  <si>
    <t>12. MFB Fejlesztési célő hitelfelvétel belváros közlekedési rendszerének komplett átalakítása I. üt.</t>
  </si>
  <si>
    <t xml:space="preserve">13. MFB Fejlesztési célú hitelfelvétel  közvilágítás energiatakarékos átalakit. </t>
  </si>
  <si>
    <t>14. 2014. évi új feladatokhoz tervezett fejlesztési célú hitelfelvétel</t>
  </si>
  <si>
    <t>Bruttó lízingdíj  állom. eFt 2013.XII.31.</t>
  </si>
  <si>
    <t>2014.évi                                           eFt-ban</t>
  </si>
  <si>
    <t>Adósságk.</t>
  </si>
  <si>
    <t>2016. évi                              eFt-ban</t>
  </si>
  <si>
    <t>Későbbi évek terhe eFt-ban</t>
  </si>
  <si>
    <t>Rovat száma</t>
  </si>
  <si>
    <t>K1</t>
  </si>
  <si>
    <t>K2</t>
  </si>
  <si>
    <t>K3</t>
  </si>
  <si>
    <t>K4</t>
  </si>
  <si>
    <t>K5</t>
  </si>
  <si>
    <t>K6</t>
  </si>
  <si>
    <t>K7</t>
  </si>
  <si>
    <t>K8</t>
  </si>
  <si>
    <t>Landorhegyi u. 24. parkoló felújítás</t>
  </si>
  <si>
    <t>Madách I. u. lépcsőfelújítás</t>
  </si>
  <si>
    <t>Mártírok u. burkolatfelújítás I. ütem, ivóvízvezeték rekonstrukció</t>
  </si>
  <si>
    <t>Széchenyi tér buszmegálló felújítása szigeteléssel együtt, nyilvános WC felúj.</t>
  </si>
  <si>
    <t>Belvárosi járdák felújítása (Kazinczy tér É-i oldal)</t>
  </si>
  <si>
    <t>Kovács K. tér buszmegálló járdaburkolat felújítás</t>
  </si>
  <si>
    <t>Kertvárosban járdák, lépcsők felújítása</t>
  </si>
  <si>
    <t>Ola utcai és Rákóczi utcai járda felújítása, zöldfelület rendezése</t>
  </si>
  <si>
    <t>Göcseji Pataki u. páros oldal parkoló aszfaltozása</t>
  </si>
  <si>
    <t>5.a/1</t>
  </si>
  <si>
    <t>Vorhota Közösségi Ház felújítása</t>
  </si>
  <si>
    <t>Ebergényi sport park</t>
  </si>
  <si>
    <t>Helyi építészeti értékek védelme</t>
  </si>
  <si>
    <t>Petőfi Óvoda udvar felújítás</t>
  </si>
  <si>
    <t>Landorhegyi Óvoda energetikai beruházáshoz kapcsolódó kiegészítő építések</t>
  </si>
  <si>
    <t>Mikes Óvoda energetikai beruházáshoz kapcsolódó kiegészítő építések</t>
  </si>
  <si>
    <t>Zalaegerszeg szennyvíz-elvezetés és tisztítás fejlesztése</t>
  </si>
  <si>
    <t xml:space="preserve">Közvilágítás fejlesztése </t>
  </si>
  <si>
    <t>Buszváró létesítése Kaszaházán</t>
  </si>
  <si>
    <t>Kinizsi u. tömbbelsőben játszótér eszközbővítés</t>
  </si>
  <si>
    <t>9.a/3</t>
  </si>
  <si>
    <t>9.a/4</t>
  </si>
  <si>
    <t>Erzsébethegy Közösségi tér kialakítás</t>
  </si>
  <si>
    <t>5.a/2</t>
  </si>
  <si>
    <t>5.a/3</t>
  </si>
  <si>
    <t>Kerékpárút építésekhez kapcsolódó fásítások és területrendezések</t>
  </si>
  <si>
    <t>Inkubátorház villamos energia ellátásának bővítése</t>
  </si>
  <si>
    <t>"Zalaegerszeg 2020-Integrált településfejlesztési startégia megalkotása" projekt pályázati támogatással  NYDOP-3.1.1/F-13-2013-0001</t>
  </si>
  <si>
    <t xml:space="preserve">"Komplex belváros rehabilitációs program Zalaegerszegn" projekt pályázati támogatással NYDOP-3.1.1/B1-13-k-2013-0005 </t>
  </si>
  <si>
    <t>Barnamezős vásárlás/fejlesztés</t>
  </si>
  <si>
    <t>6.b/7</t>
  </si>
  <si>
    <t>Liszt Ferenc Tagiskola udvarának felújítása</t>
  </si>
  <si>
    <t>Önkormányzati erdő ápolási, felújítási munkálatainak elvégzése</t>
  </si>
  <si>
    <t>Botfa közösségi ház festése, ajtók cseréje</t>
  </si>
  <si>
    <t xml:space="preserve">Pózvai Közösségi Ház (a harangláb melletti) tetőfelújítása </t>
  </si>
  <si>
    <t xml:space="preserve"> - kiegészítő támogatás az önkormányzat kötelező feladatainak ellátásához</t>
  </si>
  <si>
    <t xml:space="preserve"> - Idősügyi Tanács működtetése</t>
  </si>
  <si>
    <t xml:space="preserve"> - tavaszi és októberi fesztivál támogatása</t>
  </si>
  <si>
    <t>Felújítási kiadások:</t>
  </si>
  <si>
    <t>Fejlesztési kiadások:</t>
  </si>
  <si>
    <t>9.a/2</t>
  </si>
  <si>
    <t xml:space="preserve"> - ifjúsági rendezvények</t>
  </si>
  <si>
    <t xml:space="preserve"> - Tanfolyamok, képzések</t>
  </si>
  <si>
    <t xml:space="preserve"> - önálló kulturális egyesületek, együttesek</t>
  </si>
  <si>
    <t xml:space="preserve"> - peremkerületek támogatása</t>
  </si>
  <si>
    <t xml:space="preserve"> - művészeti ösztöndíjak</t>
  </si>
  <si>
    <t>Fejlesztési kiadások</t>
  </si>
  <si>
    <t>Felújítási kiadások</t>
  </si>
  <si>
    <t xml:space="preserve">Fejlesztési kiadások </t>
  </si>
  <si>
    <t>Szakosztályok</t>
  </si>
  <si>
    <t>Építéshatósági feladatok</t>
  </si>
  <si>
    <t>Céltartalék</t>
  </si>
  <si>
    <t>Céltartalék összesen:</t>
  </si>
  <si>
    <t>5.) Általános tartalék</t>
  </si>
  <si>
    <t>Tartalékok</t>
  </si>
  <si>
    <t>Városüzemelési  feladatok:</t>
  </si>
  <si>
    <t xml:space="preserve"> - parkfenntartás</t>
  </si>
  <si>
    <t xml:space="preserve"> - VG.Kft. parkfenntartás szerződéses munkák</t>
  </si>
  <si>
    <t xml:space="preserve"> - vegyszeres és termikus gyomirtás</t>
  </si>
  <si>
    <t xml:space="preserve"> - köztéri  padok</t>
  </si>
  <si>
    <t xml:space="preserve"> - városrészek környezetrendezési feladataira</t>
  </si>
  <si>
    <t xml:space="preserve"> - védett természeti értékek kezelése</t>
  </si>
  <si>
    <t xml:space="preserve"> - helyi utak, hidak fenntartása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</si>
</sst>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#,##0.0000"/>
    <numFmt numFmtId="167" formatCode="mmm\ d/"/>
    <numFmt numFmtId="168" formatCode="_-* #,##0.0\ _F_t_-;\-* #,##0.0\ _F_t_-;_-* &quot;-&quot;??\ _F_t_-;_-@_-"/>
    <numFmt numFmtId="169" formatCode="_-* #,##0\ _F_t_-;\-* #,##0\ _F_t_-;_-* &quot;-&quot;??\ _F_t_-;_-@_-"/>
    <numFmt numFmtId="170" formatCode="#,##0.00000"/>
    <numFmt numFmtId="171" formatCode="#,##0_ ;\-#,##0\ 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hh:mm"/>
    <numFmt numFmtId="177" formatCode="hh:mm:ss"/>
    <numFmt numFmtId="178" formatCode="yyyy/mm/dd\ hh:mm"/>
    <numFmt numFmtId="179" formatCode="0\1\40\2\3"/>
    <numFmt numFmtId="180" formatCode="0\20\2\1\5"/>
    <numFmt numFmtId="181" formatCode="0\1\40\3\4"/>
    <numFmt numFmtId="182" formatCode="0##,###"/>
    <numFmt numFmtId="183" formatCode="_-* #,##0.000\ &quot;Ft&quot;_-;\-* #,##0.000\ &quot;Ft&quot;_-;_-* &quot;-&quot;??\ &quot;Ft&quot;_-;_-@_-"/>
    <numFmt numFmtId="184" formatCode="00.0"/>
    <numFmt numFmtId="185" formatCode="\4\4.\7"/>
    <numFmt numFmtId="186" formatCode="0.000"/>
    <numFmt numFmtId="187" formatCode="##.###"/>
    <numFmt numFmtId="188" formatCode="#,###.###"/>
    <numFmt numFmtId="189" formatCode="######.#"/>
    <numFmt numFmtId="190" formatCode="0."/>
    <numFmt numFmtId="191" formatCode="0.00,"/>
    <numFmt numFmtId="192" formatCode="\ 0.0"/>
    <numFmt numFmtId="193" formatCode="#,##0.000"/>
    <numFmt numFmtId="194" formatCode="0.0%"/>
    <numFmt numFmtId="195" formatCode="0.00;[Red]0.00"/>
    <numFmt numFmtId="196" formatCode="#,##0.00;[Red]#,##0.00"/>
    <numFmt numFmtId="197" formatCode="&quot;H-&quot;0000"/>
    <numFmt numFmtId="198" formatCode="0.0000"/>
    <numFmt numFmtId="199" formatCode="#,##0;0;"/>
    <numFmt numFmtId="200" formatCode="#,##0;\-#,##0;"/>
    <numFmt numFmtId="201" formatCode="00000000\-0\-00"/>
    <numFmt numFmtId="202" formatCode="&quot;Igen&quot;;&quot;Igen&quot;;&quot;Nem&quot;"/>
    <numFmt numFmtId="203" formatCode="&quot;Igaz&quot;;&quot;Igaz&quot;;&quot;Hamis&quot;"/>
    <numFmt numFmtId="204" formatCode="&quot;Be&quot;;&quot;Be&quot;;&quot;Ki&quot;"/>
    <numFmt numFmtId="205" formatCode="[$-40E]mmmm\ d\.;@"/>
    <numFmt numFmtId="206" formatCode="&quot;SFr.&quot;\ #,##0;&quot;SFr.&quot;\ \-#,##0"/>
    <numFmt numFmtId="207" formatCode="&quot;SFr.&quot;\ #,##0;[Red]&quot;SFr.&quot;\ \-#,##0"/>
    <numFmt numFmtId="208" formatCode="&quot;SFr.&quot;\ #,##0.00;&quot;SFr.&quot;\ \-#,##0.00"/>
    <numFmt numFmtId="209" formatCode="&quot;SFr.&quot;\ #,##0.00;[Red]&quot;SFr.&quot;\ \-#,##0.00"/>
    <numFmt numFmtId="210" formatCode="_ &quot;SFr.&quot;\ * #,##0_ ;_ &quot;SFr.&quot;\ * \-#,##0_ ;_ &quot;SFr.&quot;\ * &quot;-&quot;_ ;_ @_ "/>
    <numFmt numFmtId="211" formatCode="_ * #,##0_ ;_ * \-#,##0_ ;_ * &quot;-&quot;_ ;_ @_ "/>
    <numFmt numFmtId="212" formatCode="_ &quot;SFr.&quot;\ * #,##0.00_ ;_ &quot;SFr.&quot;\ * \-#,##0.00_ ;_ &quot;SFr.&quot;\ * &quot;-&quot;??_ ;_ @_ "/>
    <numFmt numFmtId="213" formatCode="_ * #,##0.00_ ;_ * \-#,##0.00_ ;_ * &quot;-&quot;??_ ;_ @_ "/>
    <numFmt numFmtId="214" formatCode="_-* #,##0.000\ &quot;SFr.&quot;_-;\-* #,##0.000\ &quot;SFr.&quot;_-;_-* &quot;-&quot;??\ &quot;SFr.&quot;_-;_-@_-"/>
    <numFmt numFmtId="215" formatCode="_-* #,##0.000\ _F_t_-;\-* #,##0.000\ _F_t_-;_-* &quot;-&quot;??\ _F_t_-;_-@_-"/>
    <numFmt numFmtId="216" formatCode="#,##0\ &quot;Ft&quot;"/>
    <numFmt numFmtId="217" formatCode="0000000\-0"/>
    <numFmt numFmtId="218" formatCode="&quot;€&quot;#,##0;\-&quot;€&quot;#,##0"/>
    <numFmt numFmtId="219" formatCode="&quot;€&quot;#,##0;[Red]\-&quot;€&quot;#,##0"/>
    <numFmt numFmtId="220" formatCode="&quot;€&quot;#,##0.00;\-&quot;€&quot;#,##0.00"/>
    <numFmt numFmtId="221" formatCode="&quot;€&quot;#,##0.00;[Red]\-&quot;€&quot;#,##0.00"/>
    <numFmt numFmtId="222" formatCode="_-&quot;€&quot;* #,##0_-;\-&quot;€&quot;* #,##0_-;_-&quot;€&quot;* &quot;-&quot;_-;_-@_-"/>
    <numFmt numFmtId="223" formatCode="_-* #,##0_-;\-* #,##0_-;_-* &quot;-&quot;_-;_-@_-"/>
    <numFmt numFmtId="224" formatCode="_-&quot;€&quot;* #,##0.00_-;\-&quot;€&quot;* #,##0.00_-;_-&quot;€&quot;* &quot;-&quot;??_-;_-@_-"/>
    <numFmt numFmtId="225" formatCode="_-* #,##0.00_-;\-* #,##0.00_-;_-* &quot;-&quot;??_-;_-@_-"/>
    <numFmt numFmtId="226" formatCode="[$-40E]yyyy\.\ mmmm\ d\."/>
    <numFmt numFmtId="227" formatCode="[$-40E]mmm/\ d\.;@"/>
  </numFmts>
  <fonts count="100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10"/>
      <name val="Arial CE"/>
      <family val="0"/>
    </font>
    <font>
      <sz val="10"/>
      <name val="MS Sans Serif"/>
      <family val="0"/>
    </font>
    <font>
      <sz val="9"/>
      <name val="Arial CE"/>
      <family val="2"/>
    </font>
    <font>
      <b/>
      <i/>
      <sz val="9"/>
      <name val="Arial CE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i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9"/>
      <name val="MS Sans Serif"/>
      <family val="0"/>
    </font>
    <font>
      <i/>
      <sz val="9"/>
      <name val="Arial CE"/>
      <family val="2"/>
    </font>
    <font>
      <sz val="10"/>
      <name val="Arial"/>
      <family val="0"/>
    </font>
    <font>
      <i/>
      <sz val="10"/>
      <name val="Times New Roman"/>
      <family val="1"/>
    </font>
    <font>
      <b/>
      <i/>
      <sz val="8"/>
      <name val="Arial CE"/>
      <family val="2"/>
    </font>
    <font>
      <sz val="9"/>
      <name val="Times New Roman CE"/>
      <family val="0"/>
    </font>
    <font>
      <i/>
      <sz val="10"/>
      <name val="MS Sans Serif"/>
      <family val="0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6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b/>
      <sz val="10"/>
      <color indexed="52"/>
      <name val="Tahoma"/>
      <family val="2"/>
    </font>
    <font>
      <sz val="8"/>
      <name val="Times New Roman"/>
      <family val="1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Arial"/>
      <family val="0"/>
    </font>
    <font>
      <b/>
      <i/>
      <sz val="9"/>
      <name val="Times New Roman CE"/>
      <family val="0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i/>
      <sz val="10"/>
      <color indexed="10"/>
      <name val="Times New Roman"/>
      <family val="1"/>
    </font>
    <font>
      <sz val="8"/>
      <color indexed="10"/>
      <name val="Arial"/>
      <family val="0"/>
    </font>
    <font>
      <i/>
      <sz val="9"/>
      <name val="Times New Roman CE"/>
      <family val="1"/>
    </font>
    <font>
      <sz val="10"/>
      <color indexed="10"/>
      <name val="MS Sans Serif"/>
      <family val="2"/>
    </font>
    <font>
      <b/>
      <i/>
      <sz val="10"/>
      <name val="Arial"/>
      <family val="2"/>
    </font>
    <font>
      <i/>
      <sz val="7"/>
      <name val="Times New Roman"/>
      <family val="1"/>
    </font>
    <font>
      <i/>
      <sz val="7"/>
      <name val="Arial"/>
      <family val="0"/>
    </font>
    <font>
      <b/>
      <sz val="10"/>
      <name val="Arial"/>
      <family val="0"/>
    </font>
    <font>
      <sz val="9"/>
      <color indexed="17"/>
      <name val="Times New Roman"/>
      <family val="1"/>
    </font>
    <font>
      <sz val="8"/>
      <name val="Times New Roman CE"/>
      <family val="0"/>
    </font>
    <font>
      <b/>
      <i/>
      <sz val="10"/>
      <name val="MS Sans Serif"/>
      <family val="0"/>
    </font>
    <font>
      <i/>
      <sz val="8"/>
      <name val="Times New Roman"/>
      <family val="1"/>
    </font>
    <font>
      <b/>
      <u val="single"/>
      <sz val="10"/>
      <name val="Arial"/>
      <family val="2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/>
      <top style="thin"/>
      <bottom/>
    </border>
    <border>
      <left style="medium"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1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48" fillId="3" borderId="0" applyNumberFormat="0" applyBorder="0" applyAlignment="0" applyProtection="0"/>
    <xf numFmtId="0" fontId="29" fillId="7" borderId="1" applyNumberFormat="0" applyAlignment="0" applyProtection="0"/>
    <xf numFmtId="0" fontId="49" fillId="20" borderId="1" applyNumberFormat="0" applyAlignment="0" applyProtection="0"/>
    <xf numFmtId="0" fontId="50" fillId="21" borderId="2" applyNumberFormat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2" fillId="4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56" fillId="7" borderId="1" applyNumberFormat="0" applyAlignment="0" applyProtection="0"/>
    <xf numFmtId="0" fontId="19" fillId="22" borderId="7" applyNumberFormat="0" applyFont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37" fillId="4" borderId="0" applyNumberFormat="0" applyBorder="0" applyAlignment="0" applyProtection="0"/>
    <xf numFmtId="0" fontId="38" fillId="20" borderId="8" applyNumberFormat="0" applyAlignment="0" applyProtection="0"/>
    <xf numFmtId="0" fontId="57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1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6" fillId="22" borderId="7" applyNumberFormat="0" applyFont="0" applyAlignment="0" applyProtection="0"/>
    <xf numFmtId="0" fontId="59" fillId="20" borderId="8" applyNumberFormat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" borderId="0" applyNumberFormat="0" applyBorder="0" applyAlignment="0" applyProtection="0"/>
    <xf numFmtId="0" fontId="42" fillId="23" borderId="0" applyNumberFormat="0" applyBorder="0" applyAlignment="0" applyProtection="0"/>
    <xf numFmtId="0" fontId="43" fillId="20" borderId="1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583">
    <xf numFmtId="0" fontId="0" fillId="0" borderId="0" xfId="0" applyAlignment="1">
      <alignment/>
    </xf>
    <xf numFmtId="0" fontId="8" fillId="0" borderId="10" xfId="122" applyFont="1" applyBorder="1" applyAlignment="1">
      <alignment horizontal="center" vertical="center"/>
      <protection/>
    </xf>
    <xf numFmtId="0" fontId="8" fillId="4" borderId="10" xfId="122" applyFont="1" applyFill="1" applyBorder="1" applyAlignment="1">
      <alignment horizontal="center" vertical="center"/>
      <protection/>
    </xf>
    <xf numFmtId="0" fontId="8" fillId="0" borderId="10" xfId="122" applyFont="1" applyBorder="1" applyAlignment="1">
      <alignment vertical="center"/>
      <protection/>
    </xf>
    <xf numFmtId="0" fontId="9" fillId="4" borderId="10" xfId="122" applyFont="1" applyFill="1" applyBorder="1" applyAlignment="1">
      <alignment vertical="center"/>
      <protection/>
    </xf>
    <xf numFmtId="0" fontId="8" fillId="0" borderId="10" xfId="122" applyFont="1" applyBorder="1" applyAlignment="1">
      <alignment vertical="center" wrapText="1"/>
      <protection/>
    </xf>
    <xf numFmtId="0" fontId="9" fillId="4" borderId="11" xfId="122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3" fontId="13" fillId="0" borderId="10" xfId="132" applyNumberFormat="1" applyFont="1" applyFill="1" applyBorder="1" applyAlignment="1">
      <alignment horizontal="center" vertical="center" wrapText="1"/>
      <protection/>
    </xf>
    <xf numFmtId="3" fontId="12" fillId="0" borderId="10" xfId="132" applyNumberFormat="1" applyFont="1" applyFill="1" applyBorder="1" applyAlignment="1">
      <alignment horizontal="center" vertical="center" wrapText="1"/>
      <protection/>
    </xf>
    <xf numFmtId="3" fontId="13" fillId="0" borderId="10" xfId="132" applyNumberFormat="1" applyFont="1" applyFill="1" applyBorder="1" applyAlignment="1">
      <alignment horizontal="center" vertical="center"/>
      <protection/>
    </xf>
    <xf numFmtId="3" fontId="13" fillId="0" borderId="10" xfId="132" applyNumberFormat="1" applyFont="1" applyFill="1" applyBorder="1" applyAlignment="1">
      <alignment vertical="center"/>
      <protection/>
    </xf>
    <xf numFmtId="3" fontId="13" fillId="0" borderId="12" xfId="132" applyNumberFormat="1" applyFont="1" applyFill="1" applyBorder="1" applyAlignment="1">
      <alignment vertical="center"/>
      <protection/>
    </xf>
    <xf numFmtId="3" fontId="13" fillId="0" borderId="10" xfId="0" applyNumberFormat="1" applyFont="1" applyFill="1" applyBorder="1" applyAlignment="1">
      <alignment vertical="center"/>
    </xf>
    <xf numFmtId="3" fontId="13" fillId="0" borderId="12" xfId="0" applyNumberFormat="1" applyFont="1" applyFill="1" applyBorder="1" applyAlignment="1">
      <alignment vertical="center"/>
    </xf>
    <xf numFmtId="3" fontId="13" fillId="0" borderId="12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vertical="center"/>
    </xf>
    <xf numFmtId="3" fontId="12" fillId="0" borderId="12" xfId="0" applyNumberFormat="1" applyFont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 wrapText="1"/>
    </xf>
    <xf numFmtId="0" fontId="7" fillId="0" borderId="0" xfId="0" applyFont="1" applyFill="1" applyAlignment="1">
      <alignment/>
    </xf>
    <xf numFmtId="3" fontId="6" fillId="0" borderId="0" xfId="0" applyNumberFormat="1" applyFont="1" applyAlignment="1">
      <alignment horizontal="center" vertical="center" wrapText="1"/>
    </xf>
    <xf numFmtId="0" fontId="5" fillId="0" borderId="0" xfId="93" applyAlignment="1">
      <alignment vertical="center"/>
      <protection/>
    </xf>
    <xf numFmtId="0" fontId="5" fillId="0" borderId="0" xfId="93" applyAlignment="1">
      <alignment vertical="top"/>
      <protection/>
    </xf>
    <xf numFmtId="0" fontId="17" fillId="0" borderId="0" xfId="93" applyFont="1" applyAlignment="1">
      <alignment vertical="center"/>
      <protection/>
    </xf>
    <xf numFmtId="3" fontId="5" fillId="0" borderId="0" xfId="93" applyNumberFormat="1" applyAlignment="1">
      <alignment vertical="center"/>
      <protection/>
    </xf>
    <xf numFmtId="3" fontId="18" fillId="0" borderId="0" xfId="132" applyNumberFormat="1" applyFont="1" applyFill="1" applyAlignment="1">
      <alignment vertical="center"/>
      <protection/>
    </xf>
    <xf numFmtId="3" fontId="6" fillId="0" borderId="0" xfId="132" applyNumberFormat="1" applyFont="1" applyAlignment="1">
      <alignment vertical="center"/>
      <protection/>
    </xf>
    <xf numFmtId="3" fontId="6" fillId="0" borderId="0" xfId="132" applyNumberFormat="1" applyFont="1" applyAlignment="1">
      <alignment horizontal="right" vertical="center"/>
      <protection/>
    </xf>
    <xf numFmtId="3" fontId="6" fillId="0" borderId="0" xfId="132" applyNumberFormat="1" applyFont="1" applyFill="1" applyBorder="1" applyAlignment="1">
      <alignment vertical="center"/>
      <protection/>
    </xf>
    <xf numFmtId="0" fontId="6" fillId="0" borderId="0" xfId="0" applyFont="1" applyBorder="1" applyAlignment="1">
      <alignment/>
    </xf>
    <xf numFmtId="3" fontId="12" fillId="0" borderId="0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 vertical="center" wrapText="1"/>
    </xf>
    <xf numFmtId="3" fontId="12" fillId="4" borderId="14" xfId="0" applyNumberFormat="1" applyFont="1" applyFill="1" applyBorder="1" applyAlignment="1">
      <alignment vertical="center"/>
    </xf>
    <xf numFmtId="3" fontId="18" fillId="0" borderId="0" xfId="132" applyNumberFormat="1" applyFont="1" applyAlignment="1">
      <alignment vertical="center"/>
      <protection/>
    </xf>
    <xf numFmtId="3" fontId="6" fillId="0" borderId="0" xfId="132" applyNumberFormat="1" applyFont="1" applyFill="1" applyAlignment="1">
      <alignment vertical="center"/>
      <protection/>
    </xf>
    <xf numFmtId="3" fontId="8" fillId="0" borderId="10" xfId="0" applyNumberFormat="1" applyFont="1" applyFill="1" applyBorder="1" applyAlignment="1">
      <alignment vertical="center" wrapText="1"/>
    </xf>
    <xf numFmtId="0" fontId="13" fillId="0" borderId="10" xfId="93" applyFont="1" applyBorder="1" applyAlignment="1">
      <alignment vertical="center"/>
      <protection/>
    </xf>
    <xf numFmtId="3" fontId="13" fillId="0" borderId="10" xfId="93" applyNumberFormat="1" applyFont="1" applyBorder="1" applyAlignment="1">
      <alignment vertical="center"/>
      <protection/>
    </xf>
    <xf numFmtId="0" fontId="12" fillId="4" borderId="10" xfId="93" applyFont="1" applyFill="1" applyBorder="1" applyAlignment="1">
      <alignment horizontal="center" vertical="center"/>
      <protection/>
    </xf>
    <xf numFmtId="0" fontId="12" fillId="4" borderId="10" xfId="93" applyFont="1" applyFill="1" applyBorder="1" applyAlignment="1">
      <alignment vertical="center"/>
      <protection/>
    </xf>
    <xf numFmtId="3" fontId="12" fillId="0" borderId="10" xfId="93" applyNumberFormat="1" applyFont="1" applyBorder="1" applyAlignment="1">
      <alignment vertical="center"/>
      <protection/>
    </xf>
    <xf numFmtId="0" fontId="8" fillId="0" borderId="10" xfId="116" applyFont="1" applyBorder="1" applyAlignment="1">
      <alignment vertical="center"/>
      <protection/>
    </xf>
    <xf numFmtId="3" fontId="8" fillId="0" borderId="0" xfId="0" applyNumberFormat="1" applyFont="1" applyFill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3" fontId="12" fillId="4" borderId="10" xfId="93" applyNumberFormat="1" applyFont="1" applyFill="1" applyBorder="1" applyAlignment="1">
      <alignment vertical="center"/>
      <protection/>
    </xf>
    <xf numFmtId="3" fontId="8" fillId="0" borderId="10" xfId="116" applyNumberFormat="1" applyFont="1" applyFill="1" applyBorder="1" applyAlignment="1">
      <alignment horizontal="right" vertical="center"/>
      <protection/>
    </xf>
    <xf numFmtId="3" fontId="8" fillId="0" borderId="10" xfId="0" applyNumberFormat="1" applyFont="1" applyBorder="1" applyAlignment="1">
      <alignment vertical="center" wrapText="1"/>
    </xf>
    <xf numFmtId="3" fontId="12" fillId="0" borderId="15" xfId="132" applyNumberFormat="1" applyFont="1" applyFill="1" applyBorder="1" applyAlignment="1">
      <alignment vertical="center"/>
      <protection/>
    </xf>
    <xf numFmtId="3" fontId="13" fillId="0" borderId="16" xfId="0" applyNumberFormat="1" applyFont="1" applyBorder="1" applyAlignment="1">
      <alignment vertical="center"/>
    </xf>
    <xf numFmtId="3" fontId="14" fillId="0" borderId="10" xfId="132" applyNumberFormat="1" applyFont="1" applyFill="1" applyBorder="1" applyAlignment="1">
      <alignment vertical="center"/>
      <protection/>
    </xf>
    <xf numFmtId="3" fontId="13" fillId="0" borderId="10" xfId="132" applyNumberFormat="1" applyFont="1" applyFill="1" applyBorder="1" applyAlignment="1">
      <alignment horizontal="right" vertical="center"/>
      <protection/>
    </xf>
    <xf numFmtId="3" fontId="12" fillId="0" borderId="13" xfId="132" applyNumberFormat="1" applyFont="1" applyFill="1" applyBorder="1" applyAlignment="1">
      <alignment horizontal="left" vertical="center"/>
      <protection/>
    </xf>
    <xf numFmtId="3" fontId="13" fillId="0" borderId="10" xfId="0" applyNumberFormat="1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horizontal="left" vertical="center"/>
    </xf>
    <xf numFmtId="3" fontId="13" fillId="0" borderId="13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center" vertical="center"/>
    </xf>
    <xf numFmtId="3" fontId="13" fillId="0" borderId="15" xfId="0" applyNumberFormat="1" applyFont="1" applyFill="1" applyBorder="1" applyAlignment="1">
      <alignment vertical="center"/>
    </xf>
    <xf numFmtId="3" fontId="12" fillId="4" borderId="10" xfId="0" applyNumberFormat="1" applyFont="1" applyFill="1" applyBorder="1" applyAlignment="1">
      <alignment horizontal="center" vertical="center"/>
    </xf>
    <xf numFmtId="3" fontId="9" fillId="4" borderId="10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3" fontId="12" fillId="4" borderId="12" xfId="0" applyNumberFormat="1" applyFont="1" applyFill="1" applyBorder="1" applyAlignment="1">
      <alignment vertical="center"/>
    </xf>
    <xf numFmtId="3" fontId="12" fillId="4" borderId="13" xfId="0" applyNumberFormat="1" applyFont="1" applyFill="1" applyBorder="1" applyAlignment="1">
      <alignment vertical="center"/>
    </xf>
    <xf numFmtId="3" fontId="9" fillId="4" borderId="10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/>
    </xf>
    <xf numFmtId="3" fontId="13" fillId="0" borderId="17" xfId="0" applyNumberFormat="1" applyFont="1" applyFill="1" applyBorder="1" applyAlignment="1">
      <alignment vertical="center"/>
    </xf>
    <xf numFmtId="3" fontId="12" fillId="4" borderId="10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vertical="center"/>
    </xf>
    <xf numFmtId="3" fontId="13" fillId="0" borderId="12" xfId="0" applyNumberFormat="1" applyFont="1" applyBorder="1" applyAlignment="1">
      <alignment horizontal="left" vertical="center"/>
    </xf>
    <xf numFmtId="3" fontId="16" fillId="24" borderId="10" xfId="132" applyNumberFormat="1" applyFont="1" applyFill="1" applyBorder="1" applyAlignment="1">
      <alignment horizontal="center" vertical="top" wrapText="1"/>
      <protection/>
    </xf>
    <xf numFmtId="3" fontId="16" fillId="24" borderId="10" xfId="132" applyNumberFormat="1" applyFont="1" applyFill="1" applyBorder="1" applyAlignment="1">
      <alignment horizontal="center" vertical="center" wrapText="1"/>
      <protection/>
    </xf>
    <xf numFmtId="3" fontId="13" fillId="24" borderId="10" xfId="132" applyNumberFormat="1" applyFont="1" applyFill="1" applyBorder="1" applyAlignment="1">
      <alignment horizontal="right" vertical="top" wrapText="1"/>
      <protection/>
    </xf>
    <xf numFmtId="3" fontId="12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vertical="center"/>
    </xf>
    <xf numFmtId="3" fontId="12" fillId="4" borderId="12" xfId="0" applyNumberFormat="1" applyFont="1" applyFill="1" applyBorder="1" applyAlignment="1">
      <alignment horizontal="left" vertical="center"/>
    </xf>
    <xf numFmtId="3" fontId="12" fillId="24" borderId="10" xfId="0" applyNumberFormat="1" applyFont="1" applyFill="1" applyBorder="1" applyAlignment="1">
      <alignment horizontal="center" vertical="center"/>
    </xf>
    <xf numFmtId="3" fontId="13" fillId="0" borderId="0" xfId="0" applyNumberFormat="1" applyFont="1" applyAlignment="1">
      <alignment vertical="center"/>
    </xf>
    <xf numFmtId="3" fontId="12" fillId="24" borderId="10" xfId="0" applyNumberFormat="1" applyFont="1" applyFill="1" applyBorder="1" applyAlignment="1">
      <alignment vertical="center"/>
    </xf>
    <xf numFmtId="3" fontId="13" fillId="24" borderId="10" xfId="0" applyNumberFormat="1" applyFont="1" applyFill="1" applyBorder="1" applyAlignment="1">
      <alignment vertical="center"/>
    </xf>
    <xf numFmtId="3" fontId="13" fillId="24" borderId="12" xfId="0" applyNumberFormat="1" applyFont="1" applyFill="1" applyBorder="1" applyAlignment="1">
      <alignment vertical="center"/>
    </xf>
    <xf numFmtId="3" fontId="12" fillId="24" borderId="13" xfId="0" applyNumberFormat="1" applyFont="1" applyFill="1" applyBorder="1" applyAlignment="1">
      <alignment vertical="center"/>
    </xf>
    <xf numFmtId="3" fontId="13" fillId="24" borderId="10" xfId="0" applyNumberFormat="1" applyFont="1" applyFill="1" applyBorder="1" applyAlignment="1">
      <alignment horizontal="center" vertical="center"/>
    </xf>
    <xf numFmtId="3" fontId="13" fillId="24" borderId="13" xfId="0" applyNumberFormat="1" applyFont="1" applyFill="1" applyBorder="1" applyAlignment="1">
      <alignment vertical="center"/>
    </xf>
    <xf numFmtId="3" fontId="21" fillId="0" borderId="10" xfId="132" applyNumberFormat="1" applyFont="1" applyFill="1" applyBorder="1" applyAlignment="1">
      <alignment horizontal="center" vertical="top" wrapText="1"/>
      <protection/>
    </xf>
    <xf numFmtId="3" fontId="13" fillId="0" borderId="10" xfId="132" applyNumberFormat="1" applyFont="1" applyFill="1" applyBorder="1" applyAlignment="1">
      <alignment horizontal="right" vertical="top" wrapText="1"/>
      <protection/>
    </xf>
    <xf numFmtId="3" fontId="21" fillId="0" borderId="10" xfId="132" applyNumberFormat="1" applyFont="1" applyFill="1" applyBorder="1" applyAlignment="1">
      <alignment horizontal="center" vertical="center" wrapText="1"/>
      <protection/>
    </xf>
    <xf numFmtId="3" fontId="12" fillId="24" borderId="12" xfId="0" applyNumberFormat="1" applyFont="1" applyFill="1" applyBorder="1" applyAlignment="1">
      <alignment vertical="center"/>
    </xf>
    <xf numFmtId="3" fontId="13" fillId="24" borderId="12" xfId="0" applyNumberFormat="1" applyFont="1" applyFill="1" applyBorder="1" applyAlignment="1">
      <alignment horizontal="left" vertical="center"/>
    </xf>
    <xf numFmtId="3" fontId="13" fillId="24" borderId="13" xfId="0" applyNumberFormat="1" applyFont="1" applyFill="1" applyBorder="1" applyAlignment="1">
      <alignment horizontal="left" vertical="center"/>
    </xf>
    <xf numFmtId="3" fontId="12" fillId="24" borderId="10" xfId="0" applyNumberFormat="1" applyFont="1" applyFill="1" applyBorder="1" applyAlignment="1">
      <alignment horizontal="left" vertical="center"/>
    </xf>
    <xf numFmtId="3" fontId="12" fillId="4" borderId="13" xfId="0" applyNumberFormat="1" applyFont="1" applyFill="1" applyBorder="1" applyAlignment="1">
      <alignment horizontal="left" vertical="center"/>
    </xf>
    <xf numFmtId="3" fontId="12" fillId="4" borderId="10" xfId="0" applyNumberFormat="1" applyFont="1" applyFill="1" applyBorder="1" applyAlignment="1">
      <alignment horizontal="right" vertical="center"/>
    </xf>
    <xf numFmtId="3" fontId="6" fillId="24" borderId="0" xfId="0" applyNumberFormat="1" applyFont="1" applyFill="1" applyAlignment="1">
      <alignment vertical="center"/>
    </xf>
    <xf numFmtId="3" fontId="6" fillId="4" borderId="0" xfId="0" applyNumberFormat="1" applyFont="1" applyFill="1" applyAlignment="1">
      <alignment vertical="center"/>
    </xf>
    <xf numFmtId="3" fontId="13" fillId="24" borderId="10" xfId="132" applyNumberFormat="1" applyFont="1" applyFill="1" applyBorder="1" applyAlignment="1">
      <alignment horizontal="left" vertical="top"/>
      <protection/>
    </xf>
    <xf numFmtId="3" fontId="13" fillId="24" borderId="10" xfId="132" applyNumberFormat="1" applyFont="1" applyFill="1" applyBorder="1" applyAlignment="1">
      <alignment horizontal="left" vertical="top" wrapText="1"/>
      <protection/>
    </xf>
    <xf numFmtId="0" fontId="5" fillId="0" borderId="0" xfId="97" applyAlignment="1">
      <alignment vertical="center"/>
      <protection/>
    </xf>
    <xf numFmtId="3" fontId="8" fillId="0" borderId="10" xfId="122" applyNumberFormat="1" applyFont="1" applyBorder="1" applyAlignment="1">
      <alignment vertical="center"/>
      <protection/>
    </xf>
    <xf numFmtId="0" fontId="9" fillId="4" borderId="10" xfId="122" applyFont="1" applyFill="1" applyBorder="1" applyAlignment="1">
      <alignment horizontal="center" vertical="center"/>
      <protection/>
    </xf>
    <xf numFmtId="3" fontId="9" fillId="4" borderId="10" xfId="122" applyNumberFormat="1" applyFont="1" applyFill="1" applyBorder="1" applyAlignment="1">
      <alignment vertical="center"/>
      <protection/>
    </xf>
    <xf numFmtId="0" fontId="23" fillId="0" borderId="0" xfId="97" applyFont="1" applyAlignment="1">
      <alignment vertical="center"/>
      <protection/>
    </xf>
    <xf numFmtId="3" fontId="8" fillId="0" borderId="10" xfId="122" applyNumberFormat="1" applyFont="1" applyFill="1" applyBorder="1" applyAlignment="1">
      <alignment vertical="center"/>
      <protection/>
    </xf>
    <xf numFmtId="0" fontId="8" fillId="0" borderId="10" xfId="122" applyFont="1" applyFill="1" applyBorder="1" applyAlignment="1">
      <alignment horizontal="center" vertical="center"/>
      <protection/>
    </xf>
    <xf numFmtId="3" fontId="8" fillId="0" borderId="13" xfId="122" applyNumberFormat="1" applyFont="1" applyFill="1" applyBorder="1" applyAlignment="1">
      <alignment vertical="center"/>
      <protection/>
    </xf>
    <xf numFmtId="0" fontId="9" fillId="0" borderId="10" xfId="122" applyFont="1" applyFill="1" applyBorder="1" applyAlignment="1">
      <alignment horizontal="center" vertical="center"/>
      <protection/>
    </xf>
    <xf numFmtId="3" fontId="9" fillId="0" borderId="10" xfId="122" applyNumberFormat="1" applyFont="1" applyFill="1" applyBorder="1" applyAlignment="1">
      <alignment vertical="center"/>
      <protection/>
    </xf>
    <xf numFmtId="3" fontId="8" fillId="0" borderId="10" xfId="122" applyNumberFormat="1" applyFont="1" applyBorder="1" applyAlignment="1">
      <alignment vertical="center" wrapText="1"/>
      <protection/>
    </xf>
    <xf numFmtId="0" fontId="8" fillId="0" borderId="18" xfId="122" applyFont="1" applyBorder="1" applyAlignment="1">
      <alignment horizontal="center" vertical="center"/>
      <protection/>
    </xf>
    <xf numFmtId="3" fontId="8" fillId="0" borderId="18" xfId="122" applyNumberFormat="1" applyFont="1" applyBorder="1" applyAlignment="1">
      <alignment vertical="center"/>
      <protection/>
    </xf>
    <xf numFmtId="0" fontId="8" fillId="0" borderId="14" xfId="122" applyFont="1" applyBorder="1" applyAlignment="1">
      <alignment horizontal="center" vertical="center"/>
      <protection/>
    </xf>
    <xf numFmtId="3" fontId="8" fillId="0" borderId="14" xfId="122" applyNumberFormat="1" applyFont="1" applyBorder="1" applyAlignment="1">
      <alignment vertical="center"/>
      <protection/>
    </xf>
    <xf numFmtId="0" fontId="8" fillId="0" borderId="10" xfId="97" applyFont="1" applyBorder="1" applyAlignment="1">
      <alignment vertical="center"/>
      <protection/>
    </xf>
    <xf numFmtId="0" fontId="5" fillId="0" borderId="0" xfId="97">
      <alignment/>
      <protection/>
    </xf>
    <xf numFmtId="3" fontId="9" fillId="4" borderId="10" xfId="122" applyNumberFormat="1" applyFont="1" applyFill="1" applyBorder="1" applyAlignment="1">
      <alignment vertical="center" wrapText="1"/>
      <protection/>
    </xf>
    <xf numFmtId="3" fontId="8" fillId="0" borderId="10" xfId="97" applyNumberFormat="1" applyFont="1" applyBorder="1" applyAlignment="1">
      <alignment vertical="center"/>
      <protection/>
    </xf>
    <xf numFmtId="3" fontId="8" fillId="0" borderId="0" xfId="97" applyNumberFormat="1" applyFont="1" applyAlignment="1">
      <alignment vertical="center"/>
      <protection/>
    </xf>
    <xf numFmtId="0" fontId="8" fillId="0" borderId="0" xfId="97" applyFont="1" applyAlignment="1">
      <alignment vertical="center"/>
      <protection/>
    </xf>
    <xf numFmtId="0" fontId="8" fillId="0" borderId="0" xfId="97" applyFont="1">
      <alignment/>
      <protection/>
    </xf>
    <xf numFmtId="0" fontId="5" fillId="0" borderId="0" xfId="97" applyFont="1" applyAlignment="1">
      <alignment vertical="center"/>
      <protection/>
    </xf>
    <xf numFmtId="3" fontId="25" fillId="0" borderId="10" xfId="132" applyNumberFormat="1" applyFont="1" applyFill="1" applyBorder="1" applyAlignment="1">
      <alignment horizontal="right" vertical="center"/>
      <protection/>
    </xf>
    <xf numFmtId="3" fontId="25" fillId="0" borderId="10" xfId="132" applyNumberFormat="1" applyFont="1" applyFill="1" applyBorder="1" applyAlignment="1">
      <alignment horizontal="center" vertical="center"/>
      <protection/>
    </xf>
    <xf numFmtId="3" fontId="25" fillId="0" borderId="10" xfId="132" applyNumberFormat="1" applyFont="1" applyFill="1" applyBorder="1" applyAlignment="1">
      <alignment vertical="center"/>
      <protection/>
    </xf>
    <xf numFmtId="3" fontId="25" fillId="0" borderId="10" xfId="0" applyNumberFormat="1" applyFont="1" applyFill="1" applyBorder="1" applyAlignment="1">
      <alignment vertical="center"/>
    </xf>
    <xf numFmtId="3" fontId="26" fillId="24" borderId="10" xfId="0" applyNumberFormat="1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horizontal="left" vertical="center"/>
    </xf>
    <xf numFmtId="3" fontId="13" fillId="0" borderId="15" xfId="0" applyNumberFormat="1" applyFont="1" applyFill="1" applyBorder="1" applyAlignment="1">
      <alignment horizontal="left" vertical="center"/>
    </xf>
    <xf numFmtId="3" fontId="8" fillId="0" borderId="10" xfId="0" applyNumberFormat="1" applyFont="1" applyFill="1" applyBorder="1" applyAlignment="1">
      <alignment vertical="center"/>
    </xf>
    <xf numFmtId="3" fontId="15" fillId="0" borderId="12" xfId="0" applyNumberFormat="1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Fill="1" applyBorder="1" applyAlignment="1">
      <alignment horizontal="left" vertical="center"/>
    </xf>
    <xf numFmtId="3" fontId="12" fillId="4" borderId="18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13" fillId="0" borderId="13" xfId="0" applyFont="1" applyFill="1" applyBorder="1" applyAlignment="1">
      <alignment vertical="center"/>
    </xf>
    <xf numFmtId="3" fontId="8" fillId="0" borderId="12" xfId="0" applyNumberFormat="1" applyFont="1" applyBorder="1" applyAlignment="1">
      <alignment vertical="center" wrapText="1"/>
    </xf>
    <xf numFmtId="3" fontId="8" fillId="0" borderId="13" xfId="122" applyNumberFormat="1" applyFont="1" applyBorder="1" applyAlignment="1">
      <alignment vertical="center"/>
      <protection/>
    </xf>
    <xf numFmtId="0" fontId="12" fillId="4" borderId="10" xfId="93" applyFont="1" applyFill="1" applyBorder="1" applyAlignment="1">
      <alignment vertical="center" wrapText="1"/>
      <protection/>
    </xf>
    <xf numFmtId="0" fontId="13" fillId="0" borderId="10" xfId="93" applyFont="1" applyFill="1" applyBorder="1" applyAlignment="1">
      <alignment vertical="center"/>
      <protection/>
    </xf>
    <xf numFmtId="3" fontId="13" fillId="24" borderId="10" xfId="0" applyNumberFormat="1" applyFont="1" applyFill="1" applyBorder="1" applyAlignment="1">
      <alignment horizontal="right" vertical="center"/>
    </xf>
    <xf numFmtId="3" fontId="8" fillId="0" borderId="0" xfId="97" applyNumberFormat="1" applyFont="1">
      <alignment/>
      <protection/>
    </xf>
    <xf numFmtId="3" fontId="6" fillId="0" borderId="0" xfId="104" applyNumberFormat="1" applyFont="1" applyAlignment="1">
      <alignment vertical="center"/>
      <protection/>
    </xf>
    <xf numFmtId="0" fontId="6" fillId="0" borderId="0" xfId="104" applyFont="1" applyAlignment="1">
      <alignment vertical="center"/>
      <protection/>
    </xf>
    <xf numFmtId="3" fontId="6" fillId="0" borderId="0" xfId="104" applyNumberFormat="1" applyFont="1" applyBorder="1" applyAlignment="1">
      <alignment vertical="center"/>
      <protection/>
    </xf>
    <xf numFmtId="0" fontId="6" fillId="0" borderId="0" xfId="104" applyFont="1" applyBorder="1" applyAlignment="1">
      <alignment vertical="center"/>
      <protection/>
    </xf>
    <xf numFmtId="0" fontId="12" fillId="0" borderId="0" xfId="104" applyFont="1" applyFill="1" applyBorder="1" applyAlignment="1">
      <alignment vertical="center"/>
      <protection/>
    </xf>
    <xf numFmtId="3" fontId="12" fillId="0" borderId="0" xfId="104" applyNumberFormat="1" applyFont="1" applyFill="1" applyBorder="1" applyAlignment="1">
      <alignment vertical="center"/>
      <protection/>
    </xf>
    <xf numFmtId="0" fontId="6" fillId="0" borderId="0" xfId="104" applyFont="1" applyFill="1" applyBorder="1" applyAlignment="1">
      <alignment vertical="center" wrapText="1"/>
      <protection/>
    </xf>
    <xf numFmtId="0" fontId="6" fillId="0" borderId="0" xfId="104" applyFont="1" applyBorder="1" applyAlignment="1">
      <alignment vertical="center" wrapText="1"/>
      <protection/>
    </xf>
    <xf numFmtId="3" fontId="6" fillId="0" borderId="0" xfId="104" applyNumberFormat="1" applyFont="1" applyBorder="1" applyAlignment="1">
      <alignment vertical="center" wrapText="1"/>
      <protection/>
    </xf>
    <xf numFmtId="0" fontId="8" fillId="0" borderId="10" xfId="122" applyFont="1" applyFill="1" applyBorder="1" applyAlignment="1">
      <alignment vertical="center" wrapText="1"/>
      <protection/>
    </xf>
    <xf numFmtId="0" fontId="20" fillId="0" borderId="10" xfId="122" applyFont="1" applyFill="1" applyBorder="1" applyAlignment="1">
      <alignment vertical="center" wrapText="1"/>
      <protection/>
    </xf>
    <xf numFmtId="0" fontId="9" fillId="0" borderId="10" xfId="122" applyFont="1" applyBorder="1" applyAlignment="1">
      <alignment vertical="center"/>
      <protection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10" xfId="93" applyFont="1" applyBorder="1" applyAlignment="1">
      <alignment vertical="center"/>
      <protection/>
    </xf>
    <xf numFmtId="3" fontId="9" fillId="0" borderId="13" xfId="0" applyNumberFormat="1" applyFont="1" applyFill="1" applyBorder="1" applyAlignment="1">
      <alignment vertical="center"/>
    </xf>
    <xf numFmtId="0" fontId="8" fillId="0" borderId="10" xfId="125" applyFont="1" applyFill="1" applyBorder="1" applyAlignment="1">
      <alignment vertical="center" wrapText="1"/>
      <protection/>
    </xf>
    <xf numFmtId="3" fontId="9" fillId="4" borderId="13" xfId="122" applyNumberFormat="1" applyFont="1" applyFill="1" applyBorder="1" applyAlignment="1">
      <alignment vertical="center"/>
      <protection/>
    </xf>
    <xf numFmtId="0" fontId="8" fillId="0" borderId="12" xfId="122" applyFont="1" applyBorder="1" applyAlignment="1">
      <alignment vertical="center"/>
      <protection/>
    </xf>
    <xf numFmtId="0" fontId="8" fillId="0" borderId="14" xfId="122" applyFont="1" applyBorder="1" applyAlignment="1">
      <alignment vertical="center" wrapText="1"/>
      <protection/>
    </xf>
    <xf numFmtId="0" fontId="8" fillId="0" borderId="12" xfId="122" applyFont="1" applyBorder="1" applyAlignment="1">
      <alignment vertical="center" wrapText="1"/>
      <protection/>
    </xf>
    <xf numFmtId="3" fontId="8" fillId="0" borderId="10" xfId="122" applyNumberFormat="1" applyFont="1" applyFill="1" applyBorder="1" applyAlignment="1">
      <alignment vertical="center" wrapText="1"/>
      <protection/>
    </xf>
    <xf numFmtId="0" fontId="9" fillId="4" borderId="12" xfId="122" applyFont="1" applyFill="1" applyBorder="1" applyAlignment="1">
      <alignment vertical="center"/>
      <protection/>
    </xf>
    <xf numFmtId="0" fontId="8" fillId="0" borderId="13" xfId="0" applyFont="1" applyBorder="1" applyAlignment="1">
      <alignment vertical="center"/>
    </xf>
    <xf numFmtId="0" fontId="8" fillId="0" borderId="18" xfId="122" applyFont="1" applyBorder="1" applyAlignment="1">
      <alignment vertical="center"/>
      <protection/>
    </xf>
    <xf numFmtId="0" fontId="8" fillId="0" borderId="14" xfId="122" applyFont="1" applyBorder="1" applyAlignment="1">
      <alignment vertical="center"/>
      <protection/>
    </xf>
    <xf numFmtId="0" fontId="8" fillId="0" borderId="18" xfId="97" applyFont="1" applyBorder="1" applyAlignment="1">
      <alignment vertical="center"/>
      <protection/>
    </xf>
    <xf numFmtId="0" fontId="8" fillId="0" borderId="13" xfId="0" applyFont="1" applyBorder="1" applyAlignment="1">
      <alignment vertical="center" wrapText="1"/>
    </xf>
    <xf numFmtId="3" fontId="9" fillId="4" borderId="12" xfId="0" applyNumberFormat="1" applyFont="1" applyFill="1" applyBorder="1" applyAlignment="1">
      <alignment vertical="center"/>
    </xf>
    <xf numFmtId="0" fontId="9" fillId="0" borderId="10" xfId="122" applyFont="1" applyFill="1" applyBorder="1" applyAlignment="1">
      <alignment vertical="center"/>
      <protection/>
    </xf>
    <xf numFmtId="0" fontId="8" fillId="0" borderId="10" xfId="122" applyFont="1" applyFill="1" applyBorder="1" applyAlignment="1">
      <alignment vertical="center"/>
      <protection/>
    </xf>
    <xf numFmtId="0" fontId="9" fillId="4" borderId="10" xfId="93" applyFont="1" applyFill="1" applyBorder="1" applyAlignment="1">
      <alignment vertical="center" wrapText="1"/>
      <protection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8" fillId="4" borderId="13" xfId="0" applyFont="1" applyFill="1" applyBorder="1" applyAlignment="1">
      <alignment vertical="center" wrapText="1"/>
    </xf>
    <xf numFmtId="0" fontId="8" fillId="0" borderId="10" xfId="98" applyFont="1" applyBorder="1" applyAlignment="1">
      <alignment vertical="center" wrapText="1"/>
      <protection/>
    </xf>
    <xf numFmtId="3" fontId="8" fillId="0" borderId="10" xfId="0" applyNumberFormat="1" applyFont="1" applyFill="1" applyBorder="1" applyAlignment="1">
      <alignment horizontal="left" vertical="center"/>
    </xf>
    <xf numFmtId="0" fontId="15" fillId="0" borderId="12" xfId="93" applyFont="1" applyBorder="1" applyAlignment="1">
      <alignment vertical="center"/>
      <protection/>
    </xf>
    <xf numFmtId="3" fontId="15" fillId="0" borderId="12" xfId="0" applyNumberFormat="1" applyFont="1" applyFill="1" applyBorder="1" applyAlignment="1">
      <alignment vertical="center"/>
    </xf>
    <xf numFmtId="3" fontId="12" fillId="0" borderId="19" xfId="0" applyNumberFormat="1" applyFont="1" applyFill="1" applyBorder="1" applyAlignment="1">
      <alignment horizontal="center" vertical="center"/>
    </xf>
    <xf numFmtId="3" fontId="12" fillId="0" borderId="19" xfId="0" applyNumberFormat="1" applyFont="1" applyFill="1" applyBorder="1" applyAlignment="1">
      <alignment vertical="center"/>
    </xf>
    <xf numFmtId="3" fontId="12" fillId="24" borderId="19" xfId="0" applyNumberFormat="1" applyFont="1" applyFill="1" applyBorder="1" applyAlignment="1">
      <alignment vertical="center"/>
    </xf>
    <xf numFmtId="0" fontId="8" fillId="0" borderId="10" xfId="116" applyFont="1" applyFill="1" applyBorder="1" applyAlignment="1">
      <alignment vertical="center"/>
      <protection/>
    </xf>
    <xf numFmtId="0" fontId="9" fillId="4" borderId="20" xfId="122" applyFont="1" applyFill="1" applyBorder="1" applyAlignment="1">
      <alignment horizontal="center" vertical="center" wrapText="1"/>
      <protection/>
    </xf>
    <xf numFmtId="0" fontId="9" fillId="4" borderId="21" xfId="122" applyFont="1" applyFill="1" applyBorder="1" applyAlignment="1">
      <alignment horizontal="center" vertical="center" wrapText="1"/>
      <protection/>
    </xf>
    <xf numFmtId="3" fontId="9" fillId="4" borderId="21" xfId="122" applyNumberFormat="1" applyFont="1" applyFill="1" applyBorder="1" applyAlignment="1">
      <alignment horizontal="center" vertical="center" wrapText="1"/>
      <protection/>
    </xf>
    <xf numFmtId="0" fontId="8" fillId="0" borderId="10" xfId="122" applyFont="1" applyBorder="1">
      <alignment/>
      <protection/>
    </xf>
    <xf numFmtId="165" fontId="8" fillId="0" borderId="10" xfId="122" applyNumberFormat="1" applyFont="1" applyBorder="1">
      <alignment/>
      <protection/>
    </xf>
    <xf numFmtId="165" fontId="8" fillId="0" borderId="10" xfId="122" applyNumberFormat="1" applyFont="1" applyBorder="1" applyAlignment="1">
      <alignment vertical="center"/>
      <protection/>
    </xf>
    <xf numFmtId="0" fontId="62" fillId="4" borderId="10" xfId="116" applyFont="1" applyFill="1" applyBorder="1" applyAlignment="1">
      <alignment horizontal="center" vertical="center"/>
      <protection/>
    </xf>
    <xf numFmtId="0" fontId="63" fillId="4" borderId="10" xfId="116" applyFont="1" applyFill="1" applyBorder="1" applyAlignment="1">
      <alignment vertical="center"/>
      <protection/>
    </xf>
    <xf numFmtId="0" fontId="8" fillId="0" borderId="12" xfId="99" applyFont="1" applyFill="1" applyBorder="1" applyAlignment="1">
      <alignment vertical="top" wrapText="1"/>
      <protection/>
    </xf>
    <xf numFmtId="3" fontId="12" fillId="4" borderId="22" xfId="132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vertical="center"/>
    </xf>
    <xf numFmtId="0" fontId="12" fillId="4" borderId="10" xfId="93" applyFont="1" applyFill="1" applyBorder="1" applyAlignment="1">
      <alignment horizontal="center" vertical="center" wrapText="1"/>
      <protection/>
    </xf>
    <xf numFmtId="3" fontId="9" fillId="4" borderId="10" xfId="93" applyNumberFormat="1" applyFont="1" applyFill="1" applyBorder="1" applyAlignment="1">
      <alignment vertical="center"/>
      <protection/>
    </xf>
    <xf numFmtId="0" fontId="3" fillId="4" borderId="10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vertical="center" wrapText="1"/>
    </xf>
    <xf numFmtId="0" fontId="24" fillId="0" borderId="13" xfId="0" applyFont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5" fillId="0" borderId="13" xfId="0" applyFont="1" applyBorder="1" applyAlignment="1">
      <alignment vertical="center" wrapText="1"/>
    </xf>
    <xf numFmtId="0" fontId="13" fillId="0" borderId="23" xfId="0" applyFont="1" applyBorder="1" applyAlignment="1">
      <alignment wrapText="1"/>
    </xf>
    <xf numFmtId="3" fontId="12" fillId="4" borderId="23" xfId="0" applyNumberFormat="1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horizontal="right" vertical="center"/>
    </xf>
    <xf numFmtId="0" fontId="13" fillId="0" borderId="13" xfId="0" applyFont="1" applyBorder="1" applyAlignment="1">
      <alignment horizontal="right" vertical="center" wrapText="1"/>
    </xf>
    <xf numFmtId="0" fontId="0" fillId="4" borderId="24" xfId="0" applyFill="1" applyBorder="1" applyAlignment="1">
      <alignment vertical="center"/>
    </xf>
    <xf numFmtId="0" fontId="13" fillId="0" borderId="13" xfId="0" applyFont="1" applyBorder="1" applyAlignment="1">
      <alignment horizontal="right" vertical="center"/>
    </xf>
    <xf numFmtId="3" fontId="13" fillId="0" borderId="13" xfId="0" applyNumberFormat="1" applyFont="1" applyFill="1" applyBorder="1" applyAlignment="1">
      <alignment horizontal="right" vertical="center" wrapText="1"/>
    </xf>
    <xf numFmtId="0" fontId="13" fillId="0" borderId="10" xfId="0" applyFont="1" applyBorder="1" applyAlignment="1">
      <alignment horizontal="right" wrapText="1"/>
    </xf>
    <xf numFmtId="0" fontId="3" fillId="4" borderId="14" xfId="0" applyFont="1" applyFill="1" applyBorder="1" applyAlignment="1">
      <alignment horizontal="center" vertical="center" wrapText="1"/>
    </xf>
    <xf numFmtId="0" fontId="9" fillId="4" borderId="25" xfId="93" applyFont="1" applyFill="1" applyBorder="1" applyAlignment="1">
      <alignment horizontal="center" vertical="top" wrapText="1"/>
      <protection/>
    </xf>
    <xf numFmtId="0" fontId="9" fillId="4" borderId="25" xfId="93" applyFont="1" applyFill="1" applyBorder="1" applyAlignment="1">
      <alignment horizontal="center" vertical="center" wrapText="1"/>
      <protection/>
    </xf>
    <xf numFmtId="3" fontId="8" fillId="24" borderId="10" xfId="132" applyNumberFormat="1" applyFont="1" applyFill="1" applyBorder="1" applyAlignment="1">
      <alignment horizontal="right" vertical="top" wrapText="1"/>
      <protection/>
    </xf>
    <xf numFmtId="0" fontId="9" fillId="4" borderId="26" xfId="93" applyFont="1" applyFill="1" applyBorder="1" applyAlignment="1">
      <alignment horizontal="center" vertical="top" wrapText="1"/>
      <protection/>
    </xf>
    <xf numFmtId="0" fontId="9" fillId="0" borderId="14" xfId="122" applyFont="1" applyBorder="1" applyAlignment="1">
      <alignment vertical="center"/>
      <protection/>
    </xf>
    <xf numFmtId="3" fontId="12" fillId="4" borderId="10" xfId="132" applyNumberFormat="1" applyFont="1" applyFill="1" applyBorder="1" applyAlignment="1">
      <alignment horizontal="center" vertical="center" wrapText="1"/>
      <protection/>
    </xf>
    <xf numFmtId="0" fontId="8" fillId="0" borderId="10" xfId="116" applyFont="1" applyFill="1" applyBorder="1" applyAlignment="1">
      <alignment vertical="center" wrapText="1"/>
      <protection/>
    </xf>
    <xf numFmtId="3" fontId="13" fillId="0" borderId="10" xfId="132" applyNumberFormat="1" applyFont="1" applyFill="1" applyBorder="1" applyAlignment="1">
      <alignment horizontal="right" vertical="center" wrapText="1"/>
      <protection/>
    </xf>
    <xf numFmtId="3" fontId="13" fillId="0" borderId="12" xfId="0" applyNumberFormat="1" applyFont="1" applyFill="1" applyBorder="1" applyAlignment="1">
      <alignment horizontal="left" vertical="center" wrapText="1"/>
    </xf>
    <xf numFmtId="3" fontId="8" fillId="0" borderId="13" xfId="0" applyNumberFormat="1" applyFont="1" applyBorder="1" applyAlignment="1">
      <alignment vertical="center" wrapText="1"/>
    </xf>
    <xf numFmtId="0" fontId="5" fillId="0" borderId="0" xfId="97" applyFont="1" applyAlignment="1">
      <alignment vertical="center"/>
      <protection/>
    </xf>
    <xf numFmtId="0" fontId="8" fillId="0" borderId="27" xfId="118" applyFont="1" applyBorder="1" applyAlignment="1">
      <alignment wrapText="1"/>
      <protection/>
    </xf>
    <xf numFmtId="0" fontId="8" fillId="0" borderId="28" xfId="0" applyFont="1" applyBorder="1" applyAlignment="1">
      <alignment wrapText="1"/>
    </xf>
    <xf numFmtId="3" fontId="16" fillId="25" borderId="27" xfId="117" applyNumberFormat="1" applyFont="1" applyFill="1" applyBorder="1" applyAlignment="1">
      <alignment horizontal="center" vertical="center" wrapText="1"/>
      <protection/>
    </xf>
    <xf numFmtId="0" fontId="8" fillId="0" borderId="29" xfId="98" applyFont="1" applyFill="1" applyBorder="1" applyAlignment="1">
      <alignment vertical="top" wrapText="1"/>
      <protection/>
    </xf>
    <xf numFmtId="0" fontId="8" fillId="0" borderId="29" xfId="93" applyFont="1" applyFill="1" applyBorder="1" applyAlignment="1">
      <alignment horizontal="left" vertical="center" wrapText="1"/>
      <protection/>
    </xf>
    <xf numFmtId="0" fontId="8" fillId="0" borderId="29" xfId="95" applyFont="1" applyFill="1" applyBorder="1" applyAlignment="1">
      <alignment horizontal="left" vertical="center" wrapText="1"/>
      <protection/>
    </xf>
    <xf numFmtId="0" fontId="8" fillId="0" borderId="29" xfId="101" applyFont="1" applyFill="1" applyBorder="1" applyAlignment="1">
      <alignment vertical="top" wrapText="1"/>
      <protection/>
    </xf>
    <xf numFmtId="0" fontId="8" fillId="0" borderId="30" xfId="0" applyFont="1" applyFill="1" applyBorder="1" applyAlignment="1">
      <alignment vertical="top" wrapText="1"/>
    </xf>
    <xf numFmtId="0" fontId="64" fillId="0" borderId="0" xfId="114" applyFont="1">
      <alignment/>
      <protection/>
    </xf>
    <xf numFmtId="3" fontId="16" fillId="25" borderId="31" xfId="117" applyNumberFormat="1" applyFont="1" applyFill="1" applyBorder="1" applyAlignment="1">
      <alignment horizontal="center" vertical="center" wrapText="1"/>
      <protection/>
    </xf>
    <xf numFmtId="3" fontId="16" fillId="25" borderId="32" xfId="117" applyNumberFormat="1" applyFont="1" applyFill="1" applyBorder="1" applyAlignment="1">
      <alignment horizontal="center" vertical="center" wrapText="1"/>
      <protection/>
    </xf>
    <xf numFmtId="3" fontId="16" fillId="25" borderId="33" xfId="117" applyNumberFormat="1" applyFont="1" applyFill="1" applyBorder="1" applyAlignment="1">
      <alignment horizontal="center" vertical="center" wrapText="1"/>
      <protection/>
    </xf>
    <xf numFmtId="3" fontId="16" fillId="25" borderId="34" xfId="117" applyNumberFormat="1" applyFont="1" applyFill="1" applyBorder="1" applyAlignment="1">
      <alignment horizontal="center" vertical="center" wrapText="1"/>
      <protection/>
    </xf>
    <xf numFmtId="3" fontId="44" fillId="0" borderId="27" xfId="117" applyNumberFormat="1" applyFont="1" applyBorder="1" applyAlignment="1">
      <alignment vertical="center" wrapText="1"/>
      <protection/>
    </xf>
    <xf numFmtId="3" fontId="44" fillId="0" borderId="27" xfId="117" applyNumberFormat="1" applyFont="1" applyBorder="1" applyAlignment="1">
      <alignment horizontal="center" vertical="center" wrapText="1"/>
      <protection/>
    </xf>
    <xf numFmtId="3" fontId="44" fillId="0" borderId="27" xfId="117" applyNumberFormat="1" applyFont="1" applyBorder="1" applyAlignment="1">
      <alignment horizontal="right" vertical="center" wrapText="1"/>
      <protection/>
    </xf>
    <xf numFmtId="3" fontId="44" fillId="0" borderId="35" xfId="117" applyNumberFormat="1" applyFont="1" applyBorder="1" applyAlignment="1">
      <alignment vertical="center" wrapText="1"/>
      <protection/>
    </xf>
    <xf numFmtId="0" fontId="69" fillId="0" borderId="0" xfId="114" applyFont="1">
      <alignment/>
      <protection/>
    </xf>
    <xf numFmtId="0" fontId="44" fillId="0" borderId="27" xfId="124" applyFont="1" applyBorder="1" applyAlignment="1">
      <alignment vertical="center" wrapText="1"/>
      <protection/>
    </xf>
    <xf numFmtId="0" fontId="44" fillId="0" borderId="27" xfId="117" applyNumberFormat="1" applyFont="1" applyBorder="1" applyAlignment="1">
      <alignment horizontal="center" vertical="center" wrapText="1"/>
      <protection/>
    </xf>
    <xf numFmtId="0" fontId="44" fillId="0" borderId="36" xfId="102" applyFont="1" applyBorder="1" applyAlignment="1">
      <alignment vertical="center" wrapText="1"/>
      <protection/>
    </xf>
    <xf numFmtId="3" fontId="44" fillId="0" borderId="27" xfId="117" applyNumberFormat="1" applyFont="1" applyFill="1" applyBorder="1" applyAlignment="1">
      <alignment horizontal="center" vertical="center" wrapText="1"/>
      <protection/>
    </xf>
    <xf numFmtId="3" fontId="16" fillId="25" borderId="27" xfId="117" applyNumberFormat="1" applyFont="1" applyFill="1" applyBorder="1" applyAlignment="1">
      <alignment vertical="center" wrapText="1"/>
      <protection/>
    </xf>
    <xf numFmtId="3" fontId="44" fillId="0" borderId="0" xfId="117" applyNumberFormat="1" applyFont="1" applyAlignment="1">
      <alignment vertical="center" wrapText="1"/>
      <protection/>
    </xf>
    <xf numFmtId="3" fontId="45" fillId="0" borderId="0" xfId="117" applyNumberFormat="1" applyFont="1" applyAlignment="1">
      <alignment vertical="center" wrapText="1"/>
      <protection/>
    </xf>
    <xf numFmtId="3" fontId="16" fillId="25" borderId="30" xfId="117" applyNumberFormat="1" applyFont="1" applyFill="1" applyBorder="1" applyAlignment="1">
      <alignment horizontal="center" vertical="center" wrapText="1"/>
      <protection/>
    </xf>
    <xf numFmtId="3" fontId="44" fillId="25" borderId="35" xfId="117" applyNumberFormat="1" applyFont="1" applyFill="1" applyBorder="1" applyAlignment="1">
      <alignment vertical="center" wrapText="1"/>
      <protection/>
    </xf>
    <xf numFmtId="3" fontId="44" fillId="0" borderId="27" xfId="117" applyNumberFormat="1" applyFont="1" applyFill="1" applyBorder="1" applyAlignment="1">
      <alignment vertical="center" wrapText="1"/>
      <protection/>
    </xf>
    <xf numFmtId="0" fontId="8" fillId="0" borderId="0" xfId="93" applyFont="1" applyFill="1" applyBorder="1" applyAlignment="1">
      <alignment horizontal="left" vertical="center" wrapText="1"/>
      <protection/>
    </xf>
    <xf numFmtId="3" fontId="8" fillId="0" borderId="10" xfId="98" applyNumberFormat="1" applyFont="1" applyFill="1" applyBorder="1" applyAlignment="1">
      <alignment vertical="center" wrapText="1"/>
      <protection/>
    </xf>
    <xf numFmtId="3" fontId="13" fillId="0" borderId="14" xfId="132" applyNumberFormat="1" applyFont="1" applyFill="1" applyBorder="1" applyAlignment="1">
      <alignment horizontal="center" vertical="center" wrapText="1"/>
      <protection/>
    </xf>
    <xf numFmtId="3" fontId="12" fillId="4" borderId="37" xfId="132" applyNumberFormat="1" applyFont="1" applyFill="1" applyBorder="1" applyAlignment="1">
      <alignment horizontal="center" vertical="center" wrapText="1"/>
      <protection/>
    </xf>
    <xf numFmtId="3" fontId="13" fillId="0" borderId="14" xfId="0" applyNumberFormat="1" applyFont="1" applyBorder="1" applyAlignment="1">
      <alignment vertical="center"/>
    </xf>
    <xf numFmtId="3" fontId="16" fillId="4" borderId="38" xfId="132" applyNumberFormat="1" applyFont="1" applyFill="1" applyBorder="1" applyAlignment="1">
      <alignment horizontal="center" vertical="center"/>
      <protection/>
    </xf>
    <xf numFmtId="3" fontId="16" fillId="4" borderId="39" xfId="132" applyNumberFormat="1" applyFont="1" applyFill="1" applyBorder="1" applyAlignment="1">
      <alignment horizontal="center" vertical="center"/>
      <protection/>
    </xf>
    <xf numFmtId="2" fontId="9" fillId="4" borderId="21" xfId="122" applyNumberFormat="1" applyFont="1" applyFill="1" applyBorder="1" applyAlignment="1">
      <alignment horizontal="center" vertical="center" wrapText="1"/>
      <protection/>
    </xf>
    <xf numFmtId="0" fontId="19" fillId="0" borderId="0" xfId="119">
      <alignment/>
      <protection/>
    </xf>
    <xf numFmtId="0" fontId="8" fillId="0" borderId="10" xfId="121" applyFont="1" applyFill="1" applyBorder="1" applyAlignment="1">
      <alignment horizontal="left" vertical="center" wrapText="1"/>
      <protection/>
    </xf>
    <xf numFmtId="164" fontId="8" fillId="0" borderId="10" xfId="122" applyNumberFormat="1" applyFont="1" applyBorder="1" applyAlignment="1">
      <alignment vertical="center"/>
      <protection/>
    </xf>
    <xf numFmtId="2" fontId="8" fillId="0" borderId="10" xfId="122" applyNumberFormat="1" applyFont="1" applyBorder="1" applyAlignment="1">
      <alignment vertical="center"/>
      <protection/>
    </xf>
    <xf numFmtId="49" fontId="19" fillId="0" borderId="0" xfId="119" applyNumberFormat="1">
      <alignment/>
      <protection/>
    </xf>
    <xf numFmtId="164" fontId="8" fillId="0" borderId="10" xfId="122" applyNumberFormat="1" applyFont="1" applyBorder="1">
      <alignment/>
      <protection/>
    </xf>
    <xf numFmtId="2" fontId="8" fillId="0" borderId="10" xfId="122" applyNumberFormat="1" applyFont="1" applyBorder="1">
      <alignment/>
      <protection/>
    </xf>
    <xf numFmtId="164" fontId="63" fillId="4" borderId="10" xfId="122" applyNumberFormat="1" applyFont="1" applyFill="1" applyBorder="1">
      <alignment/>
      <protection/>
    </xf>
    <xf numFmtId="165" fontId="63" fillId="4" borderId="10" xfId="122" applyNumberFormat="1" applyFont="1" applyFill="1" applyBorder="1">
      <alignment/>
      <protection/>
    </xf>
    <xf numFmtId="164" fontId="8" fillId="0" borderId="10" xfId="122" applyNumberFormat="1" applyFont="1" applyFill="1" applyBorder="1">
      <alignment/>
      <protection/>
    </xf>
    <xf numFmtId="0" fontId="62" fillId="0" borderId="0" xfId="119" applyFont="1">
      <alignment/>
      <protection/>
    </xf>
    <xf numFmtId="0" fontId="62" fillId="4" borderId="10" xfId="119" applyFont="1" applyFill="1" applyBorder="1">
      <alignment/>
      <protection/>
    </xf>
    <xf numFmtId="0" fontId="62" fillId="4" borderId="10" xfId="116" applyFont="1" applyFill="1" applyBorder="1" applyAlignment="1">
      <alignment vertical="center"/>
      <protection/>
    </xf>
    <xf numFmtId="164" fontId="63" fillId="4" borderId="10" xfId="119" applyNumberFormat="1" applyFont="1" applyFill="1" applyBorder="1">
      <alignment/>
      <protection/>
    </xf>
    <xf numFmtId="164" fontId="8" fillId="0" borderId="10" xfId="119" applyNumberFormat="1" applyFont="1" applyBorder="1">
      <alignment/>
      <protection/>
    </xf>
    <xf numFmtId="0" fontId="8" fillId="0" borderId="0" xfId="0" applyFont="1" applyFill="1" applyBorder="1" applyAlignment="1">
      <alignment wrapText="1"/>
    </xf>
    <xf numFmtId="0" fontId="22" fillId="0" borderId="10" xfId="115" applyFont="1" applyFill="1" applyBorder="1" applyAlignment="1">
      <alignment horizontal="left" vertical="center" wrapText="1"/>
      <protection/>
    </xf>
    <xf numFmtId="0" fontId="13" fillId="0" borderId="10" xfId="116" applyFont="1" applyFill="1" applyBorder="1" applyAlignment="1">
      <alignment vertical="center" wrapText="1"/>
      <protection/>
    </xf>
    <xf numFmtId="0" fontId="13" fillId="0" borderId="10" xfId="122" applyFont="1" applyFill="1" applyBorder="1" applyAlignment="1">
      <alignment vertical="center" wrapText="1"/>
      <protection/>
    </xf>
    <xf numFmtId="3" fontId="13" fillId="0" borderId="13" xfId="0" applyNumberFormat="1" applyFont="1" applyBorder="1" applyAlignment="1">
      <alignment horizontal="left" vertical="center"/>
    </xf>
    <xf numFmtId="0" fontId="8" fillId="0" borderId="14" xfId="122" applyFont="1" applyFill="1" applyBorder="1" applyAlignment="1">
      <alignment vertical="center" wrapText="1"/>
      <protection/>
    </xf>
    <xf numFmtId="3" fontId="8" fillId="0" borderId="12" xfId="0" applyNumberFormat="1" applyFont="1" applyFill="1" applyBorder="1" applyAlignment="1">
      <alignment vertical="center" wrapText="1"/>
    </xf>
    <xf numFmtId="3" fontId="13" fillId="0" borderId="12" xfId="0" applyNumberFormat="1" applyFont="1" applyBorder="1" applyAlignment="1">
      <alignment horizontal="left" vertical="center" wrapText="1"/>
    </xf>
    <xf numFmtId="0" fontId="7" fillId="0" borderId="0" xfId="130" applyFont="1" applyAlignment="1">
      <alignment vertical="center"/>
      <protection/>
    </xf>
    <xf numFmtId="0" fontId="6" fillId="0" borderId="0" xfId="130" applyFont="1" applyAlignment="1">
      <alignment vertical="center"/>
      <protection/>
    </xf>
    <xf numFmtId="0" fontId="8" fillId="0" borderId="0" xfId="103" applyFont="1">
      <alignment/>
      <protection/>
    </xf>
    <xf numFmtId="0" fontId="6" fillId="26" borderId="0" xfId="130" applyFont="1" applyFill="1" applyBorder="1" applyAlignment="1">
      <alignment vertical="center"/>
      <protection/>
    </xf>
    <xf numFmtId="0" fontId="7" fillId="26" borderId="0" xfId="130" applyFont="1" applyFill="1" applyBorder="1" applyAlignment="1">
      <alignment vertical="center"/>
      <protection/>
    </xf>
    <xf numFmtId="3" fontId="7" fillId="26" borderId="0" xfId="130" applyNumberFormat="1" applyFont="1" applyFill="1" applyBorder="1" applyAlignment="1">
      <alignment vertical="center"/>
      <protection/>
    </xf>
    <xf numFmtId="3" fontId="6" fillId="26" borderId="0" xfId="130" applyNumberFormat="1" applyFont="1" applyFill="1" applyBorder="1" applyAlignment="1">
      <alignment vertical="center"/>
      <protection/>
    </xf>
    <xf numFmtId="0" fontId="6" fillId="0" borderId="0" xfId="130" applyFont="1" applyAlignment="1">
      <alignment horizontal="left" vertical="center"/>
      <protection/>
    </xf>
    <xf numFmtId="0" fontId="6" fillId="0" borderId="0" xfId="130" applyFont="1" applyAlignment="1">
      <alignment horizontal="center" vertical="center"/>
      <protection/>
    </xf>
    <xf numFmtId="0" fontId="5" fillId="0" borderId="0" xfId="103">
      <alignment/>
      <protection/>
    </xf>
    <xf numFmtId="49" fontId="8" fillId="0" borderId="0" xfId="120" applyNumberFormat="1" applyFont="1" applyBorder="1" applyAlignment="1">
      <alignment horizontal="left" vertical="top" wrapText="1"/>
      <protection/>
    </xf>
    <xf numFmtId="0" fontId="71" fillId="0" borderId="0" xfId="103" applyFont="1" applyBorder="1">
      <alignment/>
      <protection/>
    </xf>
    <xf numFmtId="0" fontId="8" fillId="0" borderId="0" xfId="103" applyFont="1" applyAlignment="1">
      <alignment horizontal="left"/>
      <protection/>
    </xf>
    <xf numFmtId="0" fontId="9" fillId="0" borderId="0" xfId="103" applyFont="1">
      <alignment/>
      <protection/>
    </xf>
    <xf numFmtId="0" fontId="0" fillId="0" borderId="13" xfId="0" applyFont="1" applyFill="1" applyBorder="1" applyAlignment="1">
      <alignment vertical="center"/>
    </xf>
    <xf numFmtId="3" fontId="8" fillId="0" borderId="12" xfId="0" applyNumberFormat="1" applyFont="1" applyBorder="1" applyAlignment="1">
      <alignment horizontal="left" vertical="center" wrapText="1"/>
    </xf>
    <xf numFmtId="0" fontId="8" fillId="0" borderId="12" xfId="98" applyFont="1" applyBorder="1" applyAlignment="1">
      <alignment vertical="center" wrapText="1"/>
      <protection/>
    </xf>
    <xf numFmtId="0" fontId="8" fillId="0" borderId="10" xfId="97" applyFont="1" applyBorder="1" applyAlignment="1">
      <alignment vertical="center" wrapText="1"/>
      <protection/>
    </xf>
    <xf numFmtId="0" fontId="13" fillId="0" borderId="12" xfId="122" applyFont="1" applyBorder="1" applyAlignment="1">
      <alignment vertical="center" wrapText="1"/>
      <protection/>
    </xf>
    <xf numFmtId="0" fontId="8" fillId="0" borderId="18" xfId="97" applyFont="1" applyBorder="1" applyAlignment="1">
      <alignment vertical="center" wrapText="1"/>
      <protection/>
    </xf>
    <xf numFmtId="0" fontId="8" fillId="0" borderId="12" xfId="122" applyFont="1" applyFill="1" applyBorder="1" applyAlignment="1">
      <alignment vertical="center" wrapText="1"/>
      <protection/>
    </xf>
    <xf numFmtId="3" fontId="25" fillId="0" borderId="13" xfId="0" applyNumberFormat="1" applyFont="1" applyBorder="1" applyAlignment="1">
      <alignment horizontal="left" vertical="center" wrapText="1"/>
    </xf>
    <xf numFmtId="3" fontId="13" fillId="0" borderId="12" xfId="132" applyNumberFormat="1" applyFont="1" applyFill="1" applyBorder="1" applyAlignment="1">
      <alignment horizontal="left" vertical="center"/>
      <protection/>
    </xf>
    <xf numFmtId="3" fontId="13" fillId="0" borderId="13" xfId="132" applyNumberFormat="1" applyFont="1" applyFill="1" applyBorder="1" applyAlignment="1">
      <alignment horizontal="left" vertical="center"/>
      <protection/>
    </xf>
    <xf numFmtId="0" fontId="0" fillId="0" borderId="13" xfId="0" applyFont="1" applyBorder="1" applyAlignment="1">
      <alignment vertical="center"/>
    </xf>
    <xf numFmtId="49" fontId="13" fillId="0" borderId="12" xfId="0" applyNumberFormat="1" applyFont="1" applyBorder="1" applyAlignment="1">
      <alignment vertical="center"/>
    </xf>
    <xf numFmtId="3" fontId="12" fillId="4" borderId="14" xfId="132" applyNumberFormat="1" applyFont="1" applyFill="1" applyBorder="1" applyAlignment="1">
      <alignment horizontal="center" vertical="center" wrapText="1"/>
      <protection/>
    </xf>
    <xf numFmtId="3" fontId="12" fillId="4" borderId="40" xfId="132" applyNumberFormat="1" applyFont="1" applyFill="1" applyBorder="1" applyAlignment="1">
      <alignment horizontal="center" vertical="center" wrapText="1"/>
      <protection/>
    </xf>
    <xf numFmtId="0" fontId="19" fillId="0" borderId="10" xfId="119" applyFont="1" applyBorder="1">
      <alignment/>
      <protection/>
    </xf>
    <xf numFmtId="0" fontId="8" fillId="0" borderId="10" xfId="122" applyFont="1" applyFill="1" applyBorder="1" applyAlignment="1">
      <alignment horizontal="center" vertical="center" wrapText="1"/>
      <protection/>
    </xf>
    <xf numFmtId="3" fontId="13" fillId="0" borderId="13" xfId="132" applyNumberFormat="1" applyFont="1" applyFill="1" applyBorder="1" applyAlignment="1">
      <alignment vertical="center"/>
      <protection/>
    </xf>
    <xf numFmtId="3" fontId="0" fillId="0" borderId="13" xfId="0" applyNumberFormat="1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3" fontId="0" fillId="0" borderId="10" xfId="0" applyNumberFormat="1" applyFont="1" applyBorder="1" applyAlignment="1">
      <alignment/>
    </xf>
    <xf numFmtId="3" fontId="0" fillId="0" borderId="41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/>
    </xf>
    <xf numFmtId="0" fontId="3" fillId="4" borderId="10" xfId="0" applyFont="1" applyFill="1" applyBorder="1" applyAlignment="1">
      <alignment/>
    </xf>
    <xf numFmtId="3" fontId="3" fillId="4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19" fillId="0" borderId="10" xfId="105" applyBorder="1">
      <alignment/>
      <protection/>
    </xf>
    <xf numFmtId="0" fontId="72" fillId="0" borderId="10" xfId="105" applyFont="1" applyBorder="1" applyAlignment="1">
      <alignment horizontal="center" vertical="center"/>
      <protection/>
    </xf>
    <xf numFmtId="0" fontId="19" fillId="0" borderId="0" xfId="105">
      <alignment/>
      <protection/>
    </xf>
    <xf numFmtId="0" fontId="72" fillId="0" borderId="10" xfId="105" applyFont="1" applyBorder="1">
      <alignment/>
      <protection/>
    </xf>
    <xf numFmtId="3" fontId="72" fillId="0" borderId="10" xfId="105" applyNumberFormat="1" applyFont="1" applyBorder="1">
      <alignment/>
      <protection/>
    </xf>
    <xf numFmtId="3" fontId="19" fillId="0" borderId="10" xfId="105" applyNumberFormat="1" applyBorder="1">
      <alignment/>
      <protection/>
    </xf>
    <xf numFmtId="0" fontId="19" fillId="0" borderId="10" xfId="105" applyFont="1" applyBorder="1">
      <alignment/>
      <protection/>
    </xf>
    <xf numFmtId="0" fontId="19" fillId="0" borderId="10" xfId="105" applyFont="1" applyBorder="1">
      <alignment/>
      <protection/>
    </xf>
    <xf numFmtId="0" fontId="72" fillId="4" borderId="10" xfId="105" applyFont="1" applyFill="1" applyBorder="1" applyAlignment="1">
      <alignment vertical="center"/>
      <protection/>
    </xf>
    <xf numFmtId="3" fontId="72" fillId="4" borderId="10" xfId="105" applyNumberFormat="1" applyFont="1" applyFill="1" applyBorder="1" applyAlignment="1">
      <alignment vertical="center"/>
      <protection/>
    </xf>
    <xf numFmtId="0" fontId="15" fillId="0" borderId="10" xfId="93" applyFont="1" applyBorder="1" applyAlignment="1">
      <alignment vertical="center"/>
      <protection/>
    </xf>
    <xf numFmtId="3" fontId="13" fillId="0" borderId="10" xfId="93" applyNumberFormat="1" applyFont="1" applyFill="1" applyBorder="1" applyAlignment="1">
      <alignment vertical="center"/>
      <protection/>
    </xf>
    <xf numFmtId="0" fontId="8" fillId="0" borderId="10" xfId="93" applyFont="1" applyFill="1" applyBorder="1" applyAlignment="1">
      <alignment vertical="center"/>
      <protection/>
    </xf>
    <xf numFmtId="3" fontId="8" fillId="0" borderId="10" xfId="93" applyNumberFormat="1" applyFont="1" applyBorder="1" applyAlignment="1">
      <alignment vertical="center"/>
      <protection/>
    </xf>
    <xf numFmtId="0" fontId="13" fillId="0" borderId="10" xfId="116" applyFont="1" applyBorder="1" applyAlignment="1">
      <alignment vertical="center" wrapText="1"/>
      <protection/>
    </xf>
    <xf numFmtId="0" fontId="12" fillId="4" borderId="10" xfId="116" applyFont="1" applyFill="1" applyBorder="1" applyAlignment="1">
      <alignment vertical="center"/>
      <protection/>
    </xf>
    <xf numFmtId="3" fontId="9" fillId="0" borderId="0" xfId="93" applyNumberFormat="1" applyFont="1" applyFill="1" applyBorder="1" applyAlignment="1">
      <alignment vertical="center"/>
      <protection/>
    </xf>
    <xf numFmtId="0" fontId="9" fillId="4" borderId="10" xfId="116" applyFont="1" applyFill="1" applyBorder="1" applyAlignment="1">
      <alignment vertical="center" wrapText="1"/>
      <protection/>
    </xf>
    <xf numFmtId="3" fontId="14" fillId="4" borderId="10" xfId="93" applyNumberFormat="1" applyFont="1" applyFill="1" applyBorder="1" applyAlignment="1">
      <alignment vertical="center"/>
      <protection/>
    </xf>
    <xf numFmtId="3" fontId="13" fillId="0" borderId="12" xfId="93" applyNumberFormat="1" applyFont="1" applyBorder="1" applyAlignment="1">
      <alignment vertical="center"/>
      <protection/>
    </xf>
    <xf numFmtId="3" fontId="13" fillId="0" borderId="15" xfId="93" applyNumberFormat="1" applyFont="1" applyBorder="1" applyAlignment="1">
      <alignment vertical="center"/>
      <protection/>
    </xf>
    <xf numFmtId="3" fontId="13" fillId="0" borderId="13" xfId="93" applyNumberFormat="1" applyFont="1" applyBorder="1" applyAlignment="1">
      <alignment vertical="center"/>
      <protection/>
    </xf>
    <xf numFmtId="0" fontId="5" fillId="0" borderId="0" xfId="93" applyFont="1" applyAlignment="1">
      <alignment vertical="center"/>
      <protection/>
    </xf>
    <xf numFmtId="3" fontId="13" fillId="0" borderId="12" xfId="0" applyNumberFormat="1" applyFont="1" applyFill="1" applyBorder="1" applyAlignment="1">
      <alignment vertical="center" wrapText="1"/>
    </xf>
    <xf numFmtId="3" fontId="8" fillId="0" borderId="12" xfId="98" applyNumberFormat="1" applyFont="1" applyFill="1" applyBorder="1" applyAlignment="1">
      <alignment vertical="center" wrapText="1"/>
      <protection/>
    </xf>
    <xf numFmtId="3" fontId="8" fillId="0" borderId="0" xfId="93" applyNumberFormat="1" applyFont="1" applyAlignment="1">
      <alignment vertical="center"/>
      <protection/>
    </xf>
    <xf numFmtId="0" fontId="67" fillId="0" borderId="0" xfId="106" applyFont="1" applyAlignment="1">
      <alignment horizontal="center"/>
      <protection/>
    </xf>
    <xf numFmtId="0" fontId="67" fillId="0" borderId="0" xfId="106" applyFont="1">
      <alignment/>
      <protection/>
    </xf>
    <xf numFmtId="0" fontId="67" fillId="0" borderId="0" xfId="112" applyFont="1">
      <alignment/>
      <protection/>
    </xf>
    <xf numFmtId="0" fontId="67" fillId="0" borderId="0" xfId="121" applyFont="1" applyAlignment="1">
      <alignment horizontal="center"/>
      <protection/>
    </xf>
    <xf numFmtId="0" fontId="67" fillId="0" borderId="0" xfId="121" applyFont="1">
      <alignment/>
      <protection/>
    </xf>
    <xf numFmtId="0" fontId="62" fillId="0" borderId="0" xfId="106" applyFont="1" applyAlignment="1">
      <alignment horizontal="center" vertical="center"/>
      <protection/>
    </xf>
    <xf numFmtId="0" fontId="62" fillId="0" borderId="0" xfId="106" applyFont="1">
      <alignment/>
      <protection/>
    </xf>
    <xf numFmtId="0" fontId="67" fillId="0" borderId="0" xfId="106" applyFont="1" applyAlignment="1">
      <alignment wrapText="1"/>
      <protection/>
    </xf>
    <xf numFmtId="0" fontId="67" fillId="0" borderId="0" xfId="106" applyFont="1" applyAlignment="1">
      <alignment vertical="center" wrapText="1"/>
      <protection/>
    </xf>
    <xf numFmtId="0" fontId="62" fillId="0" borderId="0" xfId="106" applyFont="1" applyAlignment="1">
      <alignment vertical="center" wrapText="1"/>
      <protection/>
    </xf>
    <xf numFmtId="0" fontId="62" fillId="0" borderId="0" xfId="106" applyFont="1" applyAlignment="1">
      <alignment horizontal="center"/>
      <protection/>
    </xf>
    <xf numFmtId="0" fontId="62" fillId="0" borderId="0" xfId="106" applyFont="1" applyAlignment="1">
      <alignment wrapText="1"/>
      <protection/>
    </xf>
    <xf numFmtId="0" fontId="62" fillId="0" borderId="0" xfId="106" applyFont="1" applyAlignment="1">
      <alignment horizontal="center" vertical="top"/>
      <protection/>
    </xf>
    <xf numFmtId="49" fontId="67" fillId="0" borderId="0" xfId="106" applyNumberFormat="1" applyFont="1">
      <alignment/>
      <protection/>
    </xf>
    <xf numFmtId="49" fontId="62" fillId="0" borderId="0" xfId="106" applyNumberFormat="1" applyFont="1">
      <alignment/>
      <protection/>
    </xf>
    <xf numFmtId="49" fontId="67" fillId="0" borderId="0" xfId="106" applyNumberFormat="1" applyFont="1" applyAlignment="1">
      <alignment wrapText="1"/>
      <protection/>
    </xf>
    <xf numFmtId="0" fontId="67" fillId="0" borderId="0" xfId="112" applyFont="1" applyAlignment="1">
      <alignment horizontal="center"/>
      <protection/>
    </xf>
    <xf numFmtId="0" fontId="19" fillId="0" borderId="0" xfId="113">
      <alignment/>
      <protection/>
    </xf>
    <xf numFmtId="0" fontId="9" fillId="4" borderId="10" xfId="113" applyFont="1" applyFill="1" applyBorder="1" applyAlignment="1">
      <alignment horizontal="center" vertical="center" wrapText="1"/>
      <protection/>
    </xf>
    <xf numFmtId="0" fontId="9" fillId="4" borderId="10" xfId="113" applyFont="1" applyFill="1" applyBorder="1" applyAlignment="1">
      <alignment horizontal="center" vertical="center"/>
      <protection/>
    </xf>
    <xf numFmtId="0" fontId="12" fillId="4" borderId="10" xfId="113" applyFont="1" applyFill="1" applyBorder="1" applyAlignment="1">
      <alignment horizontal="center" vertical="center" wrapText="1"/>
      <protection/>
    </xf>
    <xf numFmtId="0" fontId="45" fillId="0" borderId="0" xfId="113" applyFont="1" applyAlignment="1">
      <alignment horizontal="center" vertical="center"/>
      <protection/>
    </xf>
    <xf numFmtId="0" fontId="8" fillId="0" borderId="10" xfId="113" applyFont="1" applyFill="1" applyBorder="1" applyAlignment="1">
      <alignment horizontal="center" vertical="center" wrapText="1"/>
      <protection/>
    </xf>
    <xf numFmtId="0" fontId="8" fillId="0" borderId="10" xfId="113" applyFont="1" applyFill="1" applyBorder="1" applyAlignment="1">
      <alignment vertical="center" wrapText="1"/>
      <protection/>
    </xf>
    <xf numFmtId="3" fontId="8" fillId="0" borderId="10" xfId="113" applyNumberFormat="1" applyFont="1" applyFill="1" applyBorder="1" applyAlignment="1">
      <alignment horizontal="right" vertical="center" wrapText="1"/>
      <protection/>
    </xf>
    <xf numFmtId="3" fontId="9" fillId="0" borderId="10" xfId="113" applyNumberFormat="1" applyFont="1" applyFill="1" applyBorder="1" applyAlignment="1">
      <alignment horizontal="right" vertical="center" wrapText="1"/>
      <protection/>
    </xf>
    <xf numFmtId="10" fontId="20" fillId="0" borderId="10" xfId="143" applyNumberFormat="1" applyFont="1" applyFill="1" applyBorder="1" applyAlignment="1">
      <alignment horizontal="center" vertical="center" wrapText="1"/>
    </xf>
    <xf numFmtId="49" fontId="8" fillId="0" borderId="10" xfId="143" applyNumberFormat="1" applyFont="1" applyFill="1" applyBorder="1" applyAlignment="1">
      <alignment horizontal="center" vertical="center" wrapText="1"/>
    </xf>
    <xf numFmtId="3" fontId="8" fillId="0" borderId="14" xfId="113" applyNumberFormat="1" applyFont="1" applyFill="1" applyBorder="1" applyAlignment="1">
      <alignment horizontal="right" vertical="center" wrapText="1"/>
      <protection/>
    </xf>
    <xf numFmtId="3" fontId="8" fillId="0" borderId="14" xfId="113" applyNumberFormat="1" applyFont="1" applyBorder="1" applyAlignment="1">
      <alignment horizontal="right" vertical="center"/>
      <protection/>
    </xf>
    <xf numFmtId="3" fontId="8" fillId="0" borderId="40" xfId="113" applyNumberFormat="1" applyFont="1" applyBorder="1" applyAlignment="1">
      <alignment horizontal="right" vertical="center"/>
      <protection/>
    </xf>
    <xf numFmtId="3" fontId="8" fillId="0" borderId="10" xfId="113" applyNumberFormat="1" applyFont="1" applyBorder="1" applyAlignment="1">
      <alignment horizontal="right" vertical="center"/>
      <protection/>
    </xf>
    <xf numFmtId="3" fontId="8" fillId="0" borderId="12" xfId="113" applyNumberFormat="1" applyFont="1" applyBorder="1" applyAlignment="1">
      <alignment horizontal="right" vertical="center"/>
      <protection/>
    </xf>
    <xf numFmtId="0" fontId="8" fillId="4" borderId="10" xfId="113" applyFont="1" applyFill="1" applyBorder="1" applyAlignment="1">
      <alignment horizontal="center" vertical="center" wrapText="1"/>
      <protection/>
    </xf>
    <xf numFmtId="3" fontId="9" fillId="4" borderId="10" xfId="113" applyNumberFormat="1" applyFont="1" applyFill="1" applyBorder="1" applyAlignment="1">
      <alignment horizontal="right" vertical="center" wrapText="1"/>
      <protection/>
    </xf>
    <xf numFmtId="0" fontId="8" fillId="0" borderId="19" xfId="113" applyFont="1" applyFill="1" applyBorder="1" applyAlignment="1">
      <alignment horizontal="center" vertical="center" wrapText="1"/>
      <protection/>
    </xf>
    <xf numFmtId="0" fontId="9" fillId="0" borderId="19" xfId="113" applyFont="1" applyFill="1" applyBorder="1" applyAlignment="1">
      <alignment vertical="center"/>
      <protection/>
    </xf>
    <xf numFmtId="3" fontId="8" fillId="0" borderId="19" xfId="113" applyNumberFormat="1" applyFont="1" applyFill="1" applyBorder="1" applyAlignment="1">
      <alignment horizontal="center" vertical="center" wrapText="1"/>
      <protection/>
    </xf>
    <xf numFmtId="3" fontId="9" fillId="0" borderId="19" xfId="113" applyNumberFormat="1" applyFont="1" applyFill="1" applyBorder="1" applyAlignment="1">
      <alignment horizontal="center" vertical="center" wrapText="1"/>
      <protection/>
    </xf>
    <xf numFmtId="10" fontId="20" fillId="0" borderId="19" xfId="143" applyNumberFormat="1" applyFont="1" applyFill="1" applyBorder="1" applyAlignment="1">
      <alignment horizontal="center" vertical="center" wrapText="1"/>
    </xf>
    <xf numFmtId="49" fontId="8" fillId="0" borderId="19" xfId="143" applyNumberFormat="1" applyFont="1" applyFill="1" applyBorder="1" applyAlignment="1">
      <alignment horizontal="center" vertical="center" wrapText="1"/>
    </xf>
    <xf numFmtId="3" fontId="8" fillId="0" borderId="19" xfId="113" applyNumberFormat="1" applyFont="1" applyBorder="1" applyAlignment="1">
      <alignment horizontal="center" vertical="center"/>
      <protection/>
    </xf>
    <xf numFmtId="0" fontId="8" fillId="0" borderId="16" xfId="113" applyFont="1" applyFill="1" applyBorder="1" applyAlignment="1">
      <alignment horizontal="center" vertical="center" wrapText="1"/>
      <protection/>
    </xf>
    <xf numFmtId="0" fontId="9" fillId="0" borderId="16" xfId="113" applyFont="1" applyFill="1" applyBorder="1" applyAlignment="1">
      <alignment vertical="center" wrapText="1"/>
      <protection/>
    </xf>
    <xf numFmtId="3" fontId="8" fillId="0" borderId="16" xfId="113" applyNumberFormat="1" applyFont="1" applyFill="1" applyBorder="1" applyAlignment="1">
      <alignment horizontal="center" vertical="center" wrapText="1"/>
      <protection/>
    </xf>
    <xf numFmtId="3" fontId="9" fillId="0" borderId="16" xfId="113" applyNumberFormat="1" applyFont="1" applyFill="1" applyBorder="1" applyAlignment="1">
      <alignment horizontal="center" vertical="center" wrapText="1"/>
      <protection/>
    </xf>
    <xf numFmtId="10" fontId="20" fillId="0" borderId="16" xfId="143" applyNumberFormat="1" applyFont="1" applyFill="1" applyBorder="1" applyAlignment="1">
      <alignment horizontal="center" vertical="center" wrapText="1"/>
    </xf>
    <xf numFmtId="49" fontId="8" fillId="0" borderId="16" xfId="143" applyNumberFormat="1" applyFont="1" applyFill="1" applyBorder="1" applyAlignment="1">
      <alignment horizontal="center" vertical="center" wrapText="1"/>
    </xf>
    <xf numFmtId="3" fontId="8" fillId="0" borderId="16" xfId="113" applyNumberFormat="1" applyFont="1" applyBorder="1" applyAlignment="1">
      <alignment horizontal="center" vertical="center"/>
      <protection/>
    </xf>
    <xf numFmtId="0" fontId="24" fillId="0" borderId="10" xfId="113" applyFont="1" applyFill="1" applyBorder="1" applyAlignment="1">
      <alignment vertical="center" wrapText="1"/>
      <protection/>
    </xf>
    <xf numFmtId="3" fontId="8" fillId="0" borderId="10" xfId="113" applyNumberFormat="1" applyFont="1" applyFill="1" applyBorder="1" applyAlignment="1">
      <alignment horizontal="right" vertical="center"/>
      <protection/>
    </xf>
    <xf numFmtId="0" fontId="8" fillId="0" borderId="10" xfId="113" applyFont="1" applyFill="1" applyBorder="1" applyAlignment="1">
      <alignment horizontal="center" vertical="center"/>
      <protection/>
    </xf>
    <xf numFmtId="3" fontId="8" fillId="4" borderId="10" xfId="113" applyNumberFormat="1" applyFont="1" applyFill="1" applyBorder="1">
      <alignment/>
      <protection/>
    </xf>
    <xf numFmtId="3" fontId="9" fillId="4" borderId="10" xfId="113" applyNumberFormat="1" applyFont="1" applyFill="1" applyBorder="1" applyAlignment="1">
      <alignment horizontal="center"/>
      <protection/>
    </xf>
    <xf numFmtId="3" fontId="9" fillId="4" borderId="10" xfId="113" applyNumberFormat="1" applyFont="1" applyFill="1" applyBorder="1" applyAlignment="1">
      <alignment horizontal="right" vertical="center"/>
      <protection/>
    </xf>
    <xf numFmtId="3" fontId="9" fillId="4" borderId="10" xfId="113" applyNumberFormat="1" applyFont="1" applyFill="1" applyBorder="1" applyAlignment="1">
      <alignment horizontal="center" vertical="center"/>
      <protection/>
    </xf>
    <xf numFmtId="3" fontId="8" fillId="0" borderId="0" xfId="113" applyNumberFormat="1" applyFont="1" applyFill="1" applyBorder="1">
      <alignment/>
      <protection/>
    </xf>
    <xf numFmtId="3" fontId="9" fillId="0" borderId="0" xfId="113" applyNumberFormat="1" applyFont="1" applyFill="1" applyBorder="1" applyAlignment="1">
      <alignment horizontal="center"/>
      <protection/>
    </xf>
    <xf numFmtId="3" fontId="9" fillId="0" borderId="0" xfId="113" applyNumberFormat="1" applyFont="1" applyFill="1" applyBorder="1" applyAlignment="1">
      <alignment horizontal="center" vertical="center"/>
      <protection/>
    </xf>
    <xf numFmtId="0" fontId="8" fillId="0" borderId="0" xfId="113" applyFont="1" applyFill="1">
      <alignment/>
      <protection/>
    </xf>
    <xf numFmtId="0" fontId="9" fillId="0" borderId="0" xfId="113" applyFont="1" applyFill="1">
      <alignment/>
      <protection/>
    </xf>
    <xf numFmtId="0" fontId="73" fillId="0" borderId="0" xfId="113" applyFont="1" applyFill="1">
      <alignment/>
      <protection/>
    </xf>
    <xf numFmtId="0" fontId="24" fillId="0" borderId="0" xfId="113" applyFont="1" applyFill="1">
      <alignment/>
      <protection/>
    </xf>
    <xf numFmtId="0" fontId="19" fillId="0" borderId="0" xfId="113" applyFill="1">
      <alignment/>
      <protection/>
    </xf>
    <xf numFmtId="0" fontId="74" fillId="0" borderId="0" xfId="113" applyFont="1">
      <alignment/>
      <protection/>
    </xf>
    <xf numFmtId="0" fontId="75" fillId="0" borderId="0" xfId="113" applyFont="1">
      <alignment/>
      <protection/>
    </xf>
    <xf numFmtId="0" fontId="8" fillId="0" borderId="12" xfId="98" applyFont="1" applyFill="1" applyBorder="1" applyAlignment="1">
      <alignment vertical="top" wrapText="1"/>
      <protection/>
    </xf>
    <xf numFmtId="3" fontId="0" fillId="0" borderId="10" xfId="0" applyNumberFormat="1" applyFont="1" applyBorder="1" applyAlignment="1" quotePrefix="1">
      <alignment horizontal="center"/>
    </xf>
    <xf numFmtId="3" fontId="9" fillId="0" borderId="0" xfId="113" applyNumberFormat="1" applyFont="1" applyFill="1" applyBorder="1" applyAlignment="1">
      <alignment horizontal="right" vertical="center"/>
      <protection/>
    </xf>
    <xf numFmtId="0" fontId="72" fillId="0" borderId="10" xfId="105" applyFont="1" applyFill="1" applyBorder="1" applyAlignment="1">
      <alignment horizontal="center" vertical="center" wrapText="1"/>
      <protection/>
    </xf>
    <xf numFmtId="3" fontId="72" fillId="0" borderId="0" xfId="105" applyNumberFormat="1" applyFont="1">
      <alignment/>
      <protection/>
    </xf>
    <xf numFmtId="0" fontId="19" fillId="0" borderId="10" xfId="105" applyFont="1" applyFill="1" applyBorder="1">
      <alignment/>
      <protection/>
    </xf>
    <xf numFmtId="3" fontId="19" fillId="0" borderId="10" xfId="105" applyNumberFormat="1" applyFill="1" applyBorder="1">
      <alignment/>
      <protection/>
    </xf>
    <xf numFmtId="14" fontId="19" fillId="0" borderId="10" xfId="105" applyNumberFormat="1" applyFont="1" applyBorder="1" applyAlignment="1">
      <alignment horizontal="left"/>
      <protection/>
    </xf>
    <xf numFmtId="0" fontId="3" fillId="4" borderId="40" xfId="0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vertical="center" wrapText="1"/>
    </xf>
    <xf numFmtId="3" fontId="13" fillId="0" borderId="13" xfId="0" applyNumberFormat="1" applyFont="1" applyFill="1" applyBorder="1" applyAlignment="1">
      <alignment horizontal="left" vertical="center" wrapText="1"/>
    </xf>
    <xf numFmtId="0" fontId="65" fillId="4" borderId="10" xfId="0" applyFont="1" applyFill="1" applyBorder="1" applyAlignment="1">
      <alignment horizontal="center" vertical="center"/>
    </xf>
    <xf numFmtId="0" fontId="13" fillId="0" borderId="13" xfId="122" applyFont="1" applyFill="1" applyBorder="1" applyAlignment="1">
      <alignment vertical="center"/>
      <protection/>
    </xf>
    <xf numFmtId="0" fontId="2" fillId="4" borderId="10" xfId="0" applyFont="1" applyFill="1" applyBorder="1" applyAlignment="1">
      <alignment horizontal="center" vertical="center" wrapText="1"/>
    </xf>
    <xf numFmtId="0" fontId="20" fillId="4" borderId="10" xfId="122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3" fontId="13" fillId="0" borderId="15" xfId="132" applyNumberFormat="1" applyFont="1" applyFill="1" applyBorder="1" applyAlignment="1">
      <alignment vertical="center"/>
      <protection/>
    </xf>
    <xf numFmtId="3" fontId="45" fillId="0" borderId="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4" fillId="0" borderId="0" xfId="116">
      <alignment/>
      <protection/>
    </xf>
    <xf numFmtId="0" fontId="4" fillId="0" borderId="0" xfId="116" applyAlignment="1">
      <alignment vertical="center"/>
      <protection/>
    </xf>
    <xf numFmtId="0" fontId="4" fillId="0" borderId="0" xfId="116" applyAlignment="1">
      <alignment horizontal="center" vertical="center"/>
      <protection/>
    </xf>
    <xf numFmtId="0" fontId="4" fillId="0" borderId="0" xfId="116" applyAlignment="1">
      <alignment horizontal="center"/>
      <protection/>
    </xf>
    <xf numFmtId="164" fontId="19" fillId="0" borderId="10" xfId="119" applyNumberFormat="1" applyFont="1" applyBorder="1">
      <alignment/>
      <protection/>
    </xf>
    <xf numFmtId="0" fontId="78" fillId="4" borderId="20" xfId="122" applyFont="1" applyFill="1" applyBorder="1" applyAlignment="1">
      <alignment vertical="center"/>
      <protection/>
    </xf>
    <xf numFmtId="0" fontId="78" fillId="4" borderId="21" xfId="122" applyFont="1" applyFill="1" applyBorder="1" applyAlignment="1">
      <alignment vertical="center"/>
      <protection/>
    </xf>
    <xf numFmtId="0" fontId="9" fillId="4" borderId="21" xfId="122" applyFont="1" applyFill="1" applyBorder="1" applyAlignment="1">
      <alignment vertical="center"/>
      <protection/>
    </xf>
    <xf numFmtId="0" fontId="9" fillId="4" borderId="42" xfId="122" applyFont="1" applyFill="1" applyBorder="1" applyAlignment="1">
      <alignment horizontal="center" vertical="center" wrapText="1"/>
      <protection/>
    </xf>
    <xf numFmtId="0" fontId="9" fillId="4" borderId="22" xfId="122" applyFont="1" applyFill="1" applyBorder="1" applyAlignment="1">
      <alignment horizontal="center" vertical="center" wrapText="1"/>
      <protection/>
    </xf>
    <xf numFmtId="0" fontId="9" fillId="4" borderId="22" xfId="122" applyFont="1" applyFill="1" applyBorder="1" applyAlignment="1">
      <alignment horizontal="center" vertical="center"/>
      <protection/>
    </xf>
    <xf numFmtId="3" fontId="8" fillId="27" borderId="14" xfId="122" applyNumberFormat="1" applyFont="1" applyFill="1" applyBorder="1" applyAlignment="1">
      <alignment vertical="center"/>
      <protection/>
    </xf>
    <xf numFmtId="3" fontId="9" fillId="0" borderId="10" xfId="122" applyNumberFormat="1" applyFont="1" applyBorder="1" applyAlignment="1">
      <alignment vertical="center"/>
      <protection/>
    </xf>
    <xf numFmtId="3" fontId="8" fillId="27" borderId="10" xfId="122" applyNumberFormat="1" applyFont="1" applyFill="1" applyBorder="1" applyAlignment="1">
      <alignment vertical="center"/>
      <protection/>
    </xf>
    <xf numFmtId="3" fontId="13" fillId="0" borderId="10" xfId="132" applyNumberFormat="1" applyFont="1" applyFill="1" applyBorder="1" applyAlignment="1">
      <alignment vertical="center" wrapText="1"/>
      <protection/>
    </xf>
    <xf numFmtId="3" fontId="8" fillId="0" borderId="10" xfId="68" applyNumberFormat="1" applyFont="1" applyBorder="1" applyAlignment="1">
      <alignment vertical="center"/>
    </xf>
    <xf numFmtId="3" fontId="8" fillId="27" borderId="10" xfId="68" applyNumberFormat="1" applyFont="1" applyFill="1" applyBorder="1" applyAlignment="1">
      <alignment vertical="center"/>
    </xf>
    <xf numFmtId="0" fontId="8" fillId="0" borderId="10" xfId="128" applyFont="1" applyFill="1" applyBorder="1" applyAlignment="1">
      <alignment vertical="center" wrapText="1"/>
      <protection/>
    </xf>
    <xf numFmtId="3" fontId="9" fillId="4" borderId="10" xfId="68" applyNumberFormat="1" applyFont="1" applyFill="1" applyBorder="1" applyAlignment="1">
      <alignment vertical="center"/>
    </xf>
    <xf numFmtId="3" fontId="8" fillId="0" borderId="13" xfId="68" applyNumberFormat="1" applyFont="1" applyBorder="1" applyAlignment="1">
      <alignment vertical="center"/>
    </xf>
    <xf numFmtId="3" fontId="14" fillId="0" borderId="10" xfId="0" applyNumberFormat="1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3" fontId="8" fillId="0" borderId="12" xfId="122" applyNumberFormat="1" applyFont="1" applyBorder="1" applyAlignment="1">
      <alignment vertical="center" wrapText="1"/>
      <protection/>
    </xf>
    <xf numFmtId="0" fontId="13" fillId="0" borderId="12" xfId="122" applyFont="1" applyFill="1" applyBorder="1" applyAlignment="1">
      <alignment vertical="center" wrapText="1"/>
      <protection/>
    </xf>
    <xf numFmtId="3" fontId="8" fillId="0" borderId="10" xfId="68" applyNumberFormat="1" applyFont="1" applyFill="1" applyBorder="1" applyAlignment="1">
      <alignment vertical="center"/>
    </xf>
    <xf numFmtId="49" fontId="8" fillId="0" borderId="12" xfId="122" applyNumberFormat="1" applyFont="1" applyBorder="1" applyAlignment="1">
      <alignment vertical="center" wrapText="1"/>
      <protection/>
    </xf>
    <xf numFmtId="0" fontId="13" fillId="0" borderId="36" xfId="95" applyFont="1" applyFill="1" applyBorder="1" applyAlignment="1">
      <alignment horizontal="left" vertical="center" wrapText="1"/>
      <protection/>
    </xf>
    <xf numFmtId="0" fontId="8" fillId="0" borderId="12" xfId="97" applyFont="1" applyFill="1" applyBorder="1" applyAlignment="1">
      <alignment vertical="center" wrapText="1"/>
      <protection/>
    </xf>
    <xf numFmtId="3" fontId="8" fillId="0" borderId="14" xfId="122" applyNumberFormat="1" applyFont="1" applyBorder="1" applyAlignment="1">
      <alignment vertical="center" wrapText="1"/>
      <protection/>
    </xf>
    <xf numFmtId="0" fontId="13" fillId="0" borderId="10" xfId="122" applyFont="1" applyBorder="1" applyAlignment="1">
      <alignment vertical="center" wrapText="1"/>
      <protection/>
    </xf>
    <xf numFmtId="3" fontId="13" fillId="0" borderId="10" xfId="123" applyNumberFormat="1" applyFont="1" applyFill="1" applyBorder="1" applyAlignment="1">
      <alignment vertical="center" wrapText="1"/>
      <protection/>
    </xf>
    <xf numFmtId="3" fontId="9" fillId="0" borderId="10" xfId="68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horizontal="left" vertical="center"/>
    </xf>
    <xf numFmtId="3" fontId="9" fillId="4" borderId="10" xfId="93" applyNumberFormat="1" applyFont="1" applyFill="1" applyBorder="1" applyAlignment="1">
      <alignment vertical="center" wrapText="1"/>
      <protection/>
    </xf>
    <xf numFmtId="3" fontId="21" fillId="0" borderId="0" xfId="0" applyNumberFormat="1" applyFont="1" applyAlignment="1">
      <alignment vertical="center"/>
    </xf>
    <xf numFmtId="3" fontId="16" fillId="4" borderId="10" xfId="132" applyNumberFormat="1" applyFont="1" applyFill="1" applyBorder="1" applyAlignment="1">
      <alignment horizontal="center" vertical="center" wrapText="1"/>
      <protection/>
    </xf>
    <xf numFmtId="3" fontId="12" fillId="0" borderId="16" xfId="132" applyNumberFormat="1" applyFont="1" applyFill="1" applyBorder="1" applyAlignment="1">
      <alignment vertical="center"/>
      <protection/>
    </xf>
    <xf numFmtId="3" fontId="12" fillId="0" borderId="14" xfId="132" applyNumberFormat="1" applyFont="1" applyFill="1" applyBorder="1" applyAlignment="1">
      <alignment horizontal="center" vertical="center" wrapText="1"/>
      <protection/>
    </xf>
    <xf numFmtId="3" fontId="13" fillId="0" borderId="40" xfId="132" applyNumberFormat="1" applyFont="1" applyFill="1" applyBorder="1" applyAlignment="1">
      <alignment vertical="center"/>
      <protection/>
    </xf>
    <xf numFmtId="3" fontId="13" fillId="0" borderId="43" xfId="0" applyNumberFormat="1" applyFont="1" applyBorder="1" applyAlignment="1">
      <alignment vertical="center"/>
    </xf>
    <xf numFmtId="3" fontId="13" fillId="0" borderId="44" xfId="0" applyNumberFormat="1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3" fontId="13" fillId="0" borderId="13" xfId="0" applyNumberFormat="1" applyFont="1" applyFill="1" applyBorder="1" applyAlignment="1">
      <alignment horizontal="center" vertical="center"/>
    </xf>
    <xf numFmtId="0" fontId="13" fillId="24" borderId="13" xfId="0" applyFont="1" applyFill="1" applyBorder="1" applyAlignment="1">
      <alignment horizontal="center" vertical="center"/>
    </xf>
    <xf numFmtId="3" fontId="13" fillId="24" borderId="13" xfId="0" applyNumberFormat="1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3" fontId="13" fillId="4" borderId="10" xfId="132" applyNumberFormat="1" applyFont="1" applyFill="1" applyBorder="1" applyAlignment="1">
      <alignment horizontal="center" vertical="center" wrapText="1"/>
      <protection/>
    </xf>
    <xf numFmtId="3" fontId="12" fillId="4" borderId="15" xfId="132" applyNumberFormat="1" applyFont="1" applyFill="1" applyBorder="1" applyAlignment="1">
      <alignment vertical="center"/>
      <protection/>
    </xf>
    <xf numFmtId="3" fontId="13" fillId="4" borderId="16" xfId="0" applyNumberFormat="1" applyFont="1" applyFill="1" applyBorder="1" applyAlignment="1">
      <alignment vertical="center"/>
    </xf>
    <xf numFmtId="3" fontId="13" fillId="4" borderId="10" xfId="0" applyNumberFormat="1" applyFont="1" applyFill="1" applyBorder="1" applyAlignment="1">
      <alignment horizontal="center" vertical="center"/>
    </xf>
    <xf numFmtId="3" fontId="12" fillId="4" borderId="10" xfId="132" applyNumberFormat="1" applyFont="1" applyFill="1" applyBorder="1" applyAlignment="1">
      <alignment horizontal="right" vertical="center" wrapText="1"/>
      <protection/>
    </xf>
    <xf numFmtId="3" fontId="13" fillId="4" borderId="44" xfId="0" applyNumberFormat="1" applyFont="1" applyFill="1" applyBorder="1" applyAlignment="1">
      <alignment vertical="center"/>
    </xf>
    <xf numFmtId="3" fontId="13" fillId="0" borderId="14" xfId="0" applyNumberFormat="1" applyFont="1" applyBorder="1" applyAlignment="1">
      <alignment horizontal="center" vertical="center"/>
    </xf>
    <xf numFmtId="3" fontId="13" fillId="4" borderId="14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0" fontId="14" fillId="0" borderId="12" xfId="93" applyFont="1" applyBorder="1" applyAlignment="1">
      <alignment vertical="center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vertical="center"/>
    </xf>
    <xf numFmtId="3" fontId="14" fillId="0" borderId="12" xfId="0" applyNumberFormat="1" applyFont="1" applyFill="1" applyBorder="1" applyAlignment="1">
      <alignment vertical="center"/>
    </xf>
    <xf numFmtId="3" fontId="13" fillId="0" borderId="16" xfId="0" applyNumberFormat="1" applyFont="1" applyFill="1" applyBorder="1" applyAlignment="1">
      <alignment vertical="center"/>
    </xf>
    <xf numFmtId="3" fontId="13" fillId="0" borderId="13" xfId="0" applyNumberFormat="1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2" fillId="4" borderId="12" xfId="93" applyFont="1" applyFill="1" applyBorder="1" applyAlignment="1">
      <alignment vertical="center"/>
      <protection/>
    </xf>
    <xf numFmtId="3" fontId="12" fillId="4" borderId="16" xfId="0" applyNumberFormat="1" applyFont="1" applyFill="1" applyBorder="1" applyAlignment="1">
      <alignment vertical="center"/>
    </xf>
    <xf numFmtId="3" fontId="12" fillId="0" borderId="12" xfId="0" applyNumberFormat="1" applyFont="1" applyFill="1" applyBorder="1" applyAlignment="1">
      <alignment vertical="center"/>
    </xf>
    <xf numFmtId="3" fontId="12" fillId="0" borderId="10" xfId="132" applyNumberFormat="1" applyFont="1" applyFill="1" applyBorder="1" applyAlignment="1">
      <alignment horizontal="right" vertical="center" wrapText="1"/>
      <protection/>
    </xf>
    <xf numFmtId="3" fontId="13" fillId="0" borderId="44" xfId="0" applyNumberFormat="1" applyFont="1" applyFill="1" applyBorder="1" applyAlignment="1">
      <alignment vertical="center"/>
    </xf>
    <xf numFmtId="3" fontId="13" fillId="0" borderId="15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3" fontId="13" fillId="0" borderId="15" xfId="0" applyNumberFormat="1" applyFont="1" applyBorder="1" applyAlignment="1">
      <alignment horizontal="left" vertical="center"/>
    </xf>
    <xf numFmtId="0" fontId="13" fillId="0" borderId="16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3" fontId="13" fillId="0" borderId="16" xfId="0" applyNumberFormat="1" applyFont="1" applyFill="1" applyBorder="1" applyAlignment="1">
      <alignment horizontal="left" vertical="center"/>
    </xf>
    <xf numFmtId="3" fontId="12" fillId="4" borderId="44" xfId="0" applyNumberFormat="1" applyFont="1" applyFill="1" applyBorder="1" applyAlignment="1">
      <alignment vertical="center"/>
    </xf>
    <xf numFmtId="3" fontId="12" fillId="0" borderId="16" xfId="0" applyNumberFormat="1" applyFont="1" applyFill="1" applyBorder="1" applyAlignment="1">
      <alignment vertical="center"/>
    </xf>
    <xf numFmtId="3" fontId="12" fillId="0" borderId="44" xfId="0" applyNumberFormat="1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3" fontId="13" fillId="0" borderId="44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 wrapText="1"/>
    </xf>
    <xf numFmtId="3" fontId="14" fillId="0" borderId="10" xfId="132" applyNumberFormat="1" applyFont="1" applyFill="1" applyBorder="1" applyAlignment="1">
      <alignment horizontal="right" vertical="center" wrapText="1"/>
      <protection/>
    </xf>
    <xf numFmtId="0" fontId="8" fillId="0" borderId="10" xfId="98" applyFont="1" applyFill="1" applyBorder="1" applyAlignment="1">
      <alignment horizontal="center"/>
      <protection/>
    </xf>
    <xf numFmtId="0" fontId="22" fillId="0" borderId="10" xfId="0" applyFont="1" applyBorder="1" applyAlignment="1">
      <alignment horizontal="center" vertical="center"/>
    </xf>
    <xf numFmtId="3" fontId="13" fillId="24" borderId="15" xfId="0" applyNumberFormat="1" applyFont="1" applyFill="1" applyBorder="1" applyAlignment="1">
      <alignment vertical="center"/>
    </xf>
    <xf numFmtId="3" fontId="13" fillId="24" borderId="16" xfId="0" applyNumberFormat="1" applyFont="1" applyFill="1" applyBorder="1" applyAlignment="1">
      <alignment vertical="center"/>
    </xf>
    <xf numFmtId="3" fontId="13" fillId="24" borderId="16" xfId="0" applyNumberFormat="1" applyFont="1" applyFill="1" applyBorder="1" applyAlignment="1">
      <alignment horizontal="left" vertical="center"/>
    </xf>
    <xf numFmtId="0" fontId="13" fillId="0" borderId="16" xfId="0" applyFont="1" applyBorder="1" applyAlignment="1">
      <alignment vertical="center" wrapText="1"/>
    </xf>
    <xf numFmtId="0" fontId="22" fillId="0" borderId="16" xfId="0" applyFont="1" applyBorder="1" applyAlignment="1">
      <alignment vertical="center"/>
    </xf>
    <xf numFmtId="0" fontId="9" fillId="4" borderId="10" xfId="98" applyFont="1" applyFill="1" applyBorder="1" applyAlignment="1">
      <alignment horizontal="center"/>
      <protection/>
    </xf>
    <xf numFmtId="0" fontId="12" fillId="4" borderId="12" xfId="98" applyFont="1" applyFill="1" applyBorder="1" applyAlignment="1">
      <alignment vertical="center"/>
      <protection/>
    </xf>
    <xf numFmtId="0" fontId="65" fillId="4" borderId="16" xfId="0" applyFont="1" applyFill="1" applyBorder="1" applyAlignment="1">
      <alignment vertical="center"/>
    </xf>
    <xf numFmtId="0" fontId="13" fillId="0" borderId="15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3" fontId="12" fillId="4" borderId="15" xfId="0" applyNumberFormat="1" applyFont="1" applyFill="1" applyBorder="1" applyAlignment="1">
      <alignment vertical="center"/>
    </xf>
    <xf numFmtId="0" fontId="0" fillId="4" borderId="10" xfId="0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3" fontId="12" fillId="0" borderId="45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13" fillId="0" borderId="10" xfId="0" applyNumberFormat="1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0" fillId="4" borderId="10" xfId="122" applyFont="1" applyFill="1" applyBorder="1" applyAlignment="1">
      <alignment horizontal="center" vertical="center" wrapText="1"/>
      <protection/>
    </xf>
    <xf numFmtId="0" fontId="13" fillId="0" borderId="10" xfId="93" applyFont="1" applyBorder="1" applyAlignment="1">
      <alignment vertical="center"/>
      <protection/>
    </xf>
    <xf numFmtId="3" fontId="13" fillId="0" borderId="46" xfId="0" applyNumberFormat="1" applyFont="1" applyFill="1" applyBorder="1" applyAlignment="1">
      <alignment vertical="center"/>
    </xf>
    <xf numFmtId="0" fontId="12" fillId="4" borderId="10" xfId="93" applyFont="1" applyFill="1" applyBorder="1" applyAlignment="1">
      <alignment vertical="center"/>
      <protection/>
    </xf>
    <xf numFmtId="3" fontId="13" fillId="0" borderId="10" xfId="132" applyNumberFormat="1" applyFont="1" applyFill="1" applyBorder="1" applyAlignment="1">
      <alignment horizontal="center" vertical="center" wrapText="1"/>
      <protection/>
    </xf>
    <xf numFmtId="3" fontId="12" fillId="0" borderId="10" xfId="132" applyNumberFormat="1" applyFont="1" applyFill="1" applyBorder="1" applyAlignment="1">
      <alignment horizontal="center" vertical="center" wrapText="1"/>
      <protection/>
    </xf>
    <xf numFmtId="3" fontId="13" fillId="0" borderId="47" xfId="132" applyNumberFormat="1" applyFont="1" applyFill="1" applyBorder="1" applyAlignment="1">
      <alignment vertical="center"/>
      <protection/>
    </xf>
    <xf numFmtId="49" fontId="13" fillId="0" borderId="48" xfId="120" applyNumberFormat="1" applyFont="1" applyFill="1" applyBorder="1" applyAlignment="1">
      <alignment horizontal="left" vertical="center" wrapText="1"/>
      <protection/>
    </xf>
    <xf numFmtId="3" fontId="13" fillId="0" borderId="46" xfId="0" applyNumberFormat="1" applyFont="1" applyBorder="1" applyAlignment="1">
      <alignment vertical="center"/>
    </xf>
    <xf numFmtId="0" fontId="8" fillId="0" borderId="48" xfId="103" applyFont="1" applyFill="1" applyBorder="1" applyAlignment="1">
      <alignment vertical="center"/>
      <protection/>
    </xf>
    <xf numFmtId="3" fontId="13" fillId="0" borderId="46" xfId="0" applyNumberFormat="1" applyFont="1" applyFill="1" applyBorder="1" applyAlignment="1">
      <alignment vertical="center" wrapText="1"/>
    </xf>
    <xf numFmtId="3" fontId="13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13" fillId="0" borderId="0" xfId="130" applyFont="1" applyBorder="1" applyAlignment="1">
      <alignment vertical="center"/>
      <protection/>
    </xf>
    <xf numFmtId="0" fontId="0" fillId="0" borderId="10" xfId="0" applyBorder="1" applyAlignment="1">
      <alignment horizontal="center" vertical="center" wrapText="1"/>
    </xf>
    <xf numFmtId="0" fontId="8" fillId="0" borderId="10" xfId="122" applyFont="1" applyFill="1" applyBorder="1" applyAlignment="1">
      <alignment vertical="center" wrapText="1"/>
      <protection/>
    </xf>
    <xf numFmtId="0" fontId="8" fillId="0" borderId="10" xfId="122" applyFont="1" applyFill="1" applyBorder="1" applyAlignment="1">
      <alignment vertical="center"/>
      <protection/>
    </xf>
    <xf numFmtId="0" fontId="78" fillId="4" borderId="49" xfId="122" applyFont="1" applyFill="1" applyBorder="1" applyAlignment="1">
      <alignment vertical="center"/>
      <protection/>
    </xf>
    <xf numFmtId="0" fontId="78" fillId="4" borderId="50" xfId="122" applyFont="1" applyFill="1" applyBorder="1" applyAlignment="1">
      <alignment vertical="center"/>
      <protection/>
    </xf>
    <xf numFmtId="0" fontId="9" fillId="4" borderId="50" xfId="122" applyFont="1" applyFill="1" applyBorder="1" applyAlignment="1">
      <alignment vertical="center"/>
      <protection/>
    </xf>
    <xf numFmtId="0" fontId="9" fillId="4" borderId="51" xfId="122" applyFont="1" applyFill="1" applyBorder="1" applyAlignment="1">
      <alignment horizontal="center" vertical="center" wrapText="1"/>
      <protection/>
    </xf>
    <xf numFmtId="0" fontId="9" fillId="4" borderId="52" xfId="122" applyFont="1" applyFill="1" applyBorder="1" applyAlignment="1">
      <alignment horizontal="center" vertical="center" wrapText="1"/>
      <protection/>
    </xf>
    <xf numFmtId="0" fontId="9" fillId="4" borderId="52" xfId="122" applyFont="1" applyFill="1" applyBorder="1" applyAlignment="1">
      <alignment horizontal="center" vertical="center"/>
      <protection/>
    </xf>
    <xf numFmtId="0" fontId="9" fillId="0" borderId="10" xfId="122" applyFont="1" applyBorder="1" applyAlignment="1">
      <alignment horizontal="center" vertical="center"/>
      <protection/>
    </xf>
    <xf numFmtId="0" fontId="9" fillId="0" borderId="10" xfId="122" applyFont="1" applyBorder="1" applyAlignment="1">
      <alignment vertical="center"/>
      <protection/>
    </xf>
    <xf numFmtId="0" fontId="8" fillId="0" borderId="53" xfId="122" applyFont="1" applyBorder="1" applyAlignment="1">
      <alignment vertical="center"/>
      <protection/>
    </xf>
    <xf numFmtId="3" fontId="8" fillId="27" borderId="53" xfId="122" applyNumberFormat="1" applyFont="1" applyFill="1" applyBorder="1" applyAlignment="1">
      <alignment vertical="center"/>
      <protection/>
    </xf>
    <xf numFmtId="3" fontId="9" fillId="0" borderId="10" xfId="122" applyNumberFormat="1" applyFont="1" applyBorder="1" applyAlignment="1">
      <alignment vertical="center"/>
      <protection/>
    </xf>
    <xf numFmtId="3" fontId="8" fillId="0" borderId="10" xfId="122" applyNumberFormat="1" applyFont="1" applyBorder="1" applyAlignment="1">
      <alignment vertical="center"/>
      <protection/>
    </xf>
    <xf numFmtId="3" fontId="8" fillId="27" borderId="10" xfId="122" applyNumberFormat="1" applyFont="1" applyFill="1" applyBorder="1" applyAlignment="1">
      <alignment vertical="center"/>
      <protection/>
    </xf>
    <xf numFmtId="0" fontId="8" fillId="0" borderId="10" xfId="122" applyFont="1" applyBorder="1" applyAlignment="1">
      <alignment horizontal="center" vertical="center"/>
      <protection/>
    </xf>
    <xf numFmtId="3" fontId="13" fillId="0" borderId="10" xfId="132" applyNumberFormat="1" applyFont="1" applyFill="1" applyBorder="1" applyAlignment="1">
      <alignment vertical="center" wrapText="1"/>
      <protection/>
    </xf>
    <xf numFmtId="3" fontId="13" fillId="0" borderId="45" xfId="132" applyNumberFormat="1" applyFont="1" applyFill="1" applyBorder="1" applyAlignment="1">
      <alignment vertical="center"/>
      <protection/>
    </xf>
    <xf numFmtId="3" fontId="8" fillId="0" borderId="10" xfId="68" applyNumberFormat="1" applyFont="1" applyBorder="1" applyAlignment="1">
      <alignment vertical="center"/>
    </xf>
    <xf numFmtId="3" fontId="8" fillId="27" borderId="10" xfId="68" applyNumberFormat="1" applyFont="1" applyFill="1" applyBorder="1" applyAlignment="1">
      <alignment vertical="center"/>
    </xf>
    <xf numFmtId="0" fontId="8" fillId="0" borderId="10" xfId="126" applyFont="1" applyFill="1" applyBorder="1" applyAlignment="1">
      <alignment vertical="center" wrapText="1"/>
      <protection/>
    </xf>
    <xf numFmtId="3" fontId="8" fillId="0" borderId="45" xfId="122" applyNumberFormat="1" applyFont="1" applyFill="1" applyBorder="1" applyAlignment="1">
      <alignment vertical="center"/>
      <protection/>
    </xf>
    <xf numFmtId="0" fontId="9" fillId="4" borderId="10" xfId="122" applyFont="1" applyFill="1" applyBorder="1" applyAlignment="1">
      <alignment horizontal="center" vertical="center"/>
      <protection/>
    </xf>
    <xf numFmtId="3" fontId="9" fillId="4" borderId="10" xfId="122" applyNumberFormat="1" applyFont="1" applyFill="1" applyBorder="1" applyAlignment="1">
      <alignment vertical="center"/>
      <protection/>
    </xf>
    <xf numFmtId="3" fontId="9" fillId="4" borderId="10" xfId="68" applyNumberFormat="1" applyFont="1" applyFill="1" applyBorder="1" applyAlignment="1">
      <alignment vertical="center"/>
    </xf>
    <xf numFmtId="3" fontId="20" fillId="0" borderId="10" xfId="122" applyNumberFormat="1" applyFont="1" applyBorder="1" applyAlignment="1">
      <alignment vertical="center"/>
      <protection/>
    </xf>
    <xf numFmtId="3" fontId="8" fillId="0" borderId="45" xfId="68" applyNumberFormat="1" applyFont="1" applyBorder="1" applyAlignment="1">
      <alignment vertical="center"/>
    </xf>
    <xf numFmtId="3" fontId="14" fillId="0" borderId="10" xfId="0" applyNumberFormat="1" applyFont="1" applyFill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3" fontId="13" fillId="0" borderId="10" xfId="0" applyNumberFormat="1" applyFont="1" applyFill="1" applyBorder="1" applyAlignment="1">
      <alignment horizontal="left" vertical="center"/>
    </xf>
    <xf numFmtId="3" fontId="13" fillId="0" borderId="45" xfId="0" applyNumberFormat="1" applyFont="1" applyFill="1" applyBorder="1" applyAlignment="1">
      <alignment vertical="center" wrapText="1"/>
    </xf>
    <xf numFmtId="3" fontId="13" fillId="0" borderId="45" xfId="0" applyNumberFormat="1" applyFont="1" applyFill="1" applyBorder="1" applyAlignment="1">
      <alignment horizontal="right" vertical="center" wrapText="1"/>
    </xf>
    <xf numFmtId="0" fontId="8" fillId="4" borderId="10" xfId="122" applyFont="1" applyFill="1" applyBorder="1" applyAlignment="1">
      <alignment horizontal="center" vertical="center"/>
      <protection/>
    </xf>
    <xf numFmtId="3" fontId="8" fillId="0" borderId="46" xfId="122" applyNumberFormat="1" applyFont="1" applyBorder="1" applyAlignment="1">
      <alignment vertical="center" wrapText="1"/>
      <protection/>
    </xf>
    <xf numFmtId="0" fontId="13" fillId="0" borderId="46" xfId="122" applyFont="1" applyFill="1" applyBorder="1" applyAlignment="1">
      <alignment vertical="center" wrapText="1"/>
      <protection/>
    </xf>
    <xf numFmtId="0" fontId="13" fillId="0" borderId="10" xfId="122" applyFont="1" applyFill="1" applyBorder="1" applyAlignment="1">
      <alignment vertical="center" wrapText="1"/>
      <protection/>
    </xf>
    <xf numFmtId="0" fontId="13" fillId="0" borderId="45" xfId="122" applyFont="1" applyFill="1" applyBorder="1" applyAlignment="1">
      <alignment vertical="center"/>
      <protection/>
    </xf>
    <xf numFmtId="0" fontId="8" fillId="0" borderId="46" xfId="122" applyFont="1" applyFill="1" applyBorder="1" applyAlignment="1">
      <alignment vertical="center" wrapText="1"/>
      <protection/>
    </xf>
    <xf numFmtId="0" fontId="8" fillId="0" borderId="10" xfId="0" applyFont="1" applyFill="1" applyBorder="1" applyAlignment="1">
      <alignment vertical="top" wrapText="1"/>
    </xf>
    <xf numFmtId="1" fontId="13" fillId="0" borderId="46" xfId="122" applyNumberFormat="1" applyFont="1" applyFill="1" applyBorder="1" applyAlignment="1">
      <alignment vertical="center" wrapText="1"/>
      <protection/>
    </xf>
    <xf numFmtId="3" fontId="8" fillId="0" borderId="10" xfId="68" applyNumberFormat="1" applyFont="1" applyFill="1" applyBorder="1" applyAlignment="1">
      <alignment vertical="center"/>
    </xf>
    <xf numFmtId="49" fontId="8" fillId="0" borderId="10" xfId="122" applyNumberFormat="1" applyFont="1" applyBorder="1" applyAlignment="1">
      <alignment vertical="center" wrapText="1"/>
      <protection/>
    </xf>
    <xf numFmtId="3" fontId="8" fillId="0" borderId="46" xfId="0" applyNumberFormat="1" applyFont="1" applyBorder="1" applyAlignment="1">
      <alignment vertical="center" wrapText="1"/>
    </xf>
    <xf numFmtId="0" fontId="8" fillId="0" borderId="0" xfId="103" applyFont="1" applyFill="1" applyBorder="1" applyAlignment="1">
      <alignment vertical="center"/>
      <protection/>
    </xf>
    <xf numFmtId="0" fontId="13" fillId="0" borderId="46" xfId="122" applyFont="1" applyBorder="1" applyAlignment="1">
      <alignment vertical="center" wrapText="1"/>
      <protection/>
    </xf>
    <xf numFmtId="3" fontId="8" fillId="0" borderId="53" xfId="122" applyNumberFormat="1" applyFont="1" applyBorder="1" applyAlignment="1">
      <alignment vertical="center" wrapText="1"/>
      <protection/>
    </xf>
    <xf numFmtId="0" fontId="8" fillId="0" borderId="53" xfId="122" applyFont="1" applyFill="1" applyBorder="1" applyAlignment="1">
      <alignment vertical="center" wrapText="1"/>
      <protection/>
    </xf>
    <xf numFmtId="0" fontId="8" fillId="0" borderId="10" xfId="122" applyFont="1" applyBorder="1" applyAlignment="1">
      <alignment vertical="center" wrapText="1"/>
      <protection/>
    </xf>
    <xf numFmtId="3" fontId="8" fillId="0" borderId="10" xfId="122" applyNumberFormat="1" applyFont="1" applyBorder="1" applyAlignment="1">
      <alignment vertical="center" wrapText="1"/>
      <protection/>
    </xf>
    <xf numFmtId="0" fontId="8" fillId="0" borderId="54" xfId="97" applyFont="1" applyBorder="1" applyAlignment="1">
      <alignment vertical="center" wrapText="1"/>
      <protection/>
    </xf>
    <xf numFmtId="0" fontId="13" fillId="0" borderId="10" xfId="122" applyFont="1" applyBorder="1" applyAlignment="1">
      <alignment vertical="center" wrapText="1"/>
      <protection/>
    </xf>
    <xf numFmtId="3" fontId="8" fillId="0" borderId="10" xfId="0" applyNumberFormat="1" applyFont="1" applyFill="1" applyBorder="1" applyAlignment="1">
      <alignment vertical="center"/>
    </xf>
    <xf numFmtId="3" fontId="8" fillId="0" borderId="10" xfId="122" applyNumberFormat="1" applyFont="1" applyFill="1" applyBorder="1" applyAlignment="1">
      <alignment vertical="center" wrapText="1"/>
      <protection/>
    </xf>
    <xf numFmtId="0" fontId="9" fillId="0" borderId="10" xfId="122" applyFont="1" applyFill="1" applyBorder="1" applyAlignment="1">
      <alignment horizontal="center" vertical="center"/>
      <protection/>
    </xf>
    <xf numFmtId="3" fontId="9" fillId="0" borderId="10" xfId="122" applyNumberFormat="1" applyFont="1" applyFill="1" applyBorder="1" applyAlignment="1">
      <alignment vertical="center"/>
      <protection/>
    </xf>
    <xf numFmtId="3" fontId="9" fillId="0" borderId="10" xfId="68" applyNumberFormat="1" applyFont="1" applyFill="1" applyBorder="1" applyAlignment="1">
      <alignment vertical="center"/>
    </xf>
    <xf numFmtId="0" fontId="8" fillId="0" borderId="10" xfId="122" applyFont="1" applyFill="1" applyBorder="1" applyAlignment="1">
      <alignment horizontal="center" vertical="center"/>
      <protection/>
    </xf>
    <xf numFmtId="3" fontId="8" fillId="0" borderId="10" xfId="122" applyNumberFormat="1" applyFont="1" applyFill="1" applyBorder="1" applyAlignment="1">
      <alignment vertical="center"/>
      <protection/>
    </xf>
    <xf numFmtId="3" fontId="9" fillId="4" borderId="10" xfId="93" applyNumberFormat="1" applyFont="1" applyFill="1" applyBorder="1" applyAlignment="1">
      <alignment vertical="center" wrapText="1"/>
      <protection/>
    </xf>
    <xf numFmtId="3" fontId="12" fillId="4" borderId="10" xfId="132" applyNumberFormat="1" applyFont="1" applyFill="1" applyBorder="1" applyAlignment="1">
      <alignment horizontal="center" vertical="center" wrapText="1"/>
      <protection/>
    </xf>
    <xf numFmtId="3" fontId="16" fillId="4" borderId="10" xfId="132" applyNumberFormat="1" applyFont="1" applyFill="1" applyBorder="1" applyAlignment="1">
      <alignment horizontal="center" vertical="center" wrapText="1"/>
      <protection/>
    </xf>
    <xf numFmtId="3" fontId="13" fillId="0" borderId="53" xfId="132" applyNumberFormat="1" applyFont="1" applyFill="1" applyBorder="1" applyAlignment="1">
      <alignment horizontal="center" vertical="center" wrapText="1"/>
      <protection/>
    </xf>
    <xf numFmtId="3" fontId="12" fillId="0" borderId="55" xfId="132" applyNumberFormat="1" applyFont="1" applyFill="1" applyBorder="1" applyAlignment="1">
      <alignment vertical="center"/>
      <protection/>
    </xf>
    <xf numFmtId="3" fontId="13" fillId="0" borderId="55" xfId="0" applyNumberFormat="1" applyFont="1" applyBorder="1" applyAlignment="1">
      <alignment vertical="center"/>
    </xf>
    <xf numFmtId="3" fontId="13" fillId="0" borderId="53" xfId="0" applyNumberFormat="1" applyFont="1" applyBorder="1" applyAlignment="1">
      <alignment vertical="center"/>
    </xf>
    <xf numFmtId="3" fontId="12" fillId="0" borderId="53" xfId="132" applyNumberFormat="1" applyFont="1" applyFill="1" applyBorder="1" applyAlignment="1">
      <alignment horizontal="center" vertical="center" wrapText="1"/>
      <protection/>
    </xf>
    <xf numFmtId="3" fontId="13" fillId="0" borderId="56" xfId="132" applyNumberFormat="1" applyFont="1" applyFill="1" applyBorder="1" applyAlignment="1">
      <alignment vertical="center"/>
      <protection/>
    </xf>
    <xf numFmtId="3" fontId="13" fillId="0" borderId="57" xfId="0" applyNumberFormat="1" applyFont="1" applyBorder="1" applyAlignment="1">
      <alignment vertical="center"/>
    </xf>
    <xf numFmtId="3" fontId="12" fillId="0" borderId="47" xfId="132" applyNumberFormat="1" applyFont="1" applyFill="1" applyBorder="1" applyAlignment="1">
      <alignment vertical="center"/>
      <protection/>
    </xf>
    <xf numFmtId="3" fontId="13" fillId="0" borderId="46" xfId="132" applyNumberFormat="1" applyFont="1" applyFill="1" applyBorder="1" applyAlignment="1">
      <alignment vertical="center"/>
      <protection/>
    </xf>
    <xf numFmtId="3" fontId="13" fillId="0" borderId="44" xfId="0" applyNumberFormat="1" applyFont="1" applyBorder="1" applyAlignment="1">
      <alignment vertical="center"/>
    </xf>
    <xf numFmtId="0" fontId="13" fillId="0" borderId="45" xfId="0" applyFont="1" applyBorder="1" applyAlignment="1">
      <alignment horizontal="center" vertical="center"/>
    </xf>
    <xf numFmtId="3" fontId="13" fillId="0" borderId="10" xfId="132" applyNumberFormat="1" applyFont="1" applyFill="1" applyBorder="1" applyAlignment="1">
      <alignment horizontal="right" vertical="center" wrapText="1"/>
      <protection/>
    </xf>
    <xf numFmtId="0" fontId="13" fillId="0" borderId="45" xfId="0" applyFont="1" applyBorder="1" applyAlignment="1">
      <alignment vertical="center"/>
    </xf>
    <xf numFmtId="3" fontId="13" fillId="0" borderId="45" xfId="0" applyNumberFormat="1" applyFont="1" applyFill="1" applyBorder="1" applyAlignment="1">
      <alignment horizontal="center" vertical="center"/>
    </xf>
    <xf numFmtId="3" fontId="13" fillId="0" borderId="46" xfId="0" applyNumberFormat="1" applyFont="1" applyFill="1" applyBorder="1" applyAlignment="1">
      <alignment horizontal="left" vertical="center"/>
    </xf>
    <xf numFmtId="3" fontId="13" fillId="0" borderId="45" xfId="0" applyNumberFormat="1" applyFont="1" applyFill="1" applyBorder="1" applyAlignment="1">
      <alignment vertical="center"/>
    </xf>
    <xf numFmtId="3" fontId="13" fillId="0" borderId="45" xfId="0" applyNumberFormat="1" applyFont="1" applyBorder="1" applyAlignment="1">
      <alignment vertical="center"/>
    </xf>
    <xf numFmtId="0" fontId="13" fillId="24" borderId="45" xfId="0" applyFont="1" applyFill="1" applyBorder="1" applyAlignment="1">
      <alignment horizontal="center" vertical="center"/>
    </xf>
    <xf numFmtId="3" fontId="13" fillId="24" borderId="45" xfId="0" applyNumberFormat="1" applyFont="1" applyFill="1" applyBorder="1" applyAlignment="1">
      <alignment vertical="center"/>
    </xf>
    <xf numFmtId="3" fontId="13" fillId="24" borderId="45" xfId="0" applyNumberFormat="1" applyFont="1" applyFill="1" applyBorder="1" applyAlignment="1">
      <alignment horizontal="center" vertical="center"/>
    </xf>
    <xf numFmtId="3" fontId="13" fillId="4" borderId="10" xfId="132" applyNumberFormat="1" applyFont="1" applyFill="1" applyBorder="1" applyAlignment="1">
      <alignment horizontal="center" vertical="center" wrapText="1"/>
      <protection/>
    </xf>
    <xf numFmtId="3" fontId="12" fillId="4" borderId="47" xfId="132" applyNumberFormat="1" applyFont="1" applyFill="1" applyBorder="1" applyAlignment="1">
      <alignment vertical="center"/>
      <protection/>
    </xf>
    <xf numFmtId="3" fontId="13" fillId="4" borderId="55" xfId="0" applyNumberFormat="1" applyFont="1" applyFill="1" applyBorder="1" applyAlignment="1">
      <alignment vertical="center"/>
    </xf>
    <xf numFmtId="3" fontId="13" fillId="4" borderId="10" xfId="0" applyNumberFormat="1" applyFont="1" applyFill="1" applyBorder="1" applyAlignment="1">
      <alignment horizontal="center" vertical="center"/>
    </xf>
    <xf numFmtId="3" fontId="12" fillId="4" borderId="10" xfId="132" applyNumberFormat="1" applyFont="1" applyFill="1" applyBorder="1" applyAlignment="1">
      <alignment horizontal="right" vertical="center" wrapText="1"/>
      <protection/>
    </xf>
    <xf numFmtId="3" fontId="13" fillId="4" borderId="44" xfId="0" applyNumberFormat="1" applyFont="1" applyFill="1" applyBorder="1" applyAlignment="1">
      <alignment vertical="center"/>
    </xf>
    <xf numFmtId="3" fontId="13" fillId="0" borderId="53" xfId="0" applyNumberFormat="1" applyFont="1" applyBorder="1" applyAlignment="1">
      <alignment horizontal="center" vertical="center"/>
    </xf>
    <xf numFmtId="3" fontId="13" fillId="4" borderId="53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3" fontId="12" fillId="0" borderId="45" xfId="0" applyNumberFormat="1" applyFont="1" applyFill="1" applyBorder="1" applyAlignment="1">
      <alignment vertical="center"/>
    </xf>
    <xf numFmtId="3" fontId="12" fillId="0" borderId="45" xfId="0" applyNumberFormat="1" applyFont="1" applyFill="1" applyBorder="1" applyAlignment="1">
      <alignment horizontal="center" vertical="center"/>
    </xf>
    <xf numFmtId="0" fontId="14" fillId="0" borderId="46" xfId="93" applyFont="1" applyBorder="1" applyAlignment="1">
      <alignment vertical="center"/>
      <protection/>
    </xf>
    <xf numFmtId="3" fontId="13" fillId="0" borderId="45" xfId="0" applyNumberFormat="1" applyFont="1" applyFill="1" applyBorder="1" applyAlignment="1">
      <alignment horizontal="left" vertical="center"/>
    </xf>
    <xf numFmtId="0" fontId="0" fillId="0" borderId="45" xfId="0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3" fontId="13" fillId="0" borderId="45" xfId="0" applyNumberFormat="1" applyFont="1" applyFill="1" applyBorder="1" applyAlignment="1">
      <alignment horizontal="center" vertical="center" wrapText="1"/>
    </xf>
    <xf numFmtId="3" fontId="13" fillId="0" borderId="55" xfId="0" applyNumberFormat="1" applyFont="1" applyFill="1" applyBorder="1" applyAlignment="1">
      <alignment horizontal="center" vertical="center" wrapText="1"/>
    </xf>
    <xf numFmtId="3" fontId="14" fillId="0" borderId="46" xfId="0" applyNumberFormat="1" applyFont="1" applyFill="1" applyBorder="1" applyAlignment="1">
      <alignment vertical="center"/>
    </xf>
    <xf numFmtId="0" fontId="13" fillId="0" borderId="55" xfId="0" applyFont="1" applyBorder="1" applyAlignment="1">
      <alignment horizontal="center" vertical="center"/>
    </xf>
    <xf numFmtId="3" fontId="13" fillId="0" borderId="46" xfId="0" applyNumberFormat="1" applyFont="1" applyBorder="1" applyAlignment="1">
      <alignment horizontal="left" vertical="center"/>
    </xf>
    <xf numFmtId="3" fontId="12" fillId="4" borderId="10" xfId="0" applyNumberFormat="1" applyFont="1" applyFill="1" applyBorder="1" applyAlignment="1">
      <alignment horizontal="center" vertical="center"/>
    </xf>
    <xf numFmtId="0" fontId="12" fillId="4" borderId="46" xfId="93" applyFont="1" applyFill="1" applyBorder="1" applyAlignment="1">
      <alignment vertical="center"/>
      <protection/>
    </xf>
    <xf numFmtId="3" fontId="12" fillId="4" borderId="55" xfId="0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horizontal="center" vertical="center"/>
    </xf>
    <xf numFmtId="3" fontId="12" fillId="4" borderId="46" xfId="0" applyNumberFormat="1" applyFont="1" applyFill="1" applyBorder="1" applyAlignment="1">
      <alignment vertical="center"/>
    </xf>
    <xf numFmtId="3" fontId="12" fillId="0" borderId="46" xfId="0" applyNumberFormat="1" applyFont="1" applyFill="1" applyBorder="1" applyAlignment="1">
      <alignment vertical="center"/>
    </xf>
    <xf numFmtId="3" fontId="13" fillId="0" borderId="55" xfId="0" applyNumberFormat="1" applyFont="1" applyFill="1" applyBorder="1" applyAlignment="1">
      <alignment vertical="center"/>
    </xf>
    <xf numFmtId="3" fontId="12" fillId="0" borderId="10" xfId="132" applyNumberFormat="1" applyFont="1" applyFill="1" applyBorder="1" applyAlignment="1">
      <alignment horizontal="right" vertical="center" wrapText="1"/>
      <protection/>
    </xf>
    <xf numFmtId="3" fontId="13" fillId="0" borderId="44" xfId="0" applyNumberFormat="1" applyFont="1" applyFill="1" applyBorder="1" applyAlignment="1">
      <alignment vertical="center"/>
    </xf>
    <xf numFmtId="3" fontId="13" fillId="0" borderId="47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47" xfId="0" applyFont="1" applyBorder="1" applyAlignment="1">
      <alignment vertical="center"/>
    </xf>
    <xf numFmtId="3" fontId="13" fillId="0" borderId="55" xfId="0" applyNumberFormat="1" applyFont="1" applyFill="1" applyBorder="1" applyAlignment="1">
      <alignment horizontal="left" vertical="center"/>
    </xf>
    <xf numFmtId="3" fontId="12" fillId="4" borderId="44" xfId="0" applyNumberFormat="1" applyFont="1" applyFill="1" applyBorder="1" applyAlignment="1">
      <alignment vertical="center"/>
    </xf>
    <xf numFmtId="3" fontId="12" fillId="0" borderId="55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2" fillId="0" borderId="44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3" fontId="13" fillId="0" borderId="46" xfId="132" applyNumberFormat="1" applyFont="1" applyFill="1" applyBorder="1" applyAlignment="1">
      <alignment horizontal="right" vertical="center"/>
      <protection/>
    </xf>
    <xf numFmtId="3" fontId="13" fillId="0" borderId="44" xfId="0" applyNumberFormat="1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 wrapText="1"/>
    </xf>
    <xf numFmtId="3" fontId="12" fillId="0" borderId="46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" fontId="14" fillId="0" borderId="10" xfId="132" applyNumberFormat="1" applyFont="1" applyFill="1" applyBorder="1" applyAlignment="1">
      <alignment horizontal="right" vertical="center" wrapText="1"/>
      <protection/>
    </xf>
    <xf numFmtId="0" fontId="8" fillId="0" borderId="10" xfId="98" applyFont="1" applyFill="1" applyBorder="1" applyAlignment="1">
      <alignment horizontal="center"/>
      <protection/>
    </xf>
    <xf numFmtId="0" fontId="22" fillId="0" borderId="10" xfId="0" applyFont="1" applyBorder="1" applyAlignment="1">
      <alignment horizontal="center" vertical="center"/>
    </xf>
    <xf numFmtId="3" fontId="13" fillId="24" borderId="46" xfId="0" applyNumberFormat="1" applyFont="1" applyFill="1" applyBorder="1" applyAlignment="1">
      <alignment vertical="center"/>
    </xf>
    <xf numFmtId="3" fontId="13" fillId="24" borderId="47" xfId="0" applyNumberFormat="1" applyFont="1" applyFill="1" applyBorder="1" applyAlignment="1">
      <alignment vertical="center"/>
    </xf>
    <xf numFmtId="3" fontId="13" fillId="24" borderId="10" xfId="0" applyNumberFormat="1" applyFont="1" applyFill="1" applyBorder="1" applyAlignment="1">
      <alignment horizontal="center" vertical="center"/>
    </xf>
    <xf numFmtId="3" fontId="13" fillId="0" borderId="47" xfId="0" applyNumberFormat="1" applyFont="1" applyFill="1" applyBorder="1" applyAlignment="1">
      <alignment horizontal="left" vertical="center"/>
    </xf>
    <xf numFmtId="0" fontId="13" fillId="0" borderId="45" xfId="0" applyFont="1" applyFill="1" applyBorder="1" applyAlignment="1">
      <alignment horizontal="left" vertical="center"/>
    </xf>
    <xf numFmtId="0" fontId="13" fillId="0" borderId="55" xfId="0" applyFont="1" applyBorder="1" applyAlignment="1">
      <alignment vertical="center" wrapText="1"/>
    </xf>
    <xf numFmtId="0" fontId="9" fillId="4" borderId="10" xfId="98" applyFont="1" applyFill="1" applyBorder="1" applyAlignment="1">
      <alignment horizontal="center"/>
      <protection/>
    </xf>
    <xf numFmtId="0" fontId="12" fillId="4" borderId="46" xfId="98" applyFont="1" applyFill="1" applyBorder="1" applyAlignment="1">
      <alignment vertical="center"/>
      <protection/>
    </xf>
    <xf numFmtId="0" fontId="65" fillId="4" borderId="55" xfId="0" applyFont="1" applyFill="1" applyBorder="1" applyAlignment="1">
      <alignment vertical="center"/>
    </xf>
    <xf numFmtId="0" fontId="65" fillId="4" borderId="10" xfId="0" applyFont="1" applyFill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0" fontId="13" fillId="0" borderId="47" xfId="0" applyFont="1" applyBorder="1" applyAlignment="1">
      <alignment vertical="center" wrapText="1"/>
    </xf>
    <xf numFmtId="3" fontId="15" fillId="0" borderId="46" xfId="0" applyNumberFormat="1" applyFont="1" applyBorder="1" applyAlignment="1">
      <alignment vertical="center"/>
    </xf>
    <xf numFmtId="3" fontId="12" fillId="4" borderId="47" xfId="0" applyNumberFormat="1" applyFont="1" applyFill="1" applyBorder="1" applyAlignment="1">
      <alignment vertical="center"/>
    </xf>
    <xf numFmtId="3" fontId="12" fillId="4" borderId="10" xfId="0" applyNumberFormat="1" applyFont="1" applyFill="1" applyBorder="1" applyAlignment="1">
      <alignment vertical="center"/>
    </xf>
    <xf numFmtId="0" fontId="0" fillId="4" borderId="10" xfId="0" applyFill="1" applyBorder="1" applyAlignment="1">
      <alignment horizontal="center" vertical="center"/>
    </xf>
    <xf numFmtId="3" fontId="13" fillId="0" borderId="47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 wrapText="1"/>
    </xf>
    <xf numFmtId="0" fontId="13" fillId="0" borderId="12" xfId="122" applyFont="1" applyBorder="1" applyAlignment="1">
      <alignment vertical="center"/>
      <protection/>
    </xf>
    <xf numFmtId="0" fontId="13" fillId="0" borderId="13" xfId="122" applyFont="1" applyBorder="1" applyAlignment="1">
      <alignment vertical="center"/>
      <protection/>
    </xf>
    <xf numFmtId="0" fontId="13" fillId="27" borderId="12" xfId="93" applyFont="1" applyFill="1" applyBorder="1" applyAlignment="1">
      <alignment horizontal="left" vertical="center" wrapText="1"/>
      <protection/>
    </xf>
    <xf numFmtId="3" fontId="13" fillId="0" borderId="13" xfId="0" applyNumberFormat="1" applyFont="1" applyBorder="1" applyAlignment="1">
      <alignment horizontal="left" vertical="center"/>
    </xf>
    <xf numFmtId="3" fontId="13" fillId="0" borderId="12" xfId="132" applyNumberFormat="1" applyFont="1" applyBorder="1" applyAlignment="1">
      <alignment horizontal="left" vertical="center"/>
      <protection/>
    </xf>
    <xf numFmtId="3" fontId="13" fillId="0" borderId="13" xfId="132" applyNumberFormat="1" applyFont="1" applyBorder="1" applyAlignment="1">
      <alignment horizontal="left" vertical="center"/>
      <protection/>
    </xf>
    <xf numFmtId="3" fontId="13" fillId="0" borderId="12" xfId="132" applyNumberFormat="1" applyFont="1" applyFill="1" applyBorder="1" applyAlignment="1">
      <alignment vertical="center" wrapText="1"/>
      <protection/>
    </xf>
    <xf numFmtId="3" fontId="13" fillId="0" borderId="13" xfId="132" applyNumberFormat="1" applyFont="1" applyFill="1" applyBorder="1" applyAlignment="1">
      <alignment vertical="center" wrapText="1"/>
      <protection/>
    </xf>
    <xf numFmtId="3" fontId="13" fillId="0" borderId="12" xfId="0" applyNumberFormat="1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 wrapText="1"/>
    </xf>
    <xf numFmtId="3" fontId="15" fillId="0" borderId="12" xfId="0" applyNumberFormat="1" applyFont="1" applyBorder="1" applyAlignment="1">
      <alignment vertical="center" wrapText="1"/>
    </xf>
    <xf numFmtId="3" fontId="12" fillId="4" borderId="58" xfId="0" applyNumberFormat="1" applyFont="1" applyFill="1" applyBorder="1" applyAlignment="1">
      <alignment horizontal="center" vertical="center" wrapText="1"/>
    </xf>
    <xf numFmtId="3" fontId="12" fillId="4" borderId="59" xfId="0" applyNumberFormat="1" applyFont="1" applyFill="1" applyBorder="1" applyAlignment="1">
      <alignment horizontal="center" vertical="center" wrapText="1"/>
    </xf>
    <xf numFmtId="3" fontId="12" fillId="4" borderId="6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Border="1" applyAlignment="1">
      <alignment vertical="center" wrapText="1"/>
    </xf>
    <xf numFmtId="3" fontId="12" fillId="0" borderId="13" xfId="0" applyNumberFormat="1" applyFont="1" applyBorder="1" applyAlignment="1">
      <alignment vertical="center" wrapText="1"/>
    </xf>
    <xf numFmtId="3" fontId="13" fillId="0" borderId="10" xfId="0" applyNumberFormat="1" applyFont="1" applyBorder="1" applyAlignment="1">
      <alignment vertical="center" wrapText="1"/>
    </xf>
    <xf numFmtId="3" fontId="12" fillId="0" borderId="10" xfId="0" applyNumberFormat="1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horizontal="right" vertical="center"/>
    </xf>
    <xf numFmtId="3" fontId="13" fillId="0" borderId="10" xfId="0" applyNumberFormat="1" applyFont="1" applyBorder="1" applyAlignment="1">
      <alignment horizontal="right" vertical="center"/>
    </xf>
    <xf numFmtId="3" fontId="12" fillId="4" borderId="25" xfId="0" applyNumberFormat="1" applyFont="1" applyFill="1" applyBorder="1" applyAlignment="1">
      <alignment horizontal="left" vertical="center" wrapText="1"/>
    </xf>
    <xf numFmtId="3" fontId="12" fillId="4" borderId="10" xfId="0" applyNumberFormat="1" applyFont="1" applyFill="1" applyBorder="1" applyAlignment="1">
      <alignment vertical="center" wrapText="1"/>
    </xf>
    <xf numFmtId="3" fontId="12" fillId="4" borderId="61" xfId="0" applyNumberFormat="1" applyFont="1" applyFill="1" applyBorder="1" applyAlignment="1">
      <alignment vertical="center" wrapText="1"/>
    </xf>
    <xf numFmtId="3" fontId="12" fillId="4" borderId="39" xfId="0" applyNumberFormat="1" applyFont="1" applyFill="1" applyBorder="1" applyAlignment="1">
      <alignment vertical="center"/>
    </xf>
    <xf numFmtId="3" fontId="12" fillId="4" borderId="39" xfId="0" applyNumberFormat="1" applyFont="1" applyFill="1" applyBorder="1" applyAlignment="1">
      <alignment vertical="center" wrapText="1"/>
    </xf>
    <xf numFmtId="3" fontId="12" fillId="4" borderId="62" xfId="0" applyNumberFormat="1" applyFont="1" applyFill="1" applyBorder="1" applyAlignment="1">
      <alignment vertical="center" wrapText="1"/>
    </xf>
    <xf numFmtId="3" fontId="12" fillId="4" borderId="63" xfId="0" applyNumberFormat="1" applyFont="1" applyFill="1" applyBorder="1" applyAlignment="1">
      <alignment vertical="center"/>
    </xf>
    <xf numFmtId="3" fontId="12" fillId="4" borderId="63" xfId="0" applyNumberFormat="1" applyFont="1" applyFill="1" applyBorder="1" applyAlignment="1">
      <alignment vertical="center" wrapText="1"/>
    </xf>
    <xf numFmtId="3" fontId="9" fillId="4" borderId="58" xfId="0" applyNumberFormat="1" applyFont="1" applyFill="1" applyBorder="1" applyAlignment="1">
      <alignment horizontal="center" vertical="center" wrapText="1"/>
    </xf>
    <xf numFmtId="3" fontId="9" fillId="4" borderId="11" xfId="0" applyNumberFormat="1" applyFont="1" applyFill="1" applyBorder="1" applyAlignment="1">
      <alignment horizontal="center" vertical="center" wrapText="1"/>
    </xf>
    <xf numFmtId="3" fontId="9" fillId="4" borderId="10" xfId="0" applyNumberFormat="1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3" fontId="13" fillId="0" borderId="10" xfId="0" applyNumberFormat="1" applyFont="1" applyFill="1" applyBorder="1" applyAlignment="1">
      <alignment/>
    </xf>
    <xf numFmtId="3" fontId="13" fillId="0" borderId="12" xfId="0" applyNumberFormat="1" applyFont="1" applyBorder="1" applyAlignment="1">
      <alignment horizontal="left" vertical="center" wrapText="1"/>
    </xf>
    <xf numFmtId="3" fontId="13" fillId="0" borderId="13" xfId="0" applyNumberFormat="1" applyFont="1" applyBorder="1" applyAlignment="1">
      <alignment horizontal="left" vertical="center" wrapText="1"/>
    </xf>
    <xf numFmtId="3" fontId="13" fillId="0" borderId="12" xfId="0" applyNumberFormat="1" applyFont="1" applyBorder="1" applyAlignment="1">
      <alignment horizontal="left" vertical="center"/>
    </xf>
    <xf numFmtId="3" fontId="9" fillId="4" borderId="10" xfId="0" applyNumberFormat="1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4" borderId="10" xfId="0" applyNumberFormat="1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right" vertical="center" wrapText="1"/>
    </xf>
    <xf numFmtId="3" fontId="8" fillId="0" borderId="18" xfId="0" applyNumberFormat="1" applyFont="1" applyFill="1" applyBorder="1" applyAlignment="1">
      <alignment vertical="center" wrapText="1"/>
    </xf>
    <xf numFmtId="3" fontId="8" fillId="4" borderId="18" xfId="0" applyNumberFormat="1" applyFont="1" applyFill="1" applyBorder="1" applyAlignment="1">
      <alignment horizontal="center" vertical="center" wrapText="1"/>
    </xf>
    <xf numFmtId="3" fontId="8" fillId="4" borderId="10" xfId="0" applyNumberFormat="1" applyFont="1" applyFill="1" applyBorder="1" applyAlignment="1">
      <alignment vertical="center" wrapText="1"/>
    </xf>
    <xf numFmtId="0" fontId="13" fillId="25" borderId="64" xfId="104" applyFont="1" applyFill="1" applyBorder="1" applyAlignment="1">
      <alignment vertical="center"/>
      <protection/>
    </xf>
    <xf numFmtId="0" fontId="12" fillId="25" borderId="65" xfId="104" applyFont="1" applyFill="1" applyBorder="1" applyAlignment="1">
      <alignment horizontal="center" vertical="top"/>
      <protection/>
    </xf>
    <xf numFmtId="3" fontId="12" fillId="25" borderId="66" xfId="104" applyNumberFormat="1" applyFont="1" applyFill="1" applyBorder="1" applyAlignment="1">
      <alignment horizontal="center" vertical="center" wrapText="1"/>
      <protection/>
    </xf>
    <xf numFmtId="3" fontId="12" fillId="25" borderId="34" xfId="104" applyNumberFormat="1" applyFont="1" applyFill="1" applyBorder="1" applyAlignment="1">
      <alignment horizontal="center" vertical="center" wrapText="1"/>
      <protection/>
    </xf>
    <xf numFmtId="3" fontId="12" fillId="25" borderId="67" xfId="104" applyNumberFormat="1" applyFont="1" applyFill="1" applyBorder="1" applyAlignment="1">
      <alignment horizontal="center" vertical="center" wrapText="1"/>
      <protection/>
    </xf>
    <xf numFmtId="3" fontId="12" fillId="25" borderId="10" xfId="104" applyNumberFormat="1" applyFont="1" applyFill="1" applyBorder="1" applyAlignment="1">
      <alignment horizontal="center" vertical="center" wrapText="1"/>
      <protection/>
    </xf>
    <xf numFmtId="0" fontId="15" fillId="0" borderId="27" xfId="104" applyFont="1" applyBorder="1" applyAlignment="1">
      <alignment vertical="center"/>
      <protection/>
    </xf>
    <xf numFmtId="3" fontId="13" fillId="0" borderId="27" xfId="104" applyNumberFormat="1" applyFont="1" applyFill="1" applyBorder="1" applyAlignment="1">
      <alignment vertical="center"/>
      <protection/>
    </xf>
    <xf numFmtId="3" fontId="13" fillId="0" borderId="36" xfId="104" applyNumberFormat="1" applyFont="1" applyFill="1" applyBorder="1" applyAlignment="1">
      <alignment vertical="center"/>
      <protection/>
    </xf>
    <xf numFmtId="3" fontId="13" fillId="0" borderId="68" xfId="104" applyNumberFormat="1" applyFont="1" applyFill="1" applyBorder="1" applyAlignment="1">
      <alignment vertical="center"/>
      <protection/>
    </xf>
    <xf numFmtId="0" fontId="13" fillId="0" borderId="27" xfId="104" applyFont="1" applyBorder="1" applyAlignment="1">
      <alignment vertical="center"/>
      <protection/>
    </xf>
    <xf numFmtId="4" fontId="13" fillId="0" borderId="27" xfId="104" applyNumberFormat="1" applyFont="1" applyFill="1" applyBorder="1" applyAlignment="1">
      <alignment vertical="center"/>
      <protection/>
    </xf>
    <xf numFmtId="0" fontId="13" fillId="0" borderId="27" xfId="104" applyFont="1" applyBorder="1" applyAlignment="1">
      <alignment vertical="center" wrapText="1"/>
      <protection/>
    </xf>
    <xf numFmtId="165" fontId="13" fillId="0" borderId="27" xfId="104" applyNumberFormat="1" applyFont="1" applyFill="1" applyBorder="1" applyAlignment="1">
      <alignment vertical="center"/>
      <protection/>
    </xf>
    <xf numFmtId="49" fontId="13" fillId="0" borderId="27" xfId="104" applyNumberFormat="1" applyFont="1" applyBorder="1" applyAlignment="1">
      <alignment vertical="center" wrapText="1"/>
      <protection/>
    </xf>
    <xf numFmtId="3" fontId="25" fillId="0" borderId="27" xfId="104" applyNumberFormat="1" applyFont="1" applyFill="1" applyBorder="1" applyAlignment="1">
      <alignment vertical="center"/>
      <protection/>
    </xf>
    <xf numFmtId="166" fontId="13" fillId="0" borderId="27" xfId="104" applyNumberFormat="1" applyFont="1" applyFill="1" applyBorder="1" applyAlignment="1">
      <alignment vertical="center"/>
      <protection/>
    </xf>
    <xf numFmtId="3" fontId="13" fillId="0" borderId="27" xfId="104" applyNumberFormat="1" applyFont="1" applyBorder="1" applyAlignment="1">
      <alignment vertical="center"/>
      <protection/>
    </xf>
    <xf numFmtId="3" fontId="13" fillId="0" borderId="27" xfId="104" applyNumberFormat="1" applyFont="1" applyBorder="1" applyAlignment="1">
      <alignment horizontal="right" vertical="center"/>
      <protection/>
    </xf>
    <xf numFmtId="0" fontId="13" fillId="0" borderId="27" xfId="104" applyFont="1" applyFill="1" applyBorder="1" applyAlignment="1">
      <alignment vertical="center"/>
      <protection/>
    </xf>
    <xf numFmtId="165" fontId="13" fillId="0" borderId="27" xfId="104" applyNumberFormat="1" applyFont="1" applyBorder="1" applyAlignment="1">
      <alignment vertical="center"/>
      <protection/>
    </xf>
    <xf numFmtId="0" fontId="15" fillId="0" borderId="35" xfId="104" applyFont="1" applyBorder="1" applyAlignment="1">
      <alignment vertical="center"/>
      <protection/>
    </xf>
    <xf numFmtId="0" fontId="13" fillId="0" borderId="35" xfId="104" applyFont="1" applyBorder="1" applyAlignment="1">
      <alignment vertical="center"/>
      <protection/>
    </xf>
    <xf numFmtId="0" fontId="15" fillId="0" borderId="27" xfId="104" applyFont="1" applyBorder="1" applyAlignment="1">
      <alignment vertical="center" wrapText="1"/>
      <protection/>
    </xf>
    <xf numFmtId="3" fontId="13" fillId="0" borderId="27" xfId="104" applyNumberFormat="1" applyFont="1" applyFill="1" applyBorder="1" applyAlignment="1">
      <alignment horizontal="right" vertical="center"/>
      <protection/>
    </xf>
    <xf numFmtId="3" fontId="76" fillId="0" borderId="27" xfId="104" applyNumberFormat="1" applyFont="1" applyBorder="1" applyAlignment="1">
      <alignment vertical="center"/>
      <protection/>
    </xf>
    <xf numFmtId="0" fontId="15" fillId="0" borderId="27" xfId="104" applyFont="1" applyFill="1" applyBorder="1" applyAlignment="1">
      <alignment vertical="center"/>
      <protection/>
    </xf>
    <xf numFmtId="0" fontId="12" fillId="25" borderId="27" xfId="104" applyFont="1" applyFill="1" applyBorder="1" applyAlignment="1">
      <alignment vertical="center"/>
      <protection/>
    </xf>
    <xf numFmtId="3" fontId="12" fillId="25" borderId="27" xfId="104" applyNumberFormat="1" applyFont="1" applyFill="1" applyBorder="1" applyAlignment="1">
      <alignment vertical="center"/>
      <protection/>
    </xf>
    <xf numFmtId="3" fontId="12" fillId="25" borderId="36" xfId="104" applyNumberFormat="1" applyFont="1" applyFill="1" applyBorder="1" applyAlignment="1">
      <alignment vertical="center"/>
      <protection/>
    </xf>
    <xf numFmtId="3" fontId="9" fillId="28" borderId="10" xfId="132" applyNumberFormat="1" applyFont="1" applyFill="1" applyBorder="1" applyAlignment="1">
      <alignment horizontal="center" vertical="center" wrapText="1"/>
      <protection/>
    </xf>
    <xf numFmtId="3" fontId="20" fillId="4" borderId="10" xfId="132" applyNumberFormat="1" applyFont="1" applyFill="1" applyBorder="1" applyAlignment="1">
      <alignment horizontal="center" vertical="center" wrapText="1"/>
      <protection/>
    </xf>
    <xf numFmtId="3" fontId="9" fillId="0" borderId="25" xfId="132" applyNumberFormat="1" applyFont="1" applyFill="1" applyBorder="1" applyAlignment="1">
      <alignment horizontal="center" vertical="center" wrapText="1"/>
      <protection/>
    </xf>
    <xf numFmtId="3" fontId="9" fillId="0" borderId="25" xfId="132" applyNumberFormat="1" applyFont="1" applyFill="1" applyBorder="1" applyAlignment="1">
      <alignment horizontal="left" vertical="center" wrapText="1"/>
      <protection/>
    </xf>
    <xf numFmtId="3" fontId="14" fillId="0" borderId="14" xfId="132" applyNumberFormat="1" applyFont="1" applyBorder="1" applyAlignment="1">
      <alignment vertical="center"/>
      <protection/>
    </xf>
    <xf numFmtId="3" fontId="8" fillId="0" borderId="10" xfId="132" applyNumberFormat="1" applyFont="1" applyFill="1" applyBorder="1" applyAlignment="1">
      <alignment horizontal="center" vertical="center" wrapText="1"/>
      <protection/>
    </xf>
    <xf numFmtId="3" fontId="8" fillId="0" borderId="10" xfId="132" applyNumberFormat="1" applyFont="1" applyFill="1" applyBorder="1" applyAlignment="1">
      <alignment horizontal="left" vertical="center" wrapText="1"/>
      <protection/>
    </xf>
    <xf numFmtId="3" fontId="8" fillId="0" borderId="10" xfId="132" applyNumberFormat="1" applyFont="1" applyFill="1" applyBorder="1" applyAlignment="1">
      <alignment vertical="center" wrapText="1"/>
      <protection/>
    </xf>
    <xf numFmtId="3" fontId="8" fillId="0" borderId="10" xfId="132" applyNumberFormat="1" applyFont="1" applyBorder="1" applyAlignment="1">
      <alignment horizontal="left" vertical="center" wrapText="1"/>
      <protection/>
    </xf>
    <xf numFmtId="3" fontId="8" fillId="0" borderId="10" xfId="132" applyNumberFormat="1" applyFont="1" applyBorder="1" applyAlignment="1">
      <alignment vertical="center"/>
      <protection/>
    </xf>
    <xf numFmtId="3" fontId="13" fillId="0" borderId="10" xfId="132" applyNumberFormat="1" applyFont="1" applyBorder="1" applyAlignment="1">
      <alignment vertical="center"/>
      <protection/>
    </xf>
    <xf numFmtId="3" fontId="8" fillId="0" borderId="10" xfId="132" applyNumberFormat="1" applyFont="1" applyBorder="1" applyAlignment="1">
      <alignment horizontal="left" vertical="center"/>
      <protection/>
    </xf>
    <xf numFmtId="3" fontId="8" fillId="0" borderId="10" xfId="132" applyNumberFormat="1" applyFont="1" applyFill="1" applyBorder="1" applyAlignment="1">
      <alignment vertical="center"/>
      <protection/>
    </xf>
    <xf numFmtId="3" fontId="9" fillId="0" borderId="10" xfId="132" applyNumberFormat="1" applyFont="1" applyFill="1" applyBorder="1" applyAlignment="1">
      <alignment horizontal="left" vertical="center" wrapText="1"/>
      <protection/>
    </xf>
    <xf numFmtId="3" fontId="9" fillId="0" borderId="10" xfId="132" applyNumberFormat="1" applyFont="1" applyBorder="1" applyAlignment="1">
      <alignment vertical="center"/>
      <protection/>
    </xf>
    <xf numFmtId="3" fontId="8" fillId="0" borderId="10" xfId="132" applyNumberFormat="1" applyFont="1" applyBorder="1" applyAlignment="1">
      <alignment horizontal="center" vertical="center"/>
      <protection/>
    </xf>
    <xf numFmtId="3" fontId="9" fillId="0" borderId="10" xfId="132" applyNumberFormat="1" applyFont="1" applyBorder="1" applyAlignment="1">
      <alignment horizontal="left" vertical="center" wrapText="1"/>
      <protection/>
    </xf>
    <xf numFmtId="3" fontId="9" fillId="0" borderId="10" xfId="132" applyNumberFormat="1" applyFont="1" applyFill="1" applyBorder="1" applyAlignment="1">
      <alignment vertical="center"/>
      <protection/>
    </xf>
    <xf numFmtId="3" fontId="12" fillId="0" borderId="10" xfId="132" applyNumberFormat="1" applyFont="1" applyBorder="1" applyAlignment="1">
      <alignment vertical="center"/>
      <protection/>
    </xf>
    <xf numFmtId="3" fontId="8" fillId="4" borderId="10" xfId="132" applyNumberFormat="1" applyFont="1" applyFill="1" applyBorder="1" applyAlignment="1">
      <alignment horizontal="center" vertical="center"/>
      <protection/>
    </xf>
    <xf numFmtId="3" fontId="9" fillId="4" borderId="10" xfId="132" applyNumberFormat="1" applyFont="1" applyFill="1" applyBorder="1" applyAlignment="1">
      <alignment horizontal="left" vertical="center" wrapText="1"/>
      <protection/>
    </xf>
    <xf numFmtId="3" fontId="9" fillId="4" borderId="10" xfId="132" applyNumberFormat="1" applyFont="1" applyFill="1" applyBorder="1" applyAlignment="1">
      <alignment vertical="center"/>
      <protection/>
    </xf>
    <xf numFmtId="0" fontId="13" fillId="0" borderId="14" xfId="93" applyFont="1" applyBorder="1" applyAlignment="1">
      <alignment horizontal="center" vertical="center"/>
      <protection/>
    </xf>
    <xf numFmtId="0" fontId="13" fillId="0" borderId="14" xfId="93" applyFont="1" applyBorder="1" applyAlignment="1">
      <alignment vertical="center"/>
      <protection/>
    </xf>
    <xf numFmtId="0" fontId="13" fillId="0" borderId="10" xfId="93" applyFont="1" applyBorder="1" applyAlignment="1">
      <alignment horizontal="center" vertical="center"/>
      <protection/>
    </xf>
    <xf numFmtId="0" fontId="8" fillId="0" borderId="10" xfId="93" applyFont="1" applyBorder="1" applyAlignment="1">
      <alignment horizontal="center" vertical="center"/>
      <protection/>
    </xf>
    <xf numFmtId="0" fontId="12" fillId="4" borderId="20" xfId="0" applyFont="1" applyFill="1" applyBorder="1" applyAlignment="1">
      <alignment/>
    </xf>
    <xf numFmtId="0" fontId="12" fillId="4" borderId="21" xfId="0" applyFont="1" applyFill="1" applyBorder="1" applyAlignment="1">
      <alignment/>
    </xf>
    <xf numFmtId="0" fontId="12" fillId="4" borderId="69" xfId="0" applyFont="1" applyFill="1" applyBorder="1" applyAlignment="1">
      <alignment/>
    </xf>
    <xf numFmtId="3" fontId="12" fillId="4" borderId="42" xfId="132" applyNumberFormat="1" applyFont="1" applyFill="1" applyBorder="1" applyAlignment="1">
      <alignment horizontal="center" vertical="top" wrapText="1"/>
      <protection/>
    </xf>
    <xf numFmtId="3" fontId="12" fillId="4" borderId="22" xfId="132" applyNumberFormat="1" applyFont="1" applyFill="1" applyBorder="1" applyAlignment="1">
      <alignment horizontal="center" vertical="top" wrapText="1"/>
      <protection/>
    </xf>
    <xf numFmtId="3" fontId="12" fillId="4" borderId="70" xfId="132" applyNumberFormat="1" applyFont="1" applyFill="1" applyBorder="1" applyAlignment="1">
      <alignment horizontal="center" vertical="center" wrapText="1"/>
      <protection/>
    </xf>
    <xf numFmtId="0" fontId="13" fillId="0" borderId="10" xfId="94" applyFont="1" applyBorder="1" applyAlignment="1">
      <alignment vertical="center"/>
      <protection/>
    </xf>
    <xf numFmtId="3" fontId="13" fillId="0" borderId="10" xfId="132" applyNumberFormat="1" applyFont="1" applyBorder="1" applyAlignment="1">
      <alignment horizontal="center" vertical="center"/>
      <protection/>
    </xf>
    <xf numFmtId="3" fontId="13" fillId="0" borderId="10" xfId="132" applyNumberFormat="1" applyFont="1" applyBorder="1" applyAlignment="1">
      <alignment horizontal="right" vertical="center"/>
      <protection/>
    </xf>
    <xf numFmtId="0" fontId="13" fillId="0" borderId="10" xfId="94" applyFont="1" applyFill="1" applyBorder="1" applyAlignment="1">
      <alignment vertical="center"/>
      <protection/>
    </xf>
    <xf numFmtId="3" fontId="13" fillId="0" borderId="10" xfId="132" applyNumberFormat="1" applyFont="1" applyBorder="1" applyAlignment="1">
      <alignment horizontal="left" vertical="center"/>
      <protection/>
    </xf>
    <xf numFmtId="3" fontId="13" fillId="0" borderId="10" xfId="132" applyNumberFormat="1" applyFont="1" applyBorder="1" applyAlignment="1">
      <alignment horizontal="left" vertical="center" wrapText="1"/>
      <protection/>
    </xf>
    <xf numFmtId="3" fontId="13" fillId="4" borderId="10" xfId="132" applyNumberFormat="1" applyFont="1" applyFill="1" applyBorder="1" applyAlignment="1">
      <alignment horizontal="center" vertical="center"/>
      <protection/>
    </xf>
    <xf numFmtId="0" fontId="12" fillId="4" borderId="10" xfId="94" applyFont="1" applyFill="1" applyBorder="1" applyAlignment="1">
      <alignment vertical="center" wrapText="1"/>
      <protection/>
    </xf>
    <xf numFmtId="3" fontId="12" fillId="4" borderId="10" xfId="132" applyNumberFormat="1" applyFont="1" applyFill="1" applyBorder="1" applyAlignment="1">
      <alignment horizontal="right" vertical="center"/>
      <protection/>
    </xf>
    <xf numFmtId="3" fontId="12" fillId="0" borderId="10" xfId="132" applyNumberFormat="1" applyFont="1" applyFill="1" applyBorder="1" applyAlignment="1">
      <alignment horizontal="center" vertical="center"/>
      <protection/>
    </xf>
    <xf numFmtId="3" fontId="12" fillId="4" borderId="10" xfId="132" applyNumberFormat="1" applyFont="1" applyFill="1" applyBorder="1" applyAlignment="1">
      <alignment vertical="center"/>
      <protection/>
    </xf>
    <xf numFmtId="0" fontId="9" fillId="25" borderId="71" xfId="103" applyFont="1" applyFill="1" applyBorder="1" applyAlignment="1">
      <alignment horizontal="center" vertical="center" wrapText="1"/>
      <protection/>
    </xf>
    <xf numFmtId="0" fontId="9" fillId="25" borderId="71" xfId="103" applyFont="1" applyFill="1" applyBorder="1" applyAlignment="1">
      <alignment horizontal="center" vertical="center" wrapText="1"/>
      <protection/>
    </xf>
    <xf numFmtId="0" fontId="8" fillId="0" borderId="27" xfId="103" applyFont="1" applyFill="1" applyBorder="1" applyAlignment="1">
      <alignment horizontal="center" vertical="top" wrapText="1"/>
      <protection/>
    </xf>
    <xf numFmtId="0" fontId="8" fillId="0" borderId="35" xfId="103" applyFont="1" applyFill="1" applyBorder="1" applyAlignment="1">
      <alignment vertical="top" wrapText="1"/>
      <protection/>
    </xf>
    <xf numFmtId="0" fontId="9" fillId="0" borderId="72" xfId="103" applyFont="1" applyFill="1" applyBorder="1" applyAlignment="1">
      <alignment horizontal="left" vertical="top"/>
      <protection/>
    </xf>
    <xf numFmtId="0" fontId="9" fillId="0" borderId="73" xfId="103" applyFont="1" applyFill="1" applyBorder="1" applyAlignment="1">
      <alignment horizontal="left" vertical="top"/>
      <protection/>
    </xf>
    <xf numFmtId="3" fontId="8" fillId="0" borderId="27" xfId="103" applyNumberFormat="1" applyFont="1" applyFill="1" applyBorder="1" applyAlignment="1">
      <alignment horizontal="left" vertical="center" wrapText="1"/>
      <protection/>
    </xf>
    <xf numFmtId="3" fontId="8" fillId="0" borderId="27" xfId="103" applyNumberFormat="1" applyFont="1" applyBorder="1">
      <alignment/>
      <protection/>
    </xf>
    <xf numFmtId="3" fontId="13" fillId="0" borderId="27" xfId="133" applyNumberFormat="1" applyFont="1" applyFill="1" applyBorder="1" applyAlignment="1">
      <alignment horizontal="center" vertical="center"/>
      <protection/>
    </xf>
    <xf numFmtId="0" fontId="13" fillId="0" borderId="27" xfId="96" applyFont="1" applyBorder="1" applyAlignment="1">
      <alignment vertical="center"/>
      <protection/>
    </xf>
    <xf numFmtId="0" fontId="13" fillId="0" borderId="36" xfId="96" applyFont="1" applyBorder="1" applyAlignment="1">
      <alignment vertical="center"/>
      <protection/>
    </xf>
    <xf numFmtId="0" fontId="9" fillId="0" borderId="74" xfId="103" applyFont="1" applyFill="1" applyBorder="1" applyAlignment="1">
      <alignment horizontal="left" vertical="top"/>
      <protection/>
    </xf>
    <xf numFmtId="0" fontId="8" fillId="0" borderId="27" xfId="103" applyFont="1" applyFill="1" applyBorder="1" applyAlignment="1">
      <alignment vertical="top" wrapText="1"/>
      <protection/>
    </xf>
    <xf numFmtId="3" fontId="13" fillId="0" borderId="36" xfId="107" applyNumberFormat="1" applyFont="1" applyFill="1" applyBorder="1" applyAlignment="1">
      <alignment vertical="center" wrapText="1"/>
      <protection/>
    </xf>
    <xf numFmtId="3" fontId="13" fillId="0" borderId="75" xfId="120" applyNumberFormat="1" applyFont="1" applyFill="1" applyBorder="1" applyAlignment="1">
      <alignment horizontal="left" vertical="center"/>
      <protection/>
    </xf>
    <xf numFmtId="3" fontId="13" fillId="0" borderId="27" xfId="120" applyNumberFormat="1" applyFont="1" applyFill="1" applyBorder="1" applyAlignment="1">
      <alignment horizontal="left" vertical="center"/>
      <protection/>
    </xf>
    <xf numFmtId="3" fontId="8" fillId="0" borderId="27" xfId="103" applyNumberFormat="1" applyFont="1" applyBorder="1" applyAlignment="1">
      <alignment horizontal="right" vertical="center"/>
      <protection/>
    </xf>
    <xf numFmtId="3" fontId="8" fillId="0" borderId="27" xfId="103" applyNumberFormat="1" applyFont="1" applyFill="1" applyBorder="1" applyAlignment="1">
      <alignment horizontal="right" vertical="center" wrapText="1"/>
      <protection/>
    </xf>
    <xf numFmtId="3" fontId="13" fillId="0" borderId="72" xfId="107" applyNumberFormat="1" applyFont="1" applyFill="1" applyBorder="1" applyAlignment="1">
      <alignment vertical="center" wrapText="1"/>
      <protection/>
    </xf>
    <xf numFmtId="0" fontId="0" fillId="0" borderId="73" xfId="120" applyFill="1" applyBorder="1" applyAlignment="1">
      <alignment vertical="center"/>
      <protection/>
    </xf>
    <xf numFmtId="0" fontId="8" fillId="25" borderId="27" xfId="103" applyFont="1" applyFill="1" applyBorder="1" applyAlignment="1">
      <alignment horizontal="center" vertical="top" wrapText="1"/>
      <protection/>
    </xf>
    <xf numFmtId="0" fontId="8" fillId="25" borderId="27" xfId="103" applyFont="1" applyFill="1" applyBorder="1" applyAlignment="1">
      <alignment vertical="top" wrapText="1"/>
      <protection/>
    </xf>
    <xf numFmtId="0" fontId="9" fillId="25" borderId="36" xfId="103" applyFont="1" applyFill="1" applyBorder="1" applyAlignment="1">
      <alignment horizontal="left" vertical="top"/>
      <protection/>
    </xf>
    <xf numFmtId="0" fontId="9" fillId="25" borderId="74" xfId="103" applyFont="1" applyFill="1" applyBorder="1" applyAlignment="1">
      <alignment horizontal="left" vertical="top"/>
      <protection/>
    </xf>
    <xf numFmtId="3" fontId="9" fillId="25" borderId="27" xfId="103" applyNumberFormat="1" applyFont="1" applyFill="1" applyBorder="1" applyAlignment="1">
      <alignment horizontal="left" vertical="center" wrapText="1"/>
      <protection/>
    </xf>
    <xf numFmtId="3" fontId="9" fillId="25" borderId="27" xfId="103" applyNumberFormat="1" applyFont="1" applyFill="1" applyBorder="1" applyAlignment="1">
      <alignment horizontal="right" vertical="center" wrapText="1"/>
      <protection/>
    </xf>
    <xf numFmtId="0" fontId="8" fillId="26" borderId="27" xfId="103" applyFont="1" applyFill="1" applyBorder="1" applyAlignment="1">
      <alignment horizontal="center"/>
      <protection/>
    </xf>
    <xf numFmtId="0" fontId="8" fillId="26" borderId="27" xfId="103" applyFont="1" applyFill="1" applyBorder="1" applyAlignment="1">
      <alignment horizontal="center" vertical="center"/>
      <protection/>
    </xf>
    <xf numFmtId="0" fontId="8" fillId="0" borderId="36" xfId="96" applyFont="1" applyBorder="1" applyAlignment="1">
      <alignment vertical="center"/>
      <protection/>
    </xf>
    <xf numFmtId="0" fontId="9" fillId="26" borderId="74" xfId="103" applyFont="1" applyFill="1" applyBorder="1" applyAlignment="1">
      <alignment vertical="center"/>
      <protection/>
    </xf>
    <xf numFmtId="3" fontId="8" fillId="0" borderId="27" xfId="103" applyNumberFormat="1" applyFont="1" applyBorder="1" applyAlignment="1">
      <alignment vertical="center"/>
      <protection/>
    </xf>
    <xf numFmtId="3" fontId="8" fillId="26" borderId="27" xfId="103" applyNumberFormat="1" applyFont="1" applyFill="1" applyBorder="1" applyAlignment="1">
      <alignment vertical="center"/>
      <protection/>
    </xf>
    <xf numFmtId="0" fontId="8" fillId="26" borderId="30" xfId="103" applyFont="1" applyFill="1" applyBorder="1" applyAlignment="1">
      <alignment horizontal="center"/>
      <protection/>
    </xf>
    <xf numFmtId="0" fontId="8" fillId="26" borderId="76" xfId="103" applyFont="1" applyFill="1" applyBorder="1" applyAlignment="1">
      <alignment horizontal="center"/>
      <protection/>
    </xf>
    <xf numFmtId="0" fontId="14" fillId="0" borderId="27" xfId="130" applyFont="1" applyFill="1" applyBorder="1" applyAlignment="1">
      <alignment horizontal="center" vertical="center"/>
      <protection/>
    </xf>
    <xf numFmtId="0" fontId="14" fillId="0" borderId="36" xfId="96" applyFont="1" applyBorder="1" applyAlignment="1">
      <alignment vertical="center"/>
      <protection/>
    </xf>
    <xf numFmtId="167" fontId="14" fillId="0" borderId="27" xfId="130" applyNumberFormat="1" applyFont="1" applyFill="1" applyBorder="1" applyAlignment="1">
      <alignment horizontal="center" vertical="center"/>
      <protection/>
    </xf>
    <xf numFmtId="3" fontId="14" fillId="0" borderId="36" xfId="109" applyNumberFormat="1" applyFont="1" applyBorder="1" applyAlignment="1">
      <alignment vertical="top" wrapText="1"/>
      <protection/>
    </xf>
    <xf numFmtId="0" fontId="8" fillId="26" borderId="74" xfId="103" applyFont="1" applyFill="1" applyBorder="1" applyAlignment="1">
      <alignment vertical="center"/>
      <protection/>
    </xf>
    <xf numFmtId="167" fontId="13" fillId="0" borderId="27" xfId="130" applyNumberFormat="1" applyFont="1" applyFill="1" applyBorder="1" applyAlignment="1">
      <alignment horizontal="center" vertical="center"/>
      <protection/>
    </xf>
    <xf numFmtId="49" fontId="13" fillId="0" borderId="36" xfId="109" applyNumberFormat="1" applyFont="1" applyBorder="1" applyAlignment="1">
      <alignment horizontal="left" vertical="center" wrapText="1"/>
      <protection/>
    </xf>
    <xf numFmtId="0" fontId="8" fillId="0" borderId="74" xfId="120" applyFont="1" applyFill="1" applyBorder="1" applyAlignment="1">
      <alignment horizontal="left" vertical="center" wrapText="1"/>
      <protection/>
    </xf>
    <xf numFmtId="49" fontId="13" fillId="0" borderId="75" xfId="109" applyNumberFormat="1" applyFont="1" applyBorder="1" applyAlignment="1">
      <alignment horizontal="left" vertical="center" wrapText="1"/>
      <protection/>
    </xf>
    <xf numFmtId="0" fontId="8" fillId="0" borderId="77" xfId="120" applyFont="1" applyFill="1" applyBorder="1" applyAlignment="1">
      <alignment horizontal="left" vertical="center" wrapText="1"/>
      <protection/>
    </xf>
    <xf numFmtId="0" fontId="8" fillId="0" borderId="27" xfId="120" applyFont="1" applyFill="1" applyBorder="1" applyAlignment="1">
      <alignment horizontal="left" vertical="center" wrapText="1"/>
      <protection/>
    </xf>
    <xf numFmtId="49" fontId="70" fillId="0" borderId="75" xfId="109" applyNumberFormat="1" applyFont="1" applyBorder="1" applyAlignment="1">
      <alignment horizontal="left" vertical="top" wrapText="1"/>
      <protection/>
    </xf>
    <xf numFmtId="0" fontId="8" fillId="0" borderId="36" xfId="103" applyFont="1" applyBorder="1" applyAlignment="1">
      <alignment vertical="center"/>
      <protection/>
    </xf>
    <xf numFmtId="49" fontId="8" fillId="26" borderId="36" xfId="120" applyNumberFormat="1" applyFont="1" applyFill="1" applyBorder="1" applyAlignment="1">
      <alignment horizontal="left" vertical="top" wrapText="1"/>
      <protection/>
    </xf>
    <xf numFmtId="0" fontId="8" fillId="26" borderId="78" xfId="130" applyFont="1" applyFill="1" applyBorder="1" applyAlignment="1">
      <alignment vertical="top" wrapText="1"/>
      <protection/>
    </xf>
    <xf numFmtId="0" fontId="20" fillId="26" borderId="78" xfId="130" applyFont="1" applyFill="1" applyBorder="1" applyAlignment="1">
      <alignment vertical="top" wrapText="1"/>
      <protection/>
    </xf>
    <xf numFmtId="49" fontId="8" fillId="0" borderId="78" xfId="109" applyNumberFormat="1" applyFont="1" applyFill="1" applyBorder="1" applyAlignment="1">
      <alignment horizontal="left" vertical="center" wrapText="1"/>
      <protection/>
    </xf>
    <xf numFmtId="0" fontId="8" fillId="0" borderId="27" xfId="103" applyFont="1" applyFill="1" applyBorder="1" applyAlignment="1">
      <alignment horizontal="center" vertical="center"/>
      <protection/>
    </xf>
    <xf numFmtId="0" fontId="20" fillId="0" borderId="36" xfId="130" applyFont="1" applyBorder="1" applyAlignment="1">
      <alignment vertical="center"/>
      <protection/>
    </xf>
    <xf numFmtId="0" fontId="8" fillId="0" borderId="27" xfId="103" applyFont="1" applyBorder="1" applyAlignment="1">
      <alignment horizontal="center" vertical="center"/>
      <protection/>
    </xf>
    <xf numFmtId="49" fontId="0" fillId="0" borderId="78" xfId="109" applyNumberFormat="1" applyFont="1" applyFill="1" applyBorder="1" applyAlignment="1">
      <alignment horizontal="left" vertical="center" wrapText="1"/>
      <protection/>
    </xf>
    <xf numFmtId="3" fontId="66" fillId="0" borderId="79" xfId="120" applyNumberFormat="1" applyFont="1" applyFill="1" applyBorder="1" applyAlignment="1">
      <alignment horizontal="left" vertical="center" wrapText="1"/>
      <protection/>
    </xf>
    <xf numFmtId="3" fontId="8" fillId="0" borderId="27" xfId="120" applyNumberFormat="1" applyFont="1" applyFill="1" applyBorder="1" applyAlignment="1">
      <alignment horizontal="left" vertical="center" wrapText="1"/>
      <protection/>
    </xf>
    <xf numFmtId="0" fontId="8" fillId="0" borderId="36" xfId="103" applyFont="1" applyBorder="1" applyAlignment="1">
      <alignment vertical="center" wrapText="1"/>
      <protection/>
    </xf>
    <xf numFmtId="49" fontId="8" fillId="0" borderId="36" xfId="109" applyNumberFormat="1" applyFont="1" applyBorder="1" applyAlignment="1">
      <alignment horizontal="left" vertical="center" wrapText="1"/>
      <protection/>
    </xf>
    <xf numFmtId="3" fontId="66" fillId="0" borderId="74" xfId="120" applyNumberFormat="1" applyFont="1" applyFill="1" applyBorder="1" applyAlignment="1">
      <alignment horizontal="left" vertical="center" wrapText="1"/>
      <protection/>
    </xf>
    <xf numFmtId="3" fontId="8" fillId="0" borderId="74" xfId="120" applyNumberFormat="1" applyFont="1" applyFill="1" applyBorder="1" applyAlignment="1">
      <alignment horizontal="left" vertical="center" wrapText="1"/>
      <protection/>
    </xf>
    <xf numFmtId="0" fontId="66" fillId="0" borderId="74" xfId="120" applyFont="1" applyFill="1" applyBorder="1" applyAlignment="1">
      <alignment horizontal="left" vertical="center" wrapText="1"/>
      <protection/>
    </xf>
    <xf numFmtId="0" fontId="8" fillId="25" borderId="30" xfId="103" applyFont="1" applyFill="1" applyBorder="1" applyAlignment="1">
      <alignment/>
      <protection/>
    </xf>
    <xf numFmtId="0" fontId="8" fillId="25" borderId="76" xfId="103" applyFont="1" applyFill="1" applyBorder="1" applyAlignment="1">
      <alignment/>
      <protection/>
    </xf>
    <xf numFmtId="0" fontId="8" fillId="25" borderId="27" xfId="103" applyFont="1" applyFill="1" applyBorder="1" applyAlignment="1">
      <alignment horizontal="center" vertical="center"/>
      <protection/>
    </xf>
    <xf numFmtId="0" fontId="9" fillId="25" borderId="36" xfId="103" applyFont="1" applyFill="1" applyBorder="1" applyAlignment="1">
      <alignment vertical="center"/>
      <protection/>
    </xf>
    <xf numFmtId="0" fontId="68" fillId="25" borderId="74" xfId="103" applyFont="1" applyFill="1" applyBorder="1" applyAlignment="1">
      <alignment vertical="center"/>
      <protection/>
    </xf>
    <xf numFmtId="0" fontId="8" fillId="25" borderId="74" xfId="103" applyFont="1" applyFill="1" applyBorder="1" applyAlignment="1">
      <alignment vertical="center"/>
      <protection/>
    </xf>
    <xf numFmtId="3" fontId="9" fillId="25" borderId="27" xfId="103" applyNumberFormat="1" applyFont="1" applyFill="1" applyBorder="1" applyAlignment="1">
      <alignment horizontal="right" vertical="center"/>
      <protection/>
    </xf>
    <xf numFmtId="0" fontId="8" fillId="0" borderId="30" xfId="103" applyFont="1" applyFill="1" applyBorder="1" applyAlignment="1">
      <alignment/>
      <protection/>
    </xf>
    <xf numFmtId="0" fontId="8" fillId="0" borderId="76" xfId="103" applyFont="1" applyFill="1" applyBorder="1" applyAlignment="1">
      <alignment/>
      <protection/>
    </xf>
    <xf numFmtId="0" fontId="9" fillId="0" borderId="36" xfId="103" applyFont="1" applyFill="1" applyBorder="1" applyAlignment="1">
      <alignment horizontal="left" vertical="center"/>
      <protection/>
    </xf>
    <xf numFmtId="0" fontId="68" fillId="0" borderId="74" xfId="103" applyFont="1" applyFill="1" applyBorder="1" applyAlignment="1">
      <alignment horizontal="left" vertical="center"/>
      <protection/>
    </xf>
    <xf numFmtId="0" fontId="8" fillId="0" borderId="74" xfId="103" applyFont="1" applyFill="1" applyBorder="1" applyAlignment="1">
      <alignment horizontal="left" vertical="center"/>
      <protection/>
    </xf>
    <xf numFmtId="3" fontId="9" fillId="0" borderId="27" xfId="103" applyNumberFormat="1" applyFont="1" applyFill="1" applyBorder="1" applyAlignment="1">
      <alignment horizontal="right" vertical="center"/>
      <protection/>
    </xf>
    <xf numFmtId="0" fontId="9" fillId="0" borderId="27" xfId="103" applyFont="1" applyFill="1" applyBorder="1" applyAlignment="1">
      <alignment horizontal="center" vertical="center"/>
      <protection/>
    </xf>
    <xf numFmtId="3" fontId="8" fillId="0" borderId="27" xfId="103" applyNumberFormat="1" applyFont="1" applyFill="1" applyBorder="1" applyAlignment="1">
      <alignment horizontal="right" vertical="center"/>
      <protection/>
    </xf>
    <xf numFmtId="0" fontId="8" fillId="0" borderId="27" xfId="103" applyFont="1" applyFill="1" applyBorder="1" applyAlignment="1">
      <alignment/>
      <protection/>
    </xf>
    <xf numFmtId="0" fontId="8" fillId="0" borderId="74" xfId="103" applyFont="1" applyFill="1" applyBorder="1" applyAlignment="1">
      <alignment/>
      <protection/>
    </xf>
    <xf numFmtId="0" fontId="8" fillId="26" borderId="36" xfId="120" applyFont="1" applyFill="1" applyBorder="1" applyAlignment="1">
      <alignment vertical="top" wrapText="1"/>
      <protection/>
    </xf>
    <xf numFmtId="49" fontId="8" fillId="0" borderId="36" xfId="120" applyNumberFormat="1" applyFont="1" applyFill="1" applyBorder="1" applyAlignment="1">
      <alignment horizontal="left" vertical="top" wrapText="1"/>
      <protection/>
    </xf>
    <xf numFmtId="0" fontId="8" fillId="0" borderId="36" xfId="130" applyFont="1" applyBorder="1" applyAlignment="1">
      <alignment vertical="center"/>
      <protection/>
    </xf>
    <xf numFmtId="49" fontId="8" fillId="0" borderId="36" xfId="120" applyNumberFormat="1" applyFont="1" applyFill="1" applyBorder="1" applyAlignment="1">
      <alignment horizontal="left" vertical="center" wrapText="1"/>
      <protection/>
    </xf>
    <xf numFmtId="0" fontId="68" fillId="0" borderId="74" xfId="130" applyFont="1" applyFill="1" applyBorder="1" applyAlignment="1">
      <alignment vertical="center"/>
      <protection/>
    </xf>
    <xf numFmtId="0" fontId="8" fillId="0" borderId="74" xfId="130" applyFont="1" applyFill="1" applyBorder="1" applyAlignment="1">
      <alignment vertical="center"/>
      <protection/>
    </xf>
    <xf numFmtId="0" fontId="9" fillId="0" borderId="27" xfId="103" applyFont="1" applyBorder="1" applyAlignment="1">
      <alignment horizontal="center" vertical="center"/>
      <protection/>
    </xf>
    <xf numFmtId="0" fontId="9" fillId="0" borderId="36" xfId="103" applyFont="1" applyBorder="1" applyAlignment="1">
      <alignment vertical="center"/>
      <protection/>
    </xf>
    <xf numFmtId="49" fontId="13" fillId="0" borderId="36" xfId="120" applyNumberFormat="1" applyFont="1" applyFill="1" applyBorder="1" applyAlignment="1">
      <alignment horizontal="left" vertical="center" wrapText="1"/>
      <protection/>
    </xf>
    <xf numFmtId="0" fontId="8" fillId="0" borderId="12" xfId="99" applyFont="1" applyFill="1" applyBorder="1" applyAlignment="1">
      <alignment vertical="center" wrapText="1"/>
      <protection/>
    </xf>
    <xf numFmtId="0" fontId="8" fillId="0" borderId="78" xfId="120" applyFont="1" applyFill="1" applyBorder="1" applyAlignment="1">
      <alignment vertical="top" wrapText="1"/>
      <protection/>
    </xf>
    <xf numFmtId="0" fontId="9" fillId="26" borderId="27" xfId="103" applyFont="1" applyFill="1" applyBorder="1" applyAlignment="1">
      <alignment horizontal="center" vertical="top" wrapText="1"/>
      <protection/>
    </xf>
    <xf numFmtId="0" fontId="9" fillId="26" borderId="36" xfId="103" applyFont="1" applyFill="1" applyBorder="1" applyAlignment="1">
      <alignment vertical="top"/>
      <protection/>
    </xf>
    <xf numFmtId="0" fontId="8" fillId="26" borderId="36" xfId="108" applyFont="1" applyFill="1" applyBorder="1" applyAlignment="1">
      <alignment vertical="top" wrapText="1"/>
      <protection/>
    </xf>
    <xf numFmtId="0" fontId="68" fillId="0" borderId="74" xfId="103" applyFont="1" applyBorder="1" applyAlignment="1">
      <alignment vertical="center"/>
      <protection/>
    </xf>
    <xf numFmtId="0" fontId="8" fillId="0" borderId="74" xfId="103" applyFont="1" applyBorder="1" applyAlignment="1">
      <alignment vertical="center"/>
      <protection/>
    </xf>
    <xf numFmtId="0" fontId="8" fillId="26" borderId="78" xfId="108" applyFont="1" applyFill="1" applyBorder="1" applyAlignment="1">
      <alignment vertical="top" wrapText="1"/>
      <protection/>
    </xf>
    <xf numFmtId="0" fontId="8" fillId="0" borderId="78" xfId="108" applyFont="1" applyFill="1" applyBorder="1" applyAlignment="1">
      <alignment vertical="top" wrapText="1"/>
      <protection/>
    </xf>
    <xf numFmtId="0" fontId="8" fillId="26" borderId="27" xfId="103" applyFont="1" applyFill="1" applyBorder="1" applyAlignment="1">
      <alignment horizontal="center" vertical="top" wrapText="1"/>
      <protection/>
    </xf>
    <xf numFmtId="0" fontId="8" fillId="0" borderId="36" xfId="108" applyFont="1" applyBorder="1" applyAlignment="1">
      <alignment vertical="center" wrapText="1"/>
      <protection/>
    </xf>
    <xf numFmtId="0" fontId="9" fillId="0" borderId="36" xfId="103" applyFont="1" applyFill="1" applyBorder="1" applyAlignment="1">
      <alignment vertical="top"/>
      <protection/>
    </xf>
    <xf numFmtId="49" fontId="13" fillId="0" borderId="36" xfId="120" applyNumberFormat="1" applyFont="1" applyBorder="1" applyAlignment="1">
      <alignment horizontal="left" vertical="center" wrapText="1"/>
      <protection/>
    </xf>
    <xf numFmtId="3" fontId="13" fillId="0" borderId="36" xfId="120" applyNumberFormat="1" applyFont="1" applyFill="1" applyBorder="1" applyAlignment="1">
      <alignment horizontal="left" vertical="center" wrapText="1"/>
      <protection/>
    </xf>
    <xf numFmtId="49" fontId="8" fillId="0" borderId="36" xfId="120" applyNumberFormat="1" applyFont="1" applyFill="1" applyBorder="1" applyAlignment="1">
      <alignment vertical="center" wrapText="1"/>
      <protection/>
    </xf>
    <xf numFmtId="49" fontId="8" fillId="0" borderId="36" xfId="120" applyNumberFormat="1" applyFont="1" applyBorder="1" applyAlignment="1">
      <alignment vertical="center" wrapText="1"/>
      <protection/>
    </xf>
    <xf numFmtId="49" fontId="8" fillId="0" borderId="36" xfId="120" applyNumberFormat="1" applyFont="1" applyBorder="1" applyAlignment="1">
      <alignment horizontal="left" vertical="top" wrapText="1"/>
      <protection/>
    </xf>
    <xf numFmtId="0" fontId="8" fillId="26" borderId="78" xfId="120" applyFont="1" applyFill="1" applyBorder="1" applyAlignment="1">
      <alignment vertical="top" wrapText="1"/>
      <protection/>
    </xf>
    <xf numFmtId="49" fontId="8" fillId="26" borderId="36" xfId="120" applyNumberFormat="1" applyFont="1" applyFill="1" applyBorder="1" applyAlignment="1">
      <alignment vertical="top" wrapText="1"/>
      <protection/>
    </xf>
    <xf numFmtId="0" fontId="8" fillId="26" borderId="36" xfId="120" applyFont="1" applyFill="1" applyBorder="1" applyAlignment="1">
      <alignment horizontal="left" vertical="top" wrapText="1"/>
      <protection/>
    </xf>
    <xf numFmtId="3" fontId="13" fillId="26" borderId="36" xfId="120" applyNumberFormat="1" applyFont="1" applyFill="1" applyBorder="1" applyAlignment="1">
      <alignment horizontal="left" vertical="center" wrapText="1"/>
      <protection/>
    </xf>
    <xf numFmtId="49" fontId="8" fillId="0" borderId="36" xfId="120" applyNumberFormat="1" applyFont="1" applyFill="1" applyBorder="1" applyAlignment="1">
      <alignment vertical="top" wrapText="1"/>
      <protection/>
    </xf>
    <xf numFmtId="49" fontId="8" fillId="0" borderId="36" xfId="109" applyNumberFormat="1" applyFont="1" applyFill="1" applyBorder="1" applyAlignment="1">
      <alignment horizontal="left" vertical="center" wrapText="1"/>
      <protection/>
    </xf>
    <xf numFmtId="49" fontId="8" fillId="0" borderId="78" xfId="110" applyNumberFormat="1" applyFont="1" applyBorder="1" applyAlignment="1">
      <alignment horizontal="left" vertical="top" wrapText="1"/>
      <protection/>
    </xf>
    <xf numFmtId="0" fontId="8" fillId="0" borderId="36" xfId="103" applyFont="1" applyFill="1" applyBorder="1" applyAlignment="1">
      <alignment vertical="top"/>
      <protection/>
    </xf>
    <xf numFmtId="3" fontId="13" fillId="0" borderId="72" xfId="109" applyNumberFormat="1" applyFont="1" applyBorder="1" applyAlignment="1">
      <alignment vertical="top" wrapText="1"/>
      <protection/>
    </xf>
    <xf numFmtId="0" fontId="68" fillId="0" borderId="71" xfId="103" applyFont="1" applyFill="1" applyBorder="1" applyAlignment="1">
      <alignment horizontal="left" vertical="center"/>
      <protection/>
    </xf>
    <xf numFmtId="0" fontId="8" fillId="0" borderId="27" xfId="103" applyFont="1" applyFill="1" applyBorder="1" applyAlignment="1">
      <alignment horizontal="left" vertical="center"/>
      <protection/>
    </xf>
    <xf numFmtId="3" fontId="8" fillId="0" borderId="36" xfId="109" applyNumberFormat="1" applyFont="1" applyBorder="1" applyAlignment="1">
      <alignment vertical="center" wrapText="1"/>
      <protection/>
    </xf>
    <xf numFmtId="3" fontId="8" fillId="0" borderId="36" xfId="109" applyNumberFormat="1" applyFont="1" applyFill="1" applyBorder="1" applyAlignment="1">
      <alignment vertical="center" wrapText="1"/>
      <protection/>
    </xf>
    <xf numFmtId="3" fontId="13" fillId="0" borderId="27" xfId="0" applyNumberFormat="1" applyFont="1" applyFill="1" applyBorder="1" applyAlignment="1">
      <alignment vertical="center"/>
    </xf>
    <xf numFmtId="0" fontId="8" fillId="0" borderId="36" xfId="120" applyFont="1" applyFill="1" applyBorder="1">
      <alignment/>
      <protection/>
    </xf>
    <xf numFmtId="49" fontId="0" fillId="0" borderId="36" xfId="120" applyNumberFormat="1" applyFont="1" applyBorder="1" applyAlignment="1">
      <alignment vertical="center" wrapText="1"/>
      <protection/>
    </xf>
    <xf numFmtId="49" fontId="0" fillId="0" borderId="36" xfId="109" applyNumberFormat="1" applyFont="1" applyFill="1" applyBorder="1" applyAlignment="1">
      <alignment horizontal="left" vertical="center" wrapText="1"/>
      <protection/>
    </xf>
    <xf numFmtId="0" fontId="8" fillId="0" borderId="36" xfId="100" applyFont="1" applyFill="1" applyBorder="1" applyAlignment="1">
      <alignment vertical="top" wrapText="1"/>
      <protection/>
    </xf>
    <xf numFmtId="0" fontId="9" fillId="25" borderId="36" xfId="103" applyFont="1" applyFill="1" applyBorder="1" applyAlignment="1">
      <alignment horizontal="left" vertical="center"/>
      <protection/>
    </xf>
    <xf numFmtId="0" fontId="68" fillId="25" borderId="74" xfId="103" applyFont="1" applyFill="1" applyBorder="1" applyAlignment="1">
      <alignment horizontal="left" vertical="center"/>
      <protection/>
    </xf>
    <xf numFmtId="0" fontId="8" fillId="25" borderId="74" xfId="103" applyFont="1" applyFill="1" applyBorder="1" applyAlignment="1">
      <alignment horizontal="left" vertical="center"/>
      <protection/>
    </xf>
    <xf numFmtId="0" fontId="9" fillId="26" borderId="36" xfId="103" applyFont="1" applyFill="1" applyBorder="1" applyAlignment="1">
      <alignment horizontal="left" vertical="center"/>
      <protection/>
    </xf>
    <xf numFmtId="0" fontId="68" fillId="26" borderId="74" xfId="103" applyFont="1" applyFill="1" applyBorder="1" applyAlignment="1">
      <alignment horizontal="left" vertical="center"/>
      <protection/>
    </xf>
    <xf numFmtId="0" fontId="8" fillId="26" borderId="74" xfId="103" applyFont="1" applyFill="1" applyBorder="1" applyAlignment="1">
      <alignment horizontal="left" vertical="center"/>
      <protection/>
    </xf>
    <xf numFmtId="0" fontId="8" fillId="0" borderId="27" xfId="103" applyFont="1" applyBorder="1">
      <alignment/>
      <protection/>
    </xf>
    <xf numFmtId="0" fontId="13" fillId="0" borderId="36" xfId="120" applyFont="1" applyBorder="1" applyAlignment="1">
      <alignment horizontal="left" vertical="top" wrapText="1"/>
      <protection/>
    </xf>
    <xf numFmtId="0" fontId="13" fillId="0" borderId="36" xfId="120" applyFont="1" applyBorder="1" applyAlignment="1">
      <alignment wrapText="1"/>
      <protection/>
    </xf>
    <xf numFmtId="49" fontId="8" fillId="26" borderId="78" xfId="120" applyNumberFormat="1" applyFont="1" applyFill="1" applyBorder="1" applyAlignment="1">
      <alignment horizontal="left" vertical="top" wrapText="1"/>
      <protection/>
    </xf>
    <xf numFmtId="0" fontId="12" fillId="0" borderId="74" xfId="130" applyFont="1" applyFill="1" applyBorder="1" applyAlignment="1">
      <alignment vertical="center"/>
      <protection/>
    </xf>
    <xf numFmtId="0" fontId="13" fillId="0" borderId="74" xfId="130" applyFont="1" applyFill="1" applyBorder="1" applyAlignment="1">
      <alignment vertical="center"/>
      <protection/>
    </xf>
    <xf numFmtId="49" fontId="8" fillId="0" borderId="36" xfId="109" applyNumberFormat="1" applyFont="1" applyFill="1" applyBorder="1" applyAlignment="1">
      <alignment vertical="center" wrapText="1"/>
      <protection/>
    </xf>
    <xf numFmtId="0" fontId="66" fillId="0" borderId="74" xfId="103" applyFont="1" applyFill="1" applyBorder="1" applyAlignment="1">
      <alignment vertical="center"/>
      <protection/>
    </xf>
    <xf numFmtId="0" fontId="8" fillId="0" borderId="74" xfId="103" applyFont="1" applyFill="1" applyBorder="1" applyAlignment="1">
      <alignment vertical="center"/>
      <protection/>
    </xf>
    <xf numFmtId="49" fontId="8" fillId="0" borderId="36" xfId="120" applyNumberFormat="1" applyFont="1" applyFill="1" applyBorder="1" applyAlignment="1">
      <alignment horizontal="left" vertical="top" wrapText="1"/>
      <protection/>
    </xf>
    <xf numFmtId="0" fontId="5" fillId="0" borderId="27" xfId="103" applyFont="1" applyBorder="1">
      <alignment/>
      <protection/>
    </xf>
    <xf numFmtId="0" fontId="8" fillId="0" borderId="27" xfId="103" applyFont="1" applyBorder="1" applyAlignment="1">
      <alignment/>
      <protection/>
    </xf>
    <xf numFmtId="0" fontId="13" fillId="0" borderId="36" xfId="120" applyFont="1" applyFill="1" applyBorder="1" applyAlignment="1">
      <alignment horizontal="left" vertical="top" wrapText="1"/>
      <protection/>
    </xf>
    <xf numFmtId="0" fontId="13" fillId="0" borderId="36" xfId="120" applyFont="1" applyBorder="1">
      <alignment/>
      <protection/>
    </xf>
    <xf numFmtId="0" fontId="8" fillId="0" borderId="36" xfId="99" applyFont="1" applyFill="1" applyBorder="1" applyAlignment="1">
      <alignment horizontal="left" vertical="center" wrapText="1"/>
      <protection/>
    </xf>
    <xf numFmtId="0" fontId="8" fillId="26" borderId="36" xfId="99" applyFont="1" applyFill="1" applyBorder="1" applyAlignment="1">
      <alignment vertical="top" wrapText="1"/>
      <protection/>
    </xf>
    <xf numFmtId="0" fontId="9" fillId="0" borderId="74" xfId="103" applyFont="1" applyBorder="1" applyAlignment="1">
      <alignment vertical="center"/>
      <protection/>
    </xf>
    <xf numFmtId="0" fontId="68" fillId="26" borderId="74" xfId="103" applyFont="1" applyFill="1" applyBorder="1" applyAlignment="1">
      <alignment vertical="top"/>
      <protection/>
    </xf>
    <xf numFmtId="0" fontId="8" fillId="26" borderId="74" xfId="103" applyFont="1" applyFill="1" applyBorder="1" applyAlignment="1">
      <alignment vertical="top"/>
      <protection/>
    </xf>
    <xf numFmtId="167" fontId="8" fillId="26" borderId="27" xfId="103" applyNumberFormat="1" applyFont="1" applyFill="1" applyBorder="1" applyAlignment="1">
      <alignment horizontal="center" vertical="top" wrapText="1"/>
      <protection/>
    </xf>
    <xf numFmtId="49" fontId="8" fillId="0" borderId="36" xfId="120" applyNumberFormat="1" applyFont="1" applyBorder="1" applyAlignment="1">
      <alignment horizontal="left" vertical="center" wrapText="1"/>
      <protection/>
    </xf>
    <xf numFmtId="0" fontId="8" fillId="0" borderId="36" xfId="99" applyFont="1" applyFill="1" applyBorder="1" applyAlignment="1">
      <alignment vertical="center" wrapText="1"/>
      <protection/>
    </xf>
    <xf numFmtId="0" fontId="8" fillId="0" borderId="36" xfId="99" applyFont="1" applyFill="1" applyBorder="1" applyAlignment="1">
      <alignment vertical="top"/>
      <protection/>
    </xf>
    <xf numFmtId="0" fontId="8" fillId="26" borderId="36" xfId="103" applyFont="1" applyFill="1" applyBorder="1" applyAlignment="1">
      <alignment vertical="top" wrapText="1"/>
      <protection/>
    </xf>
    <xf numFmtId="0" fontId="66" fillId="26" borderId="74" xfId="103" applyFont="1" applyFill="1" applyBorder="1" applyAlignment="1">
      <alignment horizontal="center" vertical="top"/>
      <protection/>
    </xf>
    <xf numFmtId="0" fontId="8" fillId="26" borderId="74" xfId="103" applyFont="1" applyFill="1" applyBorder="1" applyAlignment="1">
      <alignment horizontal="center" vertical="top"/>
      <protection/>
    </xf>
    <xf numFmtId="0" fontId="8" fillId="0" borderId="36" xfId="99" applyFont="1" applyFill="1" applyBorder="1" applyAlignment="1">
      <alignment horizontal="left" vertical="top"/>
      <protection/>
    </xf>
    <xf numFmtId="0" fontId="8" fillId="26" borderId="36" xfId="103" applyFont="1" applyFill="1" applyBorder="1" applyAlignment="1">
      <alignment vertical="top"/>
      <protection/>
    </xf>
    <xf numFmtId="0" fontId="8" fillId="0" borderId="36" xfId="101" applyFont="1" applyFill="1" applyBorder="1" applyAlignment="1">
      <alignment vertical="top"/>
      <protection/>
    </xf>
    <xf numFmtId="0" fontId="8" fillId="0" borderId="36" xfId="101" applyFont="1" applyFill="1" applyBorder="1" applyAlignment="1">
      <alignment vertical="top"/>
      <protection/>
    </xf>
    <xf numFmtId="0" fontId="8" fillId="0" borderId="36" xfId="101" applyFont="1" applyFill="1" applyBorder="1" applyAlignment="1">
      <alignment vertical="top" wrapText="1"/>
      <protection/>
    </xf>
    <xf numFmtId="0" fontId="8" fillId="0" borderId="36" xfId="103" applyFont="1" applyFill="1" applyBorder="1" applyAlignment="1">
      <alignment vertical="top" wrapText="1"/>
      <protection/>
    </xf>
    <xf numFmtId="0" fontId="13" fillId="0" borderId="36" xfId="120" applyFont="1" applyFill="1" applyBorder="1" applyAlignment="1">
      <alignment wrapText="1"/>
      <protection/>
    </xf>
    <xf numFmtId="0" fontId="8" fillId="26" borderId="74" xfId="103" applyFont="1" applyFill="1" applyBorder="1" applyAlignment="1">
      <alignment horizontal="center" vertical="center"/>
      <protection/>
    </xf>
    <xf numFmtId="0" fontId="13" fillId="0" borderId="36" xfId="120" applyFont="1" applyBorder="1" applyAlignment="1">
      <alignment horizontal="left"/>
      <protection/>
    </xf>
    <xf numFmtId="0" fontId="8" fillId="0" borderId="78" xfId="100" applyFont="1" applyFill="1" applyBorder="1" applyAlignment="1">
      <alignment vertical="top" wrapText="1"/>
      <protection/>
    </xf>
    <xf numFmtId="0" fontId="8" fillId="0" borderId="36" xfId="103" applyFont="1" applyBorder="1">
      <alignment/>
      <protection/>
    </xf>
    <xf numFmtId="0" fontId="8" fillId="0" borderId="36" xfId="103" applyFont="1" applyFill="1" applyBorder="1" applyAlignment="1">
      <alignment vertical="top" wrapText="1"/>
      <protection/>
    </xf>
    <xf numFmtId="0" fontId="8" fillId="0" borderId="36" xfId="96" applyFont="1" applyFill="1" applyBorder="1" applyAlignment="1">
      <alignment horizontal="left" vertical="center" wrapText="1"/>
      <protection/>
    </xf>
    <xf numFmtId="0" fontId="8" fillId="0" borderId="36" xfId="95" applyFont="1" applyFill="1" applyBorder="1" applyAlignment="1">
      <alignment horizontal="left" vertical="center" wrapText="1"/>
      <protection/>
    </xf>
    <xf numFmtId="0" fontId="8" fillId="0" borderId="36" xfId="101" applyFont="1" applyFill="1" applyBorder="1" applyAlignment="1">
      <alignment vertical="top" wrapText="1"/>
      <protection/>
    </xf>
    <xf numFmtId="0" fontId="8" fillId="26" borderId="36" xfId="103" applyFont="1" applyFill="1" applyBorder="1" applyAlignment="1">
      <alignment horizontal="left" vertical="top" wrapText="1"/>
      <protection/>
    </xf>
    <xf numFmtId="3" fontId="8" fillId="0" borderId="36" xfId="120" applyNumberFormat="1" applyFont="1" applyFill="1" applyBorder="1" applyAlignment="1">
      <alignment vertical="center" wrapText="1"/>
      <protection/>
    </xf>
    <xf numFmtId="49" fontId="8" fillId="0" borderId="36" xfId="109" applyNumberFormat="1" applyFont="1" applyFill="1" applyBorder="1" applyAlignment="1">
      <alignment horizontal="left" vertical="center"/>
      <protection/>
    </xf>
    <xf numFmtId="0" fontId="5" fillId="0" borderId="74" xfId="103" applyBorder="1">
      <alignment/>
      <protection/>
    </xf>
    <xf numFmtId="0" fontId="8" fillId="0" borderId="74" xfId="103" applyFont="1" applyBorder="1">
      <alignment/>
      <protection/>
    </xf>
    <xf numFmtId="49" fontId="0" fillId="0" borderId="36" xfId="120" applyNumberFormat="1" applyFont="1" applyBorder="1" applyAlignment="1">
      <alignment horizontal="left" vertical="center" wrapText="1"/>
      <protection/>
    </xf>
    <xf numFmtId="0" fontId="66" fillId="26" borderId="74" xfId="103" applyFont="1" applyFill="1" applyBorder="1" applyAlignment="1">
      <alignment vertical="top"/>
      <protection/>
    </xf>
    <xf numFmtId="0" fontId="13" fillId="0" borderId="36" xfId="99" applyFont="1" applyFill="1" applyBorder="1" applyAlignment="1">
      <alignment vertical="top" wrapText="1"/>
      <protection/>
    </xf>
    <xf numFmtId="0" fontId="8" fillId="0" borderId="71" xfId="103" applyFont="1" applyFill="1" applyBorder="1" applyAlignment="1">
      <alignment horizontal="left" vertical="center"/>
      <protection/>
    </xf>
    <xf numFmtId="3" fontId="13" fillId="0" borderId="0" xfId="0" applyNumberFormat="1" applyFont="1" applyBorder="1" applyAlignment="1">
      <alignment vertical="center" wrapText="1"/>
    </xf>
    <xf numFmtId="0" fontId="8" fillId="25" borderId="27" xfId="103" applyFont="1" applyFill="1" applyBorder="1" applyAlignment="1">
      <alignment/>
      <protection/>
    </xf>
    <xf numFmtId="3" fontId="9" fillId="25" borderId="27" xfId="103" applyNumberFormat="1" applyFont="1" applyFill="1" applyBorder="1" applyAlignment="1">
      <alignment vertical="center"/>
      <protection/>
    </xf>
    <xf numFmtId="0" fontId="8" fillId="0" borderId="27" xfId="103" applyFont="1" applyFill="1" applyBorder="1" applyAlignment="1">
      <alignment horizontal="center"/>
      <protection/>
    </xf>
    <xf numFmtId="0" fontId="9" fillId="0" borderId="36" xfId="103" applyFont="1" applyFill="1" applyBorder="1" applyAlignment="1">
      <alignment vertical="center"/>
      <protection/>
    </xf>
    <xf numFmtId="0" fontId="68" fillId="0" borderId="74" xfId="103" applyFont="1" applyFill="1" applyBorder="1" applyAlignment="1">
      <alignment vertical="center"/>
      <protection/>
    </xf>
    <xf numFmtId="3" fontId="9" fillId="0" borderId="27" xfId="103" applyNumberFormat="1" applyFont="1" applyFill="1" applyBorder="1" applyAlignment="1">
      <alignment vertical="center"/>
      <protection/>
    </xf>
    <xf numFmtId="0" fontId="8" fillId="0" borderId="36" xfId="103" applyFont="1" applyFill="1" applyBorder="1" applyAlignment="1">
      <alignment vertical="center"/>
      <protection/>
    </xf>
    <xf numFmtId="3" fontId="8" fillId="0" borderId="27" xfId="103" applyNumberFormat="1" applyFont="1" applyFill="1" applyBorder="1" applyAlignment="1">
      <alignment vertical="center"/>
      <protection/>
    </xf>
    <xf numFmtId="0" fontId="8" fillId="26" borderId="36" xfId="103" applyFont="1" applyFill="1" applyBorder="1" applyAlignment="1">
      <alignment vertical="top" wrapText="1"/>
      <protection/>
    </xf>
    <xf numFmtId="0" fontId="8" fillId="0" borderId="36" xfId="120" applyFont="1" applyFill="1" applyBorder="1" applyAlignment="1">
      <alignment vertical="center" wrapText="1"/>
      <protection/>
    </xf>
    <xf numFmtId="0" fontId="9" fillId="26" borderId="36" xfId="103" applyFont="1" applyFill="1" applyBorder="1" applyAlignment="1">
      <alignment vertical="center"/>
      <protection/>
    </xf>
    <xf numFmtId="0" fontId="68" fillId="26" borderId="74" xfId="103" applyFont="1" applyFill="1" applyBorder="1" applyAlignment="1">
      <alignment vertical="center"/>
      <protection/>
    </xf>
    <xf numFmtId="3" fontId="9" fillId="26" borderId="27" xfId="103" applyNumberFormat="1" applyFont="1" applyFill="1" applyBorder="1" applyAlignment="1">
      <alignment vertical="center"/>
      <protection/>
    </xf>
    <xf numFmtId="0" fontId="8" fillId="25" borderId="27" xfId="103" applyFont="1" applyFill="1" applyBorder="1" applyAlignment="1">
      <alignment horizontal="center"/>
      <protection/>
    </xf>
    <xf numFmtId="0" fontId="8" fillId="26" borderId="36" xfId="96" applyFont="1" applyFill="1" applyBorder="1" applyAlignment="1">
      <alignment horizontal="left" vertical="center" wrapText="1"/>
      <protection/>
    </xf>
    <xf numFmtId="0" fontId="8" fillId="0" borderId="36" xfId="103" applyFont="1" applyFill="1" applyBorder="1" applyAlignment="1">
      <alignment vertical="center" wrapText="1"/>
      <protection/>
    </xf>
    <xf numFmtId="3" fontId="8" fillId="26" borderId="27" xfId="103" applyNumberFormat="1" applyFont="1" applyFill="1" applyBorder="1" applyAlignment="1">
      <alignment horizontal="right" vertical="center" wrapText="1"/>
      <protection/>
    </xf>
    <xf numFmtId="0" fontId="8" fillId="0" borderId="27" xfId="103" applyFont="1" applyBorder="1" applyAlignment="1">
      <alignment horizontal="center"/>
      <protection/>
    </xf>
    <xf numFmtId="0" fontId="8" fillId="25" borderId="27" xfId="103" applyFont="1" applyFill="1" applyBorder="1">
      <alignment/>
      <protection/>
    </xf>
    <xf numFmtId="0" fontId="9" fillId="25" borderId="36" xfId="103" applyFont="1" applyFill="1" applyBorder="1">
      <alignment/>
      <protection/>
    </xf>
    <xf numFmtId="0" fontId="9" fillId="25" borderId="74" xfId="103" applyFont="1" applyFill="1" applyBorder="1">
      <alignment/>
      <protection/>
    </xf>
    <xf numFmtId="0" fontId="8" fillId="25" borderId="74" xfId="103" applyFont="1" applyFill="1" applyBorder="1">
      <alignment/>
      <protection/>
    </xf>
    <xf numFmtId="3" fontId="9" fillId="25" borderId="27" xfId="103" applyNumberFormat="1" applyFont="1" applyFill="1" applyBorder="1">
      <alignment/>
      <protection/>
    </xf>
    <xf numFmtId="0" fontId="9" fillId="25" borderId="27" xfId="103" applyFont="1" applyFill="1" applyBorder="1">
      <alignment/>
      <protection/>
    </xf>
    <xf numFmtId="0" fontId="9" fillId="25" borderId="27" xfId="103" applyFont="1" applyFill="1" applyBorder="1" applyAlignment="1">
      <alignment horizontal="center"/>
      <protection/>
    </xf>
    <xf numFmtId="0" fontId="9" fillId="25" borderId="36" xfId="96" applyFont="1" applyFill="1" applyBorder="1" applyAlignment="1">
      <alignment vertical="center" wrapText="1"/>
      <protection/>
    </xf>
    <xf numFmtId="3" fontId="8" fillId="0" borderId="27" xfId="103" applyNumberFormat="1" applyFont="1" applyBorder="1" applyAlignment="1">
      <alignment horizontal="center"/>
      <protection/>
    </xf>
    <xf numFmtId="167" fontId="8" fillId="0" borderId="27" xfId="103" applyNumberFormat="1" applyFont="1" applyBorder="1" applyAlignment="1">
      <alignment horizontal="center"/>
      <protection/>
    </xf>
    <xf numFmtId="0" fontId="8" fillId="0" borderId="77" xfId="103" applyFont="1" applyBorder="1">
      <alignment/>
      <protection/>
    </xf>
    <xf numFmtId="0" fontId="12" fillId="25" borderId="80" xfId="130" applyFont="1" applyFill="1" applyBorder="1" applyAlignment="1">
      <alignment horizontal="center" vertical="center"/>
      <protection/>
    </xf>
    <xf numFmtId="0" fontId="12" fillId="25" borderId="81" xfId="130" applyFont="1" applyFill="1" applyBorder="1" applyAlignment="1">
      <alignment horizontal="center" vertical="center"/>
      <protection/>
    </xf>
    <xf numFmtId="0" fontId="12" fillId="25" borderId="82" xfId="130" applyFont="1" applyFill="1" applyBorder="1" applyAlignment="1">
      <alignment horizontal="center" vertical="center"/>
      <protection/>
    </xf>
    <xf numFmtId="0" fontId="12" fillId="25" borderId="83" xfId="130" applyFont="1" applyFill="1" applyBorder="1" applyAlignment="1">
      <alignment horizontal="center" vertical="center"/>
      <protection/>
    </xf>
    <xf numFmtId="0" fontId="12" fillId="25" borderId="65" xfId="130" applyFont="1" applyFill="1" applyBorder="1" applyAlignment="1">
      <alignment horizontal="center" vertical="top" wrapText="1"/>
      <protection/>
    </xf>
    <xf numFmtId="0" fontId="12" fillId="25" borderId="34" xfId="130" applyFont="1" applyFill="1" applyBorder="1" applyAlignment="1">
      <alignment horizontal="center" vertical="top" wrapText="1"/>
      <protection/>
    </xf>
    <xf numFmtId="0" fontId="12" fillId="25" borderId="84" xfId="130" applyFont="1" applyFill="1" applyBorder="1" applyAlignment="1">
      <alignment horizontal="center" vertical="top"/>
      <protection/>
    </xf>
    <xf numFmtId="0" fontId="12" fillId="25" borderId="66" xfId="130" applyFont="1" applyFill="1" applyBorder="1" applyAlignment="1">
      <alignment horizontal="center" vertical="top"/>
      <protection/>
    </xf>
    <xf numFmtId="0" fontId="12" fillId="25" borderId="30" xfId="130" applyFont="1" applyFill="1" applyBorder="1" applyAlignment="1">
      <alignment horizontal="center" vertical="center" wrapText="1"/>
      <protection/>
    </xf>
    <xf numFmtId="0" fontId="12" fillId="25" borderId="78" xfId="130" applyFont="1" applyFill="1" applyBorder="1" applyAlignment="1">
      <alignment horizontal="center" vertical="center" wrapText="1"/>
      <protection/>
    </xf>
    <xf numFmtId="0" fontId="12" fillId="25" borderId="85" xfId="130" applyFont="1" applyFill="1" applyBorder="1" applyAlignment="1">
      <alignment horizontal="center" vertical="center" wrapText="1"/>
      <protection/>
    </xf>
    <xf numFmtId="0" fontId="13" fillId="0" borderId="27" xfId="130" applyFont="1" applyBorder="1" applyAlignment="1">
      <alignment horizontal="center" vertical="center"/>
      <protection/>
    </xf>
    <xf numFmtId="0" fontId="9" fillId="0" borderId="36" xfId="130" applyFont="1" applyBorder="1" applyAlignment="1">
      <alignment vertical="center"/>
      <protection/>
    </xf>
    <xf numFmtId="0" fontId="12" fillId="0" borderId="86" xfId="130" applyFont="1" applyBorder="1" applyAlignment="1">
      <alignment vertical="center"/>
      <protection/>
    </xf>
    <xf numFmtId="0" fontId="12" fillId="0" borderId="27" xfId="130" applyFont="1" applyBorder="1" applyAlignment="1">
      <alignment vertical="center"/>
      <protection/>
    </xf>
    <xf numFmtId="0" fontId="13" fillId="0" borderId="27" xfId="130" applyFont="1" applyFill="1" applyBorder="1" applyAlignment="1">
      <alignment horizontal="center" vertical="center"/>
      <protection/>
    </xf>
    <xf numFmtId="0" fontId="12" fillId="0" borderId="27" xfId="130" applyFont="1" applyFill="1" applyBorder="1" applyAlignment="1">
      <alignment vertical="center"/>
      <protection/>
    </xf>
    <xf numFmtId="3" fontId="12" fillId="0" borderId="27" xfId="130" applyNumberFormat="1" applyFont="1" applyFill="1" applyBorder="1" applyAlignment="1">
      <alignment vertical="center"/>
      <protection/>
    </xf>
    <xf numFmtId="0" fontId="14" fillId="0" borderId="87" xfId="96" applyFont="1" applyBorder="1" applyAlignment="1">
      <alignment vertical="center"/>
      <protection/>
    </xf>
    <xf numFmtId="0" fontId="12" fillId="0" borderId="76" xfId="130" applyFont="1" applyFill="1" applyBorder="1" applyAlignment="1">
      <alignment vertical="center"/>
      <protection/>
    </xf>
    <xf numFmtId="0" fontId="14" fillId="0" borderId="88" xfId="96" applyFont="1" applyBorder="1" applyAlignment="1">
      <alignment vertical="center"/>
      <protection/>
    </xf>
    <xf numFmtId="0" fontId="13" fillId="0" borderId="27" xfId="130" applyNumberFormat="1" applyFont="1" applyFill="1" applyBorder="1" applyAlignment="1">
      <alignment horizontal="center" vertical="center"/>
      <protection/>
    </xf>
    <xf numFmtId="3" fontId="13" fillId="0" borderId="27" xfId="130" applyNumberFormat="1" applyFont="1" applyBorder="1" applyAlignment="1">
      <alignment vertical="center"/>
      <protection/>
    </xf>
    <xf numFmtId="3" fontId="8" fillId="0" borderId="84" xfId="109" applyNumberFormat="1" applyFont="1" applyBorder="1" applyAlignment="1">
      <alignment vertical="top" wrapText="1"/>
      <protection/>
    </xf>
    <xf numFmtId="0" fontId="13" fillId="0" borderId="27" xfId="130" applyFont="1" applyFill="1" applyBorder="1" applyAlignment="1">
      <alignment vertical="center"/>
      <protection/>
    </xf>
    <xf numFmtId="3" fontId="13" fillId="0" borderId="36" xfId="109" applyNumberFormat="1" applyFont="1" applyBorder="1" applyAlignment="1">
      <alignment vertical="top" wrapText="1"/>
      <protection/>
    </xf>
    <xf numFmtId="3" fontId="13" fillId="0" borderId="78" xfId="109" applyNumberFormat="1" applyFont="1" applyBorder="1" applyAlignment="1">
      <alignment vertical="top" wrapText="1"/>
      <protection/>
    </xf>
    <xf numFmtId="0" fontId="12" fillId="0" borderId="89" xfId="130" applyFont="1" applyFill="1" applyBorder="1" applyAlignment="1">
      <alignment vertical="center"/>
      <protection/>
    </xf>
    <xf numFmtId="0" fontId="12" fillId="0" borderId="90" xfId="130" applyFont="1" applyFill="1" applyBorder="1" applyAlignment="1">
      <alignment vertical="center"/>
      <protection/>
    </xf>
    <xf numFmtId="3" fontId="8" fillId="0" borderId="88" xfId="109" applyNumberFormat="1" applyFont="1" applyBorder="1" applyAlignment="1">
      <alignment vertical="top" wrapText="1"/>
      <protection/>
    </xf>
    <xf numFmtId="0" fontId="13" fillId="0" borderId="91" xfId="130" applyFont="1" applyFill="1" applyBorder="1" applyAlignment="1">
      <alignment vertical="center"/>
      <protection/>
    </xf>
    <xf numFmtId="49" fontId="22" fillId="0" borderId="88" xfId="109" applyNumberFormat="1" applyFont="1" applyBorder="1" applyAlignment="1">
      <alignment horizontal="left" vertical="top" wrapText="1"/>
      <protection/>
    </xf>
    <xf numFmtId="49" fontId="22" fillId="0" borderId="72" xfId="109" applyNumberFormat="1" applyFont="1" applyBorder="1" applyAlignment="1">
      <alignment horizontal="left" vertical="top" wrapText="1"/>
      <protection/>
    </xf>
    <xf numFmtId="0" fontId="8" fillId="0" borderId="89" xfId="103" applyFont="1" applyFill="1" applyBorder="1" applyAlignment="1">
      <alignment horizontal="left" vertical="center"/>
      <protection/>
    </xf>
    <xf numFmtId="0" fontId="8" fillId="0" borderId="90" xfId="103" applyFont="1" applyFill="1" applyBorder="1" applyAlignment="1">
      <alignment horizontal="left" vertical="center"/>
      <protection/>
    </xf>
    <xf numFmtId="0" fontId="13" fillId="0" borderId="0" xfId="93" applyFont="1" applyFill="1" applyBorder="1" applyAlignment="1">
      <alignment horizontal="left" vertical="center" wrapText="1"/>
      <protection/>
    </xf>
    <xf numFmtId="0" fontId="12" fillId="0" borderId="71" xfId="130" applyFont="1" applyFill="1" applyBorder="1" applyAlignment="1">
      <alignment vertical="center"/>
      <protection/>
    </xf>
    <xf numFmtId="49" fontId="70" fillId="0" borderId="72" xfId="109" applyNumberFormat="1" applyFont="1" applyBorder="1" applyAlignment="1">
      <alignment horizontal="left" vertical="top" wrapText="1"/>
      <protection/>
    </xf>
    <xf numFmtId="0" fontId="14" fillId="0" borderId="27" xfId="130" applyNumberFormat="1" applyFont="1" applyFill="1" applyBorder="1" applyAlignment="1">
      <alignment horizontal="center" vertical="center"/>
      <protection/>
    </xf>
    <xf numFmtId="3" fontId="13" fillId="0" borderId="27" xfId="120" applyNumberFormat="1" applyFont="1" applyBorder="1" applyAlignment="1">
      <alignment vertical="center"/>
      <protection/>
    </xf>
    <xf numFmtId="3" fontId="13" fillId="0" borderId="84" xfId="120" applyNumberFormat="1" applyFont="1" applyBorder="1" applyAlignment="1">
      <alignment vertical="center"/>
      <protection/>
    </xf>
    <xf numFmtId="3" fontId="13" fillId="0" borderId="74" xfId="120" applyNumberFormat="1" applyFont="1" applyBorder="1" applyAlignment="1">
      <alignment vertical="center"/>
      <protection/>
    </xf>
    <xf numFmtId="0" fontId="13" fillId="0" borderId="78" xfId="96" applyFont="1" applyFill="1" applyBorder="1" applyAlignment="1">
      <alignment vertical="center"/>
      <protection/>
    </xf>
    <xf numFmtId="0" fontId="13" fillId="0" borderId="78" xfId="130" applyFont="1" applyFill="1" applyBorder="1" applyAlignment="1">
      <alignment vertical="center"/>
      <protection/>
    </xf>
    <xf numFmtId="3" fontId="8" fillId="0" borderId="36" xfId="109" applyNumberFormat="1" applyFont="1" applyBorder="1" applyAlignment="1">
      <alignment vertical="top" wrapText="1"/>
      <protection/>
    </xf>
    <xf numFmtId="3" fontId="8" fillId="0" borderId="72" xfId="109" applyNumberFormat="1" applyFont="1" applyBorder="1" applyAlignment="1">
      <alignment vertical="top" wrapText="1"/>
      <protection/>
    </xf>
    <xf numFmtId="49" fontId="22" fillId="0" borderId="78" xfId="109" applyNumberFormat="1" applyFont="1" applyFill="1" applyBorder="1" applyAlignment="1">
      <alignment horizontal="left" vertical="center" wrapText="1"/>
      <protection/>
    </xf>
    <xf numFmtId="0" fontId="25" fillId="0" borderId="74" xfId="120" applyFont="1" applyFill="1" applyBorder="1" applyAlignment="1">
      <alignment horizontal="left" vertical="center" wrapText="1"/>
      <protection/>
    </xf>
    <xf numFmtId="0" fontId="25" fillId="0" borderId="27" xfId="120" applyFont="1" applyFill="1" applyBorder="1" applyAlignment="1">
      <alignment horizontal="left" vertical="center" wrapText="1"/>
      <protection/>
    </xf>
    <xf numFmtId="3" fontId="25" fillId="0" borderId="74" xfId="120" applyNumberFormat="1" applyFont="1" applyFill="1" applyBorder="1" applyAlignment="1">
      <alignment horizontal="left" vertical="center" wrapText="1"/>
      <protection/>
    </xf>
    <xf numFmtId="3" fontId="25" fillId="0" borderId="27" xfId="120" applyNumberFormat="1" applyFont="1" applyFill="1" applyBorder="1" applyAlignment="1">
      <alignment horizontal="left" vertical="center" wrapText="1"/>
      <protection/>
    </xf>
    <xf numFmtId="0" fontId="13" fillId="0" borderId="36" xfId="108" applyFont="1" applyFill="1" applyBorder="1" applyAlignment="1">
      <alignment vertical="center" wrapText="1"/>
      <protection/>
    </xf>
    <xf numFmtId="3" fontId="13" fillId="0" borderId="27" xfId="120" applyNumberFormat="1" applyFont="1" applyFill="1" applyBorder="1" applyAlignment="1">
      <alignment horizontal="left" vertical="center" wrapText="1"/>
      <protection/>
    </xf>
    <xf numFmtId="0" fontId="13" fillId="25" borderId="27" xfId="130" applyFont="1" applyFill="1" applyBorder="1" applyAlignment="1">
      <alignment horizontal="center" vertical="center"/>
      <protection/>
    </xf>
    <xf numFmtId="0" fontId="12" fillId="25" borderId="36" xfId="130" applyFont="1" applyFill="1" applyBorder="1" applyAlignment="1">
      <alignment vertical="center"/>
      <protection/>
    </xf>
    <xf numFmtId="0" fontId="12" fillId="25" borderId="74" xfId="130" applyFont="1" applyFill="1" applyBorder="1" applyAlignment="1">
      <alignment vertical="center"/>
      <protection/>
    </xf>
    <xf numFmtId="0" fontId="13" fillId="25" borderId="27" xfId="130" applyFont="1" applyFill="1" applyBorder="1" applyAlignment="1">
      <alignment vertical="center"/>
      <protection/>
    </xf>
    <xf numFmtId="3" fontId="12" fillId="25" borderId="27" xfId="130" applyNumberFormat="1" applyFont="1" applyFill="1" applyBorder="1" applyAlignment="1">
      <alignment vertical="center"/>
      <protection/>
    </xf>
    <xf numFmtId="0" fontId="12" fillId="0" borderId="27" xfId="130" applyFont="1" applyFill="1" applyBorder="1" applyAlignment="1">
      <alignment horizontal="center" vertical="center"/>
      <protection/>
    </xf>
    <xf numFmtId="0" fontId="12" fillId="0" borderId="27" xfId="130" applyFont="1" applyBorder="1" applyAlignment="1">
      <alignment horizontal="center" vertical="center"/>
      <protection/>
    </xf>
    <xf numFmtId="3" fontId="8" fillId="26" borderId="36" xfId="120" applyNumberFormat="1" applyFont="1" applyFill="1" applyBorder="1" applyAlignment="1">
      <alignment horizontal="left" vertical="top" wrapText="1"/>
      <protection/>
    </xf>
    <xf numFmtId="0" fontId="13" fillId="0" borderId="36" xfId="130" applyFont="1" applyFill="1" applyBorder="1" applyAlignment="1">
      <alignment vertical="center"/>
      <protection/>
    </xf>
    <xf numFmtId="167" fontId="13" fillId="0" borderId="27" xfId="130" applyNumberFormat="1" applyFont="1" applyBorder="1" applyAlignment="1">
      <alignment horizontal="center" vertical="center"/>
      <protection/>
    </xf>
    <xf numFmtId="49" fontId="13" fillId="0" borderId="36" xfId="120" applyNumberFormat="1" applyFont="1" applyFill="1" applyBorder="1" applyAlignment="1">
      <alignment horizontal="left" vertical="center" wrapText="1"/>
      <protection/>
    </xf>
    <xf numFmtId="0" fontId="66" fillId="0" borderId="27" xfId="103" applyFont="1" applyFill="1" applyBorder="1" applyAlignment="1">
      <alignment horizontal="left" vertical="center"/>
      <protection/>
    </xf>
    <xf numFmtId="49" fontId="13" fillId="0" borderId="36" xfId="111" applyNumberFormat="1" applyFont="1" applyBorder="1" applyAlignment="1">
      <alignment horizontal="left" vertical="center" wrapText="1"/>
      <protection/>
    </xf>
    <xf numFmtId="0" fontId="13" fillId="26" borderId="27" xfId="130" applyFont="1" applyFill="1" applyBorder="1" applyAlignment="1">
      <alignment horizontal="center" vertical="center"/>
      <protection/>
    </xf>
    <xf numFmtId="0" fontId="9" fillId="0" borderId="36" xfId="130" applyFont="1" applyFill="1" applyBorder="1" applyAlignment="1">
      <alignment vertical="center"/>
      <protection/>
    </xf>
    <xf numFmtId="3" fontId="13" fillId="0" borderId="36" xfId="120" applyNumberFormat="1" applyFont="1" applyBorder="1" applyAlignment="1">
      <alignment horizontal="left" vertical="center" wrapText="1"/>
      <protection/>
    </xf>
    <xf numFmtId="49" fontId="22" fillId="0" borderId="36" xfId="120" applyNumberFormat="1" applyFont="1" applyFill="1" applyBorder="1" applyAlignment="1">
      <alignment vertical="center" wrapText="1"/>
      <protection/>
    </xf>
    <xf numFmtId="49" fontId="13" fillId="0" borderId="72" xfId="120" applyNumberFormat="1" applyFont="1" applyBorder="1" applyAlignment="1">
      <alignment horizontal="left" vertical="center" wrapText="1"/>
      <protection/>
    </xf>
    <xf numFmtId="49" fontId="13" fillId="0" borderId="78" xfId="120" applyNumberFormat="1" applyFont="1" applyBorder="1" applyAlignment="1">
      <alignment horizontal="left" vertical="center" wrapText="1"/>
      <protection/>
    </xf>
    <xf numFmtId="49" fontId="13" fillId="0" borderId="78" xfId="120" applyNumberFormat="1" applyFont="1" applyFill="1" applyBorder="1" applyAlignment="1">
      <alignment horizontal="left" vertical="center" wrapText="1"/>
      <protection/>
    </xf>
    <xf numFmtId="0" fontId="13" fillId="0" borderId="36" xfId="130" applyFont="1" applyFill="1" applyBorder="1" applyAlignment="1">
      <alignment vertical="center"/>
      <protection/>
    </xf>
    <xf numFmtId="3" fontId="22" fillId="0" borderId="36" xfId="120" applyNumberFormat="1" applyFont="1" applyFill="1" applyBorder="1" applyAlignment="1">
      <alignment vertical="center" wrapText="1"/>
      <protection/>
    </xf>
    <xf numFmtId="3" fontId="13" fillId="0" borderId="36" xfId="111" applyNumberFormat="1" applyFont="1" applyFill="1" applyBorder="1" applyAlignment="1">
      <alignment horizontal="left" vertical="center" wrapText="1"/>
      <protection/>
    </xf>
    <xf numFmtId="49" fontId="13" fillId="0" borderId="36" xfId="111" applyNumberFormat="1" applyFont="1" applyFill="1" applyBorder="1" applyAlignment="1">
      <alignment vertical="center" wrapText="1"/>
      <protection/>
    </xf>
    <xf numFmtId="49" fontId="13" fillId="0" borderId="36" xfId="111" applyNumberFormat="1" applyFont="1" applyBorder="1" applyAlignment="1">
      <alignment horizontal="left" vertical="center" wrapText="1"/>
      <protection/>
    </xf>
    <xf numFmtId="0" fontId="13" fillId="0" borderId="36" xfId="120" applyFont="1" applyBorder="1" applyAlignment="1">
      <alignment horizontal="left" wrapText="1"/>
      <protection/>
    </xf>
    <xf numFmtId="0" fontId="9" fillId="0" borderId="74" xfId="103" applyFont="1" applyFill="1" applyBorder="1" applyAlignment="1">
      <alignment horizontal="left" vertical="center"/>
      <protection/>
    </xf>
    <xf numFmtId="0" fontId="8" fillId="26" borderId="78" xfId="120" applyFont="1" applyFill="1" applyBorder="1" applyAlignment="1">
      <alignment horizontal="left" vertical="top" wrapText="1"/>
      <protection/>
    </xf>
    <xf numFmtId="0" fontId="13" fillId="0" borderId="36" xfId="120" applyFont="1" applyFill="1" applyBorder="1">
      <alignment/>
      <protection/>
    </xf>
    <xf numFmtId="0" fontId="9" fillId="0" borderId="36" xfId="130" applyFont="1" applyFill="1" applyBorder="1" applyAlignment="1">
      <alignment vertical="center" wrapText="1"/>
      <protection/>
    </xf>
    <xf numFmtId="49" fontId="8" fillId="26" borderId="84" xfId="120" applyNumberFormat="1" applyFont="1" applyFill="1" applyBorder="1" applyAlignment="1">
      <alignment horizontal="left" vertical="top" wrapText="1"/>
      <protection/>
    </xf>
    <xf numFmtId="0" fontId="8" fillId="0" borderId="36" xfId="120" applyFont="1" applyBorder="1" applyAlignment="1">
      <alignment vertical="top" wrapText="1"/>
      <protection/>
    </xf>
    <xf numFmtId="0" fontId="8" fillId="0" borderId="27" xfId="120" applyFont="1" applyFill="1" applyBorder="1" applyAlignment="1">
      <alignment vertical="top" wrapText="1"/>
      <protection/>
    </xf>
    <xf numFmtId="49" fontId="22" fillId="0" borderId="36" xfId="109" applyNumberFormat="1" applyFont="1" applyFill="1" applyBorder="1" applyAlignment="1">
      <alignment horizontal="left" vertical="center" wrapText="1"/>
      <protection/>
    </xf>
    <xf numFmtId="0" fontId="12" fillId="25" borderId="27" xfId="130" applyFont="1" applyFill="1" applyBorder="1" applyAlignment="1">
      <alignment horizontal="center" vertical="center"/>
      <protection/>
    </xf>
    <xf numFmtId="0" fontId="12" fillId="26" borderId="36" xfId="130" applyFont="1" applyFill="1" applyBorder="1" applyAlignment="1">
      <alignment vertical="center"/>
      <protection/>
    </xf>
    <xf numFmtId="0" fontId="12" fillId="26" borderId="74" xfId="130" applyFont="1" applyFill="1" applyBorder="1" applyAlignment="1">
      <alignment vertical="center"/>
      <protection/>
    </xf>
    <xf numFmtId="0" fontId="13" fillId="26" borderId="27" xfId="130" applyFont="1" applyFill="1" applyBorder="1" applyAlignment="1">
      <alignment vertical="center"/>
      <protection/>
    </xf>
    <xf numFmtId="3" fontId="13" fillId="26" borderId="27" xfId="130" applyNumberFormat="1" applyFont="1" applyFill="1" applyBorder="1" applyAlignment="1">
      <alignment vertical="center"/>
      <protection/>
    </xf>
    <xf numFmtId="0" fontId="8" fillId="0" borderId="12" xfId="92" applyFont="1" applyFill="1" applyBorder="1" applyAlignment="1">
      <alignment vertical="center" wrapText="1"/>
      <protection/>
    </xf>
    <xf numFmtId="3" fontId="13" fillId="0" borderId="36" xfId="109" applyNumberFormat="1" applyFont="1" applyFill="1" applyBorder="1" applyAlignment="1">
      <alignment vertical="center" wrapText="1"/>
      <protection/>
    </xf>
    <xf numFmtId="0" fontId="8" fillId="26" borderId="27" xfId="103" applyFont="1" applyFill="1" applyBorder="1" applyAlignment="1">
      <alignment vertical="top"/>
      <protection/>
    </xf>
    <xf numFmtId="0" fontId="8" fillId="0" borderId="36" xfId="130" applyFont="1" applyFill="1" applyBorder="1" applyAlignment="1">
      <alignment vertical="center" wrapText="1"/>
      <protection/>
    </xf>
    <xf numFmtId="0" fontId="12" fillId="25" borderId="27" xfId="130" applyFont="1" applyFill="1" applyBorder="1" applyAlignment="1">
      <alignment horizontal="center" vertical="center" wrapText="1"/>
      <protection/>
    </xf>
    <xf numFmtId="0" fontId="9" fillId="25" borderId="36" xfId="130" applyFont="1" applyFill="1" applyBorder="1" applyAlignment="1">
      <alignment vertical="center" wrapText="1"/>
      <protection/>
    </xf>
    <xf numFmtId="0" fontId="9" fillId="25" borderId="74" xfId="130" applyFont="1" applyFill="1" applyBorder="1" applyAlignment="1">
      <alignment vertical="center" wrapText="1"/>
      <protection/>
    </xf>
    <xf numFmtId="0" fontId="8" fillId="25" borderId="27" xfId="130" applyFont="1" applyFill="1" applyBorder="1" applyAlignment="1">
      <alignment vertical="center" wrapText="1"/>
      <protection/>
    </xf>
    <xf numFmtId="3" fontId="12" fillId="25" borderId="27" xfId="130" applyNumberFormat="1" applyFont="1" applyFill="1" applyBorder="1" applyAlignment="1">
      <alignment vertical="center" wrapText="1"/>
      <protection/>
    </xf>
    <xf numFmtId="0" fontId="12" fillId="0" borderId="27" xfId="130" applyFont="1" applyFill="1" applyBorder="1" applyAlignment="1">
      <alignment horizontal="center" vertical="center" wrapText="1"/>
      <protection/>
    </xf>
    <xf numFmtId="0" fontId="9" fillId="0" borderId="74" xfId="130" applyFont="1" applyFill="1" applyBorder="1" applyAlignment="1">
      <alignment vertical="center" wrapText="1"/>
      <protection/>
    </xf>
    <xf numFmtId="0" fontId="8" fillId="0" borderId="27" xfId="130" applyFont="1" applyFill="1" applyBorder="1" applyAlignment="1">
      <alignment vertical="center" wrapText="1"/>
      <protection/>
    </xf>
    <xf numFmtId="3" fontId="12" fillId="0" borderId="27" xfId="130" applyNumberFormat="1" applyFont="1" applyFill="1" applyBorder="1" applyAlignment="1">
      <alignment vertical="center" wrapText="1"/>
      <protection/>
    </xf>
    <xf numFmtId="0" fontId="13" fillId="0" borderId="27" xfId="130" applyFont="1" applyFill="1" applyBorder="1" applyAlignment="1">
      <alignment horizontal="center" vertical="center" wrapText="1"/>
      <protection/>
    </xf>
    <xf numFmtId="0" fontId="13" fillId="0" borderId="36" xfId="130" applyFont="1" applyFill="1" applyBorder="1" applyAlignment="1">
      <alignment vertical="center" wrapText="1"/>
      <protection/>
    </xf>
    <xf numFmtId="0" fontId="8" fillId="0" borderId="74" xfId="130" applyFont="1" applyFill="1" applyBorder="1" applyAlignment="1">
      <alignment vertical="center" wrapText="1"/>
      <protection/>
    </xf>
    <xf numFmtId="0" fontId="9" fillId="0" borderId="36" xfId="130" applyFont="1" applyFill="1" applyBorder="1" applyAlignment="1">
      <alignment horizontal="left" vertical="center"/>
      <protection/>
    </xf>
    <xf numFmtId="0" fontId="13" fillId="0" borderId="36" xfId="130" applyFont="1" applyFill="1" applyBorder="1" applyAlignment="1">
      <alignment horizontal="left" vertical="center"/>
      <protection/>
    </xf>
    <xf numFmtId="0" fontId="9" fillId="0" borderId="74" xfId="130" applyFont="1" applyBorder="1" applyAlignment="1">
      <alignment vertical="center"/>
      <protection/>
    </xf>
    <xf numFmtId="0" fontId="8" fillId="0" borderId="27" xfId="130" applyFont="1" applyBorder="1" applyAlignment="1">
      <alignment vertical="center"/>
      <protection/>
    </xf>
    <xf numFmtId="0" fontId="13" fillId="0" borderId="36" xfId="130" applyFont="1" applyBorder="1" applyAlignment="1">
      <alignment vertical="center"/>
      <protection/>
    </xf>
    <xf numFmtId="0" fontId="8" fillId="0" borderId="74" xfId="130" applyFont="1" applyBorder="1" applyAlignment="1">
      <alignment vertical="center"/>
      <protection/>
    </xf>
    <xf numFmtId="0" fontId="8" fillId="25" borderId="27" xfId="130" applyFont="1" applyFill="1" applyBorder="1" applyAlignment="1">
      <alignment horizontal="center" vertical="center"/>
      <protection/>
    </xf>
    <xf numFmtId="0" fontId="9" fillId="25" borderId="36" xfId="130" applyFont="1" applyFill="1" applyBorder="1" applyAlignment="1">
      <alignment vertical="center"/>
      <protection/>
    </xf>
    <xf numFmtId="0" fontId="9" fillId="25" borderId="74" xfId="130" applyFont="1" applyFill="1" applyBorder="1" applyAlignment="1">
      <alignment vertical="center"/>
      <protection/>
    </xf>
    <xf numFmtId="0" fontId="8" fillId="25" borderId="27" xfId="130" applyFont="1" applyFill="1" applyBorder="1" applyAlignment="1">
      <alignment vertical="center"/>
      <protection/>
    </xf>
    <xf numFmtId="3" fontId="9" fillId="25" borderId="27" xfId="130" applyNumberFormat="1" applyFont="1" applyFill="1" applyBorder="1" applyAlignment="1">
      <alignment vertical="center"/>
      <protection/>
    </xf>
    <xf numFmtId="3" fontId="12" fillId="4" borderId="27" xfId="130" applyNumberFormat="1" applyFont="1" applyFill="1" applyBorder="1" applyAlignment="1">
      <alignment vertical="center"/>
      <protection/>
    </xf>
    <xf numFmtId="0" fontId="8" fillId="26" borderId="27" xfId="130" applyNumberFormat="1" applyFont="1" applyFill="1" applyBorder="1" applyAlignment="1">
      <alignment horizontal="center" vertical="center"/>
      <protection/>
    </xf>
    <xf numFmtId="0" fontId="8" fillId="26" borderId="27" xfId="130" applyFont="1" applyFill="1" applyBorder="1" applyAlignment="1">
      <alignment horizontal="center" vertical="center"/>
      <protection/>
    </xf>
    <xf numFmtId="0" fontId="8" fillId="26" borderId="74" xfId="130" applyFont="1" applyFill="1" applyBorder="1" applyAlignment="1">
      <alignment vertical="center"/>
      <protection/>
    </xf>
    <xf numFmtId="0" fontId="8" fillId="26" borderId="27" xfId="130" applyFont="1" applyFill="1" applyBorder="1" applyAlignment="1">
      <alignment vertical="center"/>
      <protection/>
    </xf>
    <xf numFmtId="3" fontId="8" fillId="26" borderId="27" xfId="130" applyNumberFormat="1" applyFont="1" applyFill="1" applyBorder="1" applyAlignment="1">
      <alignment vertical="center"/>
      <protection/>
    </xf>
    <xf numFmtId="0" fontId="12" fillId="25" borderId="27" xfId="130" applyFont="1" applyFill="1" applyBorder="1" applyAlignment="1">
      <alignment vertical="center"/>
      <protection/>
    </xf>
    <xf numFmtId="0" fontId="20" fillId="4" borderId="10" xfId="116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3" fontId="8" fillId="0" borderId="10" xfId="116" applyNumberFormat="1" applyFont="1" applyBorder="1" applyAlignment="1">
      <alignment horizontal="right" vertical="center" wrapText="1"/>
      <protection/>
    </xf>
    <xf numFmtId="3" fontId="8" fillId="0" borderId="10" xfId="116" applyNumberFormat="1" applyFont="1" applyBorder="1" applyAlignment="1">
      <alignment horizontal="right" vertical="center"/>
      <protection/>
    </xf>
    <xf numFmtId="3" fontId="8" fillId="0" borderId="10" xfId="116" applyNumberFormat="1" applyFont="1" applyFill="1" applyBorder="1" applyAlignment="1">
      <alignment horizontal="right" vertical="center" wrapText="1"/>
      <protection/>
    </xf>
    <xf numFmtId="3" fontId="8" fillId="0" borderId="10" xfId="122" applyNumberFormat="1" applyFont="1" applyFill="1" applyBorder="1" applyAlignment="1">
      <alignment horizontal="right" vertical="center"/>
      <protection/>
    </xf>
    <xf numFmtId="0" fontId="8" fillId="4" borderId="10" xfId="116" applyFont="1" applyFill="1" applyBorder="1" applyAlignment="1">
      <alignment horizontal="center" vertical="center"/>
      <protection/>
    </xf>
    <xf numFmtId="0" fontId="9" fillId="4" borderId="10" xfId="116" applyFont="1" applyFill="1" applyBorder="1" applyAlignment="1">
      <alignment vertical="center"/>
      <protection/>
    </xf>
    <xf numFmtId="3" fontId="9" fillId="4" borderId="10" xfId="116" applyNumberFormat="1" applyFont="1" applyFill="1" applyBorder="1" applyAlignment="1">
      <alignment horizontal="right" vertical="center"/>
      <protection/>
    </xf>
    <xf numFmtId="0" fontId="9" fillId="0" borderId="10" xfId="122" applyFont="1" applyBorder="1" applyAlignment="1">
      <alignment horizontal="center" vertical="center"/>
      <protection/>
    </xf>
    <xf numFmtId="0" fontId="8" fillId="0" borderId="10" xfId="127" applyFont="1" applyFill="1" applyBorder="1" applyAlignment="1">
      <alignment vertical="center" wrapText="1"/>
      <protection/>
    </xf>
    <xf numFmtId="0" fontId="14" fillId="0" borderId="10" xfId="93" applyFont="1" applyBorder="1" applyAlignment="1">
      <alignment vertical="center"/>
      <protection/>
    </xf>
    <xf numFmtId="3" fontId="13" fillId="0" borderId="10" xfId="0" applyNumberFormat="1" applyFont="1" applyFill="1" applyBorder="1" applyAlignment="1">
      <alignment horizontal="left" vertical="center"/>
    </xf>
    <xf numFmtId="49" fontId="13" fillId="0" borderId="10" xfId="120" applyNumberFormat="1" applyFont="1" applyFill="1" applyBorder="1" applyAlignment="1">
      <alignment horizontal="left" vertical="center" wrapText="1"/>
      <protection/>
    </xf>
    <xf numFmtId="0" fontId="8" fillId="0" borderId="10" xfId="101" applyFont="1" applyFill="1" applyBorder="1" applyAlignment="1">
      <alignment vertical="top" wrapText="1"/>
      <protection/>
    </xf>
    <xf numFmtId="0" fontId="8" fillId="0" borderId="10" xfId="98" applyFont="1" applyFill="1" applyBorder="1" applyAlignment="1">
      <alignment vertical="top" wrapText="1"/>
      <protection/>
    </xf>
    <xf numFmtId="0" fontId="8" fillId="0" borderId="10" xfId="100" applyFont="1" applyFill="1" applyBorder="1" applyAlignment="1">
      <alignment vertical="top" wrapText="1"/>
      <protection/>
    </xf>
    <xf numFmtId="0" fontId="8" fillId="0" borderId="35" xfId="118" applyFont="1" applyFill="1" applyBorder="1" applyAlignment="1">
      <alignment wrapText="1"/>
      <protection/>
    </xf>
    <xf numFmtId="0" fontId="8" fillId="0" borderId="92" xfId="0" applyFont="1" applyFill="1" applyBorder="1" applyAlignment="1">
      <alignment wrapText="1"/>
    </xf>
    <xf numFmtId="3" fontId="8" fillId="0" borderId="12" xfId="0" applyNumberFormat="1" applyFont="1" applyFill="1" applyBorder="1" applyAlignment="1">
      <alignment horizontal="left" vertical="center" wrapText="1"/>
    </xf>
    <xf numFmtId="3" fontId="13" fillId="0" borderId="16" xfId="0" applyNumberFormat="1" applyFont="1" applyFill="1" applyBorder="1" applyAlignment="1">
      <alignment horizontal="center" vertical="center" wrapText="1"/>
    </xf>
    <xf numFmtId="3" fontId="13" fillId="0" borderId="16" xfId="0" applyNumberFormat="1" applyFont="1" applyBorder="1" applyAlignment="1">
      <alignment horizontal="left" vertical="center"/>
    </xf>
    <xf numFmtId="3" fontId="13" fillId="0" borderId="12" xfId="132" applyNumberFormat="1" applyFont="1" applyFill="1" applyBorder="1" applyAlignment="1">
      <alignment horizontal="right" vertical="center"/>
      <protection/>
    </xf>
    <xf numFmtId="3" fontId="13" fillId="0" borderId="15" xfId="0" applyNumberFormat="1" applyFont="1" applyFill="1" applyBorder="1" applyAlignment="1">
      <alignment vertical="center" wrapText="1"/>
    </xf>
    <xf numFmtId="3" fontId="8" fillId="0" borderId="12" xfId="98" applyNumberFormat="1" applyFont="1" applyFill="1" applyBorder="1" applyAlignment="1">
      <alignment vertical="center" wrapText="1"/>
      <protection/>
    </xf>
    <xf numFmtId="0" fontId="0" fillId="0" borderId="13" xfId="0" applyFont="1" applyFill="1" applyBorder="1" applyAlignment="1">
      <alignment vertical="center"/>
    </xf>
    <xf numFmtId="3" fontId="13" fillId="0" borderId="12" xfId="132" applyNumberFormat="1" applyFont="1" applyFill="1" applyBorder="1" applyAlignment="1">
      <alignment horizontal="left" vertical="center" wrapText="1"/>
      <protection/>
    </xf>
    <xf numFmtId="3" fontId="13" fillId="0" borderId="13" xfId="132" applyNumberFormat="1" applyFont="1" applyFill="1" applyBorder="1" applyAlignment="1">
      <alignment horizontal="left" vertical="center" wrapText="1"/>
      <protection/>
    </xf>
    <xf numFmtId="0" fontId="13" fillId="0" borderId="13" xfId="122" applyFont="1" applyFill="1" applyBorder="1" applyAlignment="1">
      <alignment vertical="center"/>
      <protection/>
    </xf>
    <xf numFmtId="3" fontId="8" fillId="0" borderId="12" xfId="0" applyNumberFormat="1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vertical="center" wrapText="1"/>
    </xf>
    <xf numFmtId="3" fontId="13" fillId="0" borderId="12" xfId="0" applyNumberFormat="1" applyFont="1" applyFill="1" applyBorder="1" applyAlignment="1">
      <alignment horizontal="left" vertical="center"/>
    </xf>
    <xf numFmtId="3" fontId="13" fillId="0" borderId="13" xfId="0" applyNumberFormat="1" applyFont="1" applyFill="1" applyBorder="1" applyAlignment="1">
      <alignment horizontal="left" vertical="center"/>
    </xf>
    <xf numFmtId="3" fontId="13" fillId="0" borderId="12" xfId="132" applyNumberFormat="1" applyFont="1" applyFill="1" applyBorder="1" applyAlignment="1">
      <alignment horizontal="left" vertical="center"/>
      <protection/>
    </xf>
    <xf numFmtId="3" fontId="13" fillId="0" borderId="13" xfId="132" applyNumberFormat="1" applyFont="1" applyFill="1" applyBorder="1" applyAlignment="1">
      <alignment horizontal="left" vertical="center"/>
      <protection/>
    </xf>
    <xf numFmtId="3" fontId="13" fillId="0" borderId="12" xfId="132" applyNumberFormat="1" applyFont="1" applyFill="1" applyBorder="1" applyAlignment="1">
      <alignment vertical="center"/>
      <protection/>
    </xf>
    <xf numFmtId="3" fontId="13" fillId="0" borderId="13" xfId="132" applyNumberFormat="1" applyFont="1" applyFill="1" applyBorder="1" applyAlignment="1">
      <alignment vertical="center"/>
      <protection/>
    </xf>
    <xf numFmtId="3" fontId="6" fillId="0" borderId="0" xfId="0" applyNumberFormat="1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0" fillId="0" borderId="73" xfId="120" applyFont="1" applyFill="1" applyBorder="1" applyAlignment="1">
      <alignment vertical="center"/>
      <protection/>
    </xf>
    <xf numFmtId="0" fontId="8" fillId="0" borderId="78" xfId="130" applyFont="1" applyFill="1" applyBorder="1" applyAlignment="1">
      <alignment vertical="top" wrapText="1"/>
      <protection/>
    </xf>
    <xf numFmtId="3" fontId="13" fillId="0" borderId="36" xfId="0" applyNumberFormat="1" applyFont="1" applyFill="1" applyBorder="1" applyAlignment="1">
      <alignment vertical="center"/>
    </xf>
    <xf numFmtId="0" fontId="13" fillId="0" borderId="27" xfId="93" applyFont="1" applyFill="1" applyBorder="1" applyAlignment="1">
      <alignment horizontal="left" vertical="center" wrapText="1"/>
      <protection/>
    </xf>
    <xf numFmtId="49" fontId="22" fillId="0" borderId="72" xfId="109" applyNumberFormat="1" applyFont="1" applyFill="1" applyBorder="1" applyAlignment="1">
      <alignment horizontal="left" vertical="top" wrapText="1"/>
      <protection/>
    </xf>
    <xf numFmtId="3" fontId="13" fillId="0" borderId="0" xfId="0" applyNumberFormat="1" applyFont="1" applyFill="1" applyBorder="1" applyAlignment="1">
      <alignment horizontal="left" vertical="center"/>
    </xf>
    <xf numFmtId="165" fontId="66" fillId="0" borderId="10" xfId="122" applyNumberFormat="1" applyFont="1" applyBorder="1">
      <alignment/>
      <protection/>
    </xf>
    <xf numFmtId="0" fontId="80" fillId="0" borderId="0" xfId="119" applyFont="1">
      <alignment/>
      <protection/>
    </xf>
    <xf numFmtId="49" fontId="81" fillId="0" borderId="0" xfId="116" applyNumberFormat="1" applyFont="1" applyBorder="1" applyAlignment="1">
      <alignment vertical="center"/>
      <protection/>
    </xf>
    <xf numFmtId="49" fontId="19" fillId="0" borderId="0" xfId="119" applyNumberFormat="1" applyFont="1">
      <alignment/>
      <protection/>
    </xf>
    <xf numFmtId="49" fontId="8" fillId="0" borderId="0" xfId="116" applyNumberFormat="1" applyFont="1" applyBorder="1" applyAlignment="1">
      <alignment vertical="center"/>
      <protection/>
    </xf>
    <xf numFmtId="49" fontId="82" fillId="0" borderId="0" xfId="116" applyNumberFormat="1" applyFont="1" applyBorder="1" applyAlignment="1">
      <alignment horizontal="center" vertical="center"/>
      <protection/>
    </xf>
    <xf numFmtId="0" fontId="75" fillId="0" borderId="0" xfId="119" applyFont="1" applyAlignment="1">
      <alignment/>
      <protection/>
    </xf>
    <xf numFmtId="49" fontId="8" fillId="0" borderId="0" xfId="116" applyNumberFormat="1" applyFont="1" applyFill="1" applyBorder="1" applyAlignment="1">
      <alignment vertical="center"/>
      <protection/>
    </xf>
    <xf numFmtId="49" fontId="82" fillId="0" borderId="0" xfId="116" applyNumberFormat="1" applyFont="1" applyFill="1" applyBorder="1" applyAlignment="1">
      <alignment horizontal="center" vertical="center" wrapText="1"/>
      <protection/>
    </xf>
    <xf numFmtId="49" fontId="24" fillId="0" borderId="0" xfId="122" applyNumberFormat="1" applyFont="1" applyFill="1" applyBorder="1" applyAlignment="1">
      <alignment horizontal="center" vertical="center"/>
      <protection/>
    </xf>
    <xf numFmtId="49" fontId="8" fillId="0" borderId="0" xfId="116" applyNumberFormat="1" applyFont="1" applyFill="1" applyBorder="1" applyAlignment="1">
      <alignment vertical="center" wrapText="1"/>
      <protection/>
    </xf>
    <xf numFmtId="0" fontId="83" fillId="0" borderId="0" xfId="119" applyFont="1">
      <alignment/>
      <protection/>
    </xf>
    <xf numFmtId="0" fontId="8" fillId="0" borderId="10" xfId="131" applyFont="1" applyFill="1" applyBorder="1" applyAlignment="1">
      <alignment vertical="center" wrapText="1"/>
      <protection/>
    </xf>
    <xf numFmtId="0" fontId="5" fillId="0" borderId="10" xfId="97" applyBorder="1" applyAlignment="1">
      <alignment vertical="center"/>
      <protection/>
    </xf>
    <xf numFmtId="0" fontId="8" fillId="0" borderId="10" xfId="0" applyFont="1" applyFill="1" applyBorder="1" applyAlignment="1">
      <alignment vertical="top" wrapText="1"/>
    </xf>
    <xf numFmtId="0" fontId="8" fillId="0" borderId="10" xfId="98" applyFont="1" applyFill="1" applyBorder="1" applyAlignment="1">
      <alignment vertical="top" wrapText="1"/>
      <protection/>
    </xf>
    <xf numFmtId="0" fontId="13" fillId="0" borderId="12" xfId="93" applyFont="1" applyFill="1" applyBorder="1" applyAlignment="1">
      <alignment horizontal="left" vertical="center" wrapText="1"/>
      <protection/>
    </xf>
    <xf numFmtId="0" fontId="13" fillId="0" borderId="40" xfId="122" applyFont="1" applyBorder="1" applyAlignment="1">
      <alignment vertical="center" wrapText="1"/>
      <protection/>
    </xf>
    <xf numFmtId="0" fontId="13" fillId="0" borderId="12" xfId="0" applyFont="1" applyFill="1" applyBorder="1" applyAlignment="1">
      <alignment horizontal="left"/>
    </xf>
    <xf numFmtId="44" fontId="13" fillId="0" borderId="12" xfId="138" applyFont="1" applyBorder="1" applyAlignment="1">
      <alignment horizontal="left" vertical="center"/>
    </xf>
    <xf numFmtId="44" fontId="13" fillId="0" borderId="15" xfId="138" applyFont="1" applyBorder="1" applyAlignment="1">
      <alignment horizontal="left" vertical="center"/>
    </xf>
    <xf numFmtId="3" fontId="13" fillId="0" borderId="12" xfId="0" applyNumberFormat="1" applyFont="1" applyBorder="1" applyAlignment="1">
      <alignment vertical="center" wrapText="1"/>
    </xf>
    <xf numFmtId="3" fontId="13" fillId="0" borderId="13" xfId="0" applyNumberFormat="1" applyFont="1" applyBorder="1" applyAlignment="1">
      <alignment vertical="center" wrapText="1"/>
    </xf>
    <xf numFmtId="0" fontId="13" fillId="0" borderId="12" xfId="122" applyFont="1" applyBorder="1" applyAlignment="1">
      <alignment vertical="center"/>
      <protection/>
    </xf>
    <xf numFmtId="0" fontId="13" fillId="0" borderId="13" xfId="122" applyFont="1" applyBorder="1" applyAlignment="1">
      <alignment vertical="center"/>
      <protection/>
    </xf>
    <xf numFmtId="0" fontId="13" fillId="0" borderId="12" xfId="122" applyFont="1" applyFill="1" applyBorder="1" applyAlignment="1">
      <alignment vertical="center"/>
      <protection/>
    </xf>
    <xf numFmtId="3" fontId="12" fillId="4" borderId="93" xfId="132" applyNumberFormat="1" applyFont="1" applyFill="1" applyBorder="1" applyAlignment="1">
      <alignment horizontal="center" vertical="center" wrapText="1"/>
      <protection/>
    </xf>
    <xf numFmtId="3" fontId="16" fillId="4" borderId="38" xfId="132" applyNumberFormat="1" applyFont="1" applyFill="1" applyBorder="1" applyAlignment="1">
      <alignment horizontal="center" vertical="center" wrapText="1"/>
      <protection/>
    </xf>
    <xf numFmtId="3" fontId="16" fillId="4" borderId="39" xfId="132" applyNumberFormat="1" applyFont="1" applyFill="1" applyBorder="1" applyAlignment="1">
      <alignment horizontal="center" vertical="center" wrapText="1"/>
      <protection/>
    </xf>
    <xf numFmtId="3" fontId="16" fillId="4" borderId="94" xfId="132" applyNumberFormat="1" applyFont="1" applyFill="1" applyBorder="1" applyAlignment="1">
      <alignment horizontal="center" vertical="center"/>
      <protection/>
    </xf>
    <xf numFmtId="3" fontId="16" fillId="4" borderId="95" xfId="132" applyNumberFormat="1" applyFont="1" applyFill="1" applyBorder="1" applyAlignment="1">
      <alignment horizontal="center" vertical="center"/>
      <protection/>
    </xf>
    <xf numFmtId="3" fontId="16" fillId="4" borderId="61" xfId="132" applyNumberFormat="1" applyFont="1" applyFill="1" applyBorder="1" applyAlignment="1">
      <alignment horizontal="center" vertical="center"/>
      <protection/>
    </xf>
    <xf numFmtId="3" fontId="16" fillId="4" borderId="96" xfId="132" applyNumberFormat="1" applyFont="1" applyFill="1" applyBorder="1" applyAlignment="1">
      <alignment horizontal="center" vertical="center"/>
      <protection/>
    </xf>
    <xf numFmtId="3" fontId="13" fillId="0" borderId="12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3" fontId="13" fillId="0" borderId="12" xfId="0" applyNumberFormat="1" applyFont="1" applyFill="1" applyBorder="1" applyAlignment="1">
      <alignment vertical="center" wrapText="1"/>
    </xf>
    <xf numFmtId="3" fontId="13" fillId="0" borderId="13" xfId="0" applyNumberFormat="1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3" fontId="13" fillId="0" borderId="12" xfId="0" applyNumberFormat="1" applyFont="1" applyFill="1" applyBorder="1" applyAlignment="1">
      <alignment horizontal="left" vertical="center" wrapText="1"/>
    </xf>
    <xf numFmtId="3" fontId="13" fillId="0" borderId="13" xfId="0" applyNumberFormat="1" applyFont="1" applyFill="1" applyBorder="1" applyAlignment="1">
      <alignment horizontal="left" vertical="center" wrapText="1"/>
    </xf>
    <xf numFmtId="0" fontId="12" fillId="4" borderId="97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3" fontId="12" fillId="4" borderId="62" xfId="132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vertical="center" wrapText="1"/>
    </xf>
    <xf numFmtId="0" fontId="9" fillId="4" borderId="18" xfId="122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9" fillId="4" borderId="46" xfId="122" applyFont="1" applyFill="1" applyBorder="1" applyAlignment="1">
      <alignment horizontal="center" vertical="center"/>
      <protection/>
    </xf>
    <xf numFmtId="0" fontId="0" fillId="0" borderId="4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9" fillId="4" borderId="46" xfId="122" applyFont="1" applyFill="1" applyBorder="1" applyAlignment="1">
      <alignment horizontal="center" vertical="center" wrapText="1"/>
      <protection/>
    </xf>
    <xf numFmtId="0" fontId="0" fillId="0" borderId="47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9" fillId="4" borderId="54" xfId="122" applyFont="1" applyFill="1" applyBorder="1" applyAlignment="1">
      <alignment horizontal="center" vertical="center"/>
      <protection/>
    </xf>
    <xf numFmtId="0" fontId="0" fillId="0" borderId="53" xfId="0" applyBorder="1" applyAlignment="1">
      <alignment horizontal="center" vertical="center"/>
    </xf>
    <xf numFmtId="3" fontId="16" fillId="4" borderId="98" xfId="0" applyNumberFormat="1" applyFont="1" applyFill="1" applyBorder="1" applyAlignment="1">
      <alignment horizontal="center" vertical="center" wrapText="1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12" fillId="4" borderId="98" xfId="0" applyFont="1" applyFill="1" applyBorder="1" applyAlignment="1">
      <alignment horizontal="center" vertical="center" wrapText="1"/>
    </xf>
    <xf numFmtId="0" fontId="12" fillId="4" borderId="10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4" borderId="12" xfId="122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01" xfId="0" applyFont="1" applyFill="1" applyBorder="1" applyAlignment="1">
      <alignment horizontal="center" vertical="center" wrapText="1"/>
    </xf>
    <xf numFmtId="0" fontId="9" fillId="4" borderId="12" xfId="122" applyFont="1" applyFill="1" applyBorder="1" applyAlignment="1">
      <alignment horizontal="center" vertical="center"/>
      <protection/>
    </xf>
    <xf numFmtId="0" fontId="9" fillId="4" borderId="93" xfId="93" applyFont="1" applyFill="1" applyBorder="1" applyAlignment="1">
      <alignment horizontal="center" vertical="center"/>
      <protection/>
    </xf>
    <xf numFmtId="0" fontId="9" fillId="4" borderId="62" xfId="97" applyFont="1" applyFill="1" applyBorder="1" applyAlignment="1">
      <alignment horizontal="center"/>
      <protection/>
    </xf>
    <xf numFmtId="0" fontId="9" fillId="4" borderId="102" xfId="97" applyFont="1" applyFill="1" applyBorder="1" applyAlignment="1">
      <alignment horizontal="center"/>
      <protection/>
    </xf>
    <xf numFmtId="0" fontId="3" fillId="4" borderId="39" xfId="0" applyFont="1" applyFill="1" applyBorder="1" applyAlignment="1">
      <alignment horizontal="center" vertical="center"/>
    </xf>
    <xf numFmtId="0" fontId="9" fillId="4" borderId="62" xfId="93" applyFont="1" applyFill="1" applyBorder="1" applyAlignment="1">
      <alignment horizontal="center" vertical="center"/>
      <protection/>
    </xf>
    <xf numFmtId="0" fontId="9" fillId="4" borderId="102" xfId="93" applyFont="1" applyFill="1" applyBorder="1" applyAlignment="1">
      <alignment horizontal="center" vertical="center"/>
      <protection/>
    </xf>
    <xf numFmtId="3" fontId="12" fillId="25" borderId="62" xfId="104" applyNumberFormat="1" applyFont="1" applyFill="1" applyBorder="1" applyAlignment="1">
      <alignment horizontal="center" vertical="center"/>
      <protection/>
    </xf>
    <xf numFmtId="3" fontId="12" fillId="25" borderId="102" xfId="104" applyNumberFormat="1" applyFont="1" applyFill="1" applyBorder="1" applyAlignment="1">
      <alignment horizontal="center" vertical="center"/>
      <protection/>
    </xf>
    <xf numFmtId="3" fontId="12" fillId="25" borderId="10" xfId="104" applyNumberFormat="1" applyFont="1" applyFill="1" applyBorder="1" applyAlignment="1">
      <alignment horizontal="center" vertical="center"/>
      <protection/>
    </xf>
    <xf numFmtId="0" fontId="2" fillId="4" borderId="10" xfId="0" applyFont="1" applyFill="1" applyBorder="1" applyAlignment="1">
      <alignment horizontal="center" vertical="center" wrapText="1"/>
    </xf>
    <xf numFmtId="0" fontId="12" fillId="4" borderId="10" xfId="93" applyFont="1" applyFill="1" applyBorder="1" applyAlignment="1">
      <alignment horizontal="center" vertical="center" wrapText="1"/>
      <protection/>
    </xf>
    <xf numFmtId="0" fontId="2" fillId="4" borderId="18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3" fontId="15" fillId="0" borderId="13" xfId="0" applyNumberFormat="1" applyFont="1" applyBorder="1" applyAlignment="1">
      <alignment vertical="center" wrapText="1"/>
    </xf>
    <xf numFmtId="3" fontId="13" fillId="24" borderId="12" xfId="0" applyNumberFormat="1" applyFont="1" applyFill="1" applyBorder="1" applyAlignment="1">
      <alignment horizontal="left" vertical="center"/>
    </xf>
    <xf numFmtId="3" fontId="13" fillId="24" borderId="13" xfId="0" applyNumberFormat="1" applyFont="1" applyFill="1" applyBorder="1" applyAlignment="1">
      <alignment horizontal="left" vertical="center"/>
    </xf>
    <xf numFmtId="0" fontId="13" fillId="0" borderId="13" xfId="0" applyFont="1" applyFill="1" applyBorder="1" applyAlignment="1">
      <alignment vertical="center"/>
    </xf>
    <xf numFmtId="0" fontId="13" fillId="0" borderId="12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2" fillId="4" borderId="12" xfId="93" applyFont="1" applyFill="1" applyBorder="1" applyAlignment="1">
      <alignment vertical="center" wrapText="1"/>
      <protection/>
    </xf>
    <xf numFmtId="0" fontId="12" fillId="4" borderId="13" xfId="93" applyFont="1" applyFill="1" applyBorder="1" applyAlignment="1">
      <alignment vertical="center" wrapText="1"/>
      <protection/>
    </xf>
    <xf numFmtId="3" fontId="15" fillId="0" borderId="12" xfId="0" applyNumberFormat="1" applyFont="1" applyFill="1" applyBorder="1" applyAlignment="1">
      <alignment vertical="center" wrapText="1"/>
    </xf>
    <xf numFmtId="3" fontId="15" fillId="0" borderId="13" xfId="0" applyNumberFormat="1" applyFont="1" applyFill="1" applyBorder="1" applyAlignment="1">
      <alignment vertical="center" wrapText="1"/>
    </xf>
    <xf numFmtId="0" fontId="8" fillId="0" borderId="12" xfId="98" applyFont="1" applyFill="1" applyBorder="1" applyAlignment="1">
      <alignment vertical="center" wrapText="1"/>
      <protection/>
    </xf>
    <xf numFmtId="0" fontId="13" fillId="0" borderId="12" xfId="125" applyFont="1" applyFill="1" applyBorder="1" applyAlignment="1">
      <alignment vertical="center" wrapText="1"/>
      <protection/>
    </xf>
    <xf numFmtId="0" fontId="13" fillId="0" borderId="13" xfId="125" applyFont="1" applyFill="1" applyBorder="1" applyAlignment="1">
      <alignment vertical="center" wrapText="1"/>
      <protection/>
    </xf>
    <xf numFmtId="3" fontId="15" fillId="0" borderId="12" xfId="0" applyNumberFormat="1" applyFont="1" applyFill="1" applyBorder="1" applyAlignment="1">
      <alignment vertical="center"/>
    </xf>
    <xf numFmtId="3" fontId="15" fillId="0" borderId="13" xfId="0" applyNumberFormat="1" applyFont="1" applyFill="1" applyBorder="1" applyAlignment="1">
      <alignment vertical="center"/>
    </xf>
    <xf numFmtId="3" fontId="14" fillId="0" borderId="12" xfId="0" applyNumberFormat="1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3" fontId="79" fillId="4" borderId="103" xfId="0" applyNumberFormat="1" applyFont="1" applyFill="1" applyBorder="1" applyAlignment="1">
      <alignment horizontal="center" vertical="center" wrapText="1"/>
    </xf>
    <xf numFmtId="0" fontId="20" fillId="4" borderId="44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3" fontId="12" fillId="0" borderId="19" xfId="0" applyNumberFormat="1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3" fillId="0" borderId="12" xfId="98" applyFont="1" applyFill="1" applyBorder="1" applyAlignment="1">
      <alignment vertical="center"/>
      <protection/>
    </xf>
    <xf numFmtId="0" fontId="22" fillId="0" borderId="15" xfId="0" applyFont="1" applyBorder="1" applyAlignment="1">
      <alignment vertical="center"/>
    </xf>
    <xf numFmtId="3" fontId="13" fillId="0" borderId="15" xfId="0" applyNumberFormat="1" applyFont="1" applyBorder="1" applyAlignment="1">
      <alignment vertical="center" wrapText="1"/>
    </xf>
    <xf numFmtId="3" fontId="13" fillId="0" borderId="15" xfId="0" applyNumberFormat="1" applyFont="1" applyBorder="1" applyAlignment="1">
      <alignment horizontal="left" vertical="center"/>
    </xf>
    <xf numFmtId="0" fontId="0" fillId="0" borderId="15" xfId="0" applyFill="1" applyBorder="1" applyAlignment="1">
      <alignment horizontal="left" vertical="center" wrapText="1"/>
    </xf>
    <xf numFmtId="0" fontId="13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vertical="center"/>
    </xf>
    <xf numFmtId="3" fontId="13" fillId="0" borderId="15" xfId="0" applyNumberFormat="1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3" fontId="14" fillId="0" borderId="12" xfId="0" applyNumberFormat="1" applyFont="1" applyFill="1" applyBorder="1" applyAlignment="1">
      <alignment vertical="center"/>
    </xf>
    <xf numFmtId="3" fontId="14" fillId="0" borderId="13" xfId="0" applyNumberFormat="1" applyFont="1" applyFill="1" applyBorder="1" applyAlignment="1">
      <alignment vertical="center"/>
    </xf>
    <xf numFmtId="0" fontId="13" fillId="0" borderId="12" xfId="122" applyFont="1" applyFill="1" applyBorder="1" applyAlignment="1">
      <alignment vertical="center" wrapText="1"/>
      <protection/>
    </xf>
    <xf numFmtId="0" fontId="0" fillId="0" borderId="15" xfId="0" applyFont="1" applyFill="1" applyBorder="1" applyAlignment="1">
      <alignment vertical="center" wrapText="1"/>
    </xf>
    <xf numFmtId="3" fontId="13" fillId="0" borderId="12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horizontal="center" vertical="center"/>
    </xf>
    <xf numFmtId="3" fontId="13" fillId="0" borderId="15" xfId="0" applyNumberFormat="1" applyFont="1" applyFill="1" applyBorder="1" applyAlignment="1">
      <alignment horizontal="left" vertical="center"/>
    </xf>
    <xf numFmtId="0" fontId="64" fillId="27" borderId="12" xfId="93" applyFont="1" applyFill="1" applyBorder="1" applyAlignment="1">
      <alignment horizontal="left" vertical="center" wrapText="1"/>
      <protection/>
    </xf>
    <xf numFmtId="0" fontId="64" fillId="27" borderId="15" xfId="93" applyFont="1" applyFill="1" applyBorder="1" applyAlignment="1">
      <alignment horizontal="left" vertical="center" wrapText="1"/>
      <protection/>
    </xf>
    <xf numFmtId="0" fontId="13" fillId="0" borderId="12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vertical="center" wrapText="1"/>
    </xf>
    <xf numFmtId="0" fontId="8" fillId="0" borderId="12" xfId="122" applyFont="1" applyFill="1" applyBorder="1" applyAlignment="1">
      <alignment vertical="center" wrapText="1"/>
      <protection/>
    </xf>
    <xf numFmtId="3" fontId="13" fillId="0" borderId="40" xfId="107" applyNumberFormat="1" applyFont="1" applyBorder="1" applyAlignment="1">
      <alignment horizontal="left" vertical="center" wrapText="1"/>
      <protection/>
    </xf>
    <xf numFmtId="0" fontId="0" fillId="0" borderId="16" xfId="0" applyBorder="1" applyAlignment="1">
      <alignment vertical="center" wrapText="1"/>
    </xf>
    <xf numFmtId="3" fontId="13" fillId="0" borderId="15" xfId="0" applyNumberFormat="1" applyFont="1" applyBorder="1" applyAlignment="1">
      <alignment horizontal="left" vertical="center" wrapText="1"/>
    </xf>
    <xf numFmtId="0" fontId="13" fillId="0" borderId="12" xfId="122" applyFont="1" applyBorder="1" applyAlignment="1">
      <alignment vertical="center" wrapText="1"/>
      <protection/>
    </xf>
    <xf numFmtId="0" fontId="13" fillId="0" borderId="15" xfId="122" applyFont="1" applyBorder="1" applyAlignment="1">
      <alignment vertical="center" wrapText="1"/>
      <protection/>
    </xf>
    <xf numFmtId="49" fontId="22" fillId="0" borderId="12" xfId="0" applyNumberFormat="1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vertical="center"/>
    </xf>
    <xf numFmtId="3" fontId="13" fillId="0" borderId="12" xfId="123" applyNumberFormat="1" applyFont="1" applyFill="1" applyBorder="1" applyAlignment="1">
      <alignment vertical="center" wrapText="1"/>
      <protection/>
    </xf>
    <xf numFmtId="0" fontId="0" fillId="0" borderId="15" xfId="0" applyFill="1" applyBorder="1" applyAlignment="1">
      <alignment vertical="center" wrapText="1"/>
    </xf>
    <xf numFmtId="3" fontId="13" fillId="0" borderId="15" xfId="0" applyNumberFormat="1" applyFont="1" applyFill="1" applyBorder="1" applyAlignment="1">
      <alignment horizontal="left" vertical="center" wrapText="1"/>
    </xf>
    <xf numFmtId="0" fontId="13" fillId="0" borderId="15" xfId="122" applyFont="1" applyBorder="1" applyAlignment="1">
      <alignment vertical="center"/>
      <protection/>
    </xf>
    <xf numFmtId="49" fontId="13" fillId="0" borderId="12" xfId="0" applyNumberFormat="1" applyFont="1" applyFill="1" applyBorder="1" applyAlignment="1">
      <alignment horizontal="left" vertical="center" wrapText="1"/>
    </xf>
    <xf numFmtId="49" fontId="13" fillId="0" borderId="15" xfId="0" applyNumberFormat="1" applyFont="1" applyFill="1" applyBorder="1" applyAlignment="1">
      <alignment horizontal="left" vertical="center" wrapText="1"/>
    </xf>
    <xf numFmtId="3" fontId="13" fillId="0" borderId="15" xfId="132" applyNumberFormat="1" applyFont="1" applyFill="1" applyBorder="1" applyAlignment="1">
      <alignment horizontal="left" vertical="center" wrapText="1"/>
      <protection/>
    </xf>
    <xf numFmtId="0" fontId="13" fillId="0" borderId="15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3" fontId="13" fillId="24" borderId="15" xfId="0" applyNumberFormat="1" applyFont="1" applyFill="1" applyBorder="1" applyAlignment="1">
      <alignment horizontal="left" vertical="center"/>
    </xf>
    <xf numFmtId="3" fontId="16" fillId="4" borderId="104" xfId="132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3" fontId="16" fillId="4" borderId="20" xfId="132" applyNumberFormat="1" applyFont="1" applyFill="1" applyBorder="1" applyAlignment="1">
      <alignment horizontal="center" vertical="center" wrapText="1"/>
      <protection/>
    </xf>
    <xf numFmtId="0" fontId="0" fillId="0" borderId="105" xfId="0" applyBorder="1" applyAlignment="1">
      <alignment horizontal="center" vertical="center"/>
    </xf>
    <xf numFmtId="3" fontId="16" fillId="4" borderId="21" xfId="132" applyNumberFormat="1" applyFont="1" applyFill="1" applyBorder="1" applyAlignment="1">
      <alignment horizontal="center" vertical="center" wrapText="1"/>
      <protection/>
    </xf>
    <xf numFmtId="3" fontId="16" fillId="4" borderId="106" xfId="132" applyNumberFormat="1" applyFont="1" applyFill="1" applyBorder="1" applyAlignment="1">
      <alignment horizontal="center" vertical="center"/>
      <protection/>
    </xf>
    <xf numFmtId="0" fontId="0" fillId="0" borderId="10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" fontId="16" fillId="4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3" fontId="20" fillId="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3" fillId="27" borderId="12" xfId="93" applyFont="1" applyFill="1" applyBorder="1" applyAlignment="1">
      <alignment horizontal="left" vertical="center" wrapText="1"/>
      <protection/>
    </xf>
    <xf numFmtId="0" fontId="13" fillId="27" borderId="15" xfId="93" applyFont="1" applyFill="1" applyBorder="1" applyAlignment="1">
      <alignment horizontal="left" vertical="center" wrapText="1"/>
      <protection/>
    </xf>
    <xf numFmtId="0" fontId="13" fillId="0" borderId="15" xfId="0" applyFont="1" applyFill="1" applyBorder="1" applyAlignment="1">
      <alignment vertical="center"/>
    </xf>
    <xf numFmtId="0" fontId="13" fillId="0" borderId="15" xfId="122" applyFont="1" applyFill="1" applyBorder="1" applyAlignment="1">
      <alignment vertical="center"/>
      <protection/>
    </xf>
    <xf numFmtId="3" fontId="79" fillId="4" borderId="103" xfId="0" applyNumberFormat="1" applyFont="1" applyFill="1" applyBorder="1" applyAlignment="1">
      <alignment horizontal="center" vertical="center" wrapText="1"/>
    </xf>
    <xf numFmtId="0" fontId="20" fillId="4" borderId="44" xfId="0" applyFont="1" applyFill="1" applyBorder="1" applyAlignment="1">
      <alignment horizontal="center" vertical="center"/>
    </xf>
    <xf numFmtId="3" fontId="13" fillId="0" borderId="46" xfId="132" applyNumberFormat="1" applyFont="1" applyFill="1" applyBorder="1" applyAlignment="1">
      <alignment horizontal="left" vertical="center"/>
      <protection/>
    </xf>
    <xf numFmtId="0" fontId="13" fillId="0" borderId="45" xfId="0" applyFont="1" applyBorder="1" applyAlignment="1">
      <alignment horizontal="left" vertical="center"/>
    </xf>
    <xf numFmtId="3" fontId="16" fillId="4" borderId="104" xfId="132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3" fontId="13" fillId="0" borderId="46" xfId="132" applyNumberFormat="1" applyFont="1" applyFill="1" applyBorder="1" applyAlignment="1">
      <alignment vertical="center"/>
      <protection/>
    </xf>
    <xf numFmtId="3" fontId="13" fillId="0" borderId="45" xfId="132" applyNumberFormat="1" applyFont="1" applyFill="1" applyBorder="1" applyAlignment="1">
      <alignment vertical="center"/>
      <protection/>
    </xf>
    <xf numFmtId="3" fontId="16" fillId="4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3" fontId="20" fillId="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3" fontId="13" fillId="0" borderId="45" xfId="132" applyNumberFormat="1" applyFont="1" applyFill="1" applyBorder="1" applyAlignment="1">
      <alignment horizontal="left" vertical="center"/>
      <protection/>
    </xf>
    <xf numFmtId="0" fontId="2" fillId="4" borderId="10" xfId="0" applyFont="1" applyFill="1" applyBorder="1" applyAlignment="1">
      <alignment horizontal="center" vertical="center" wrapText="1"/>
    </xf>
    <xf numFmtId="3" fontId="13" fillId="0" borderId="46" xfId="0" applyNumberFormat="1" applyFont="1" applyBorder="1" applyAlignment="1">
      <alignment vertical="center" wrapText="1"/>
    </xf>
    <xf numFmtId="3" fontId="13" fillId="0" borderId="47" xfId="0" applyNumberFormat="1" applyFont="1" applyBorder="1" applyAlignment="1">
      <alignment vertical="center" wrapText="1"/>
    </xf>
    <xf numFmtId="3" fontId="13" fillId="0" borderId="46" xfId="0" applyNumberFormat="1" applyFont="1" applyBorder="1" applyAlignment="1">
      <alignment vertical="center"/>
    </xf>
    <xf numFmtId="0" fontId="13" fillId="0" borderId="47" xfId="0" applyFont="1" applyBorder="1" applyAlignment="1">
      <alignment vertical="center"/>
    </xf>
    <xf numFmtId="0" fontId="12" fillId="4" borderId="46" xfId="93" applyFont="1" applyFill="1" applyBorder="1" applyAlignment="1">
      <alignment vertical="center" wrapText="1"/>
      <protection/>
    </xf>
    <xf numFmtId="0" fontId="0" fillId="0" borderId="47" xfId="0" applyBorder="1" applyAlignment="1">
      <alignment vertical="center"/>
    </xf>
    <xf numFmtId="3" fontId="15" fillId="0" borderId="46" xfId="0" applyNumberFormat="1" applyFont="1" applyBorder="1" applyAlignment="1">
      <alignment vertical="center" wrapText="1"/>
    </xf>
    <xf numFmtId="0" fontId="13" fillId="0" borderId="47" xfId="0" applyFont="1" applyBorder="1" applyAlignment="1">
      <alignment vertical="center" wrapText="1"/>
    </xf>
    <xf numFmtId="0" fontId="13" fillId="0" borderId="46" xfId="122" applyFont="1" applyBorder="1" applyAlignment="1">
      <alignment vertical="center" wrapText="1"/>
      <protection/>
    </xf>
    <xf numFmtId="0" fontId="13" fillId="0" borderId="47" xfId="122" applyFont="1" applyBorder="1" applyAlignment="1">
      <alignment vertical="center" wrapText="1"/>
      <protection/>
    </xf>
    <xf numFmtId="3" fontId="13" fillId="0" borderId="46" xfId="123" applyNumberFormat="1" applyFont="1" applyFill="1" applyBorder="1" applyAlignment="1">
      <alignment vertical="center" wrapText="1"/>
      <protection/>
    </xf>
    <xf numFmtId="0" fontId="0" fillId="0" borderId="47" xfId="0" applyFill="1" applyBorder="1" applyAlignment="1">
      <alignment vertical="center" wrapText="1"/>
    </xf>
    <xf numFmtId="0" fontId="64" fillId="27" borderId="46" xfId="93" applyFont="1" applyFill="1" applyBorder="1" applyAlignment="1">
      <alignment horizontal="left" vertical="center" wrapText="1"/>
      <protection/>
    </xf>
    <xf numFmtId="0" fontId="64" fillId="27" borderId="47" xfId="93" applyFont="1" applyFill="1" applyBorder="1" applyAlignment="1">
      <alignment horizontal="left" vertical="center" wrapText="1"/>
      <protection/>
    </xf>
    <xf numFmtId="0" fontId="8" fillId="0" borderId="46" xfId="122" applyFont="1" applyFill="1" applyBorder="1" applyAlignment="1">
      <alignment vertical="center" wrapText="1"/>
      <protection/>
    </xf>
    <xf numFmtId="3" fontId="12" fillId="0" borderId="108" xfId="0" applyNumberFormat="1" applyFont="1" applyBorder="1" applyAlignment="1">
      <alignment vertical="center" wrapText="1"/>
    </xf>
    <xf numFmtId="0" fontId="0" fillId="0" borderId="108" xfId="0" applyBorder="1" applyAlignment="1">
      <alignment vertical="center" wrapText="1"/>
    </xf>
    <xf numFmtId="0" fontId="13" fillId="0" borderId="46" xfId="98" applyFont="1" applyFill="1" applyBorder="1" applyAlignment="1">
      <alignment vertical="center"/>
      <protection/>
    </xf>
    <xf numFmtId="0" fontId="22" fillId="0" borderId="47" xfId="0" applyFont="1" applyBorder="1" applyAlignment="1">
      <alignment vertical="center"/>
    </xf>
    <xf numFmtId="3" fontId="13" fillId="0" borderId="46" xfId="0" applyNumberFormat="1" applyFont="1" applyBorder="1" applyAlignment="1">
      <alignment horizontal="left" vertical="center"/>
    </xf>
    <xf numFmtId="3" fontId="13" fillId="0" borderId="47" xfId="0" applyNumberFormat="1" applyFont="1" applyBorder="1" applyAlignment="1">
      <alignment horizontal="left" vertical="center"/>
    </xf>
    <xf numFmtId="3" fontId="13" fillId="0" borderId="46" xfId="0" applyNumberFormat="1" applyFont="1" applyFill="1" applyBorder="1" applyAlignment="1">
      <alignment vertical="center"/>
    </xf>
    <xf numFmtId="3" fontId="13" fillId="0" borderId="45" xfId="0" applyNumberFormat="1" applyFont="1" applyFill="1" applyBorder="1" applyAlignment="1">
      <alignment vertical="center"/>
    </xf>
    <xf numFmtId="3" fontId="13" fillId="0" borderId="47" xfId="0" applyNumberFormat="1" applyFont="1" applyBorder="1" applyAlignment="1">
      <alignment vertical="center"/>
    </xf>
    <xf numFmtId="3" fontId="13" fillId="0" borderId="46" xfId="0" applyNumberFormat="1" applyFont="1" applyFill="1" applyBorder="1" applyAlignment="1">
      <alignment horizontal="left" vertical="center" wrapText="1"/>
    </xf>
    <xf numFmtId="3" fontId="13" fillId="0" borderId="47" xfId="0" applyNumberFormat="1" applyFont="1" applyFill="1" applyBorder="1" applyAlignment="1">
      <alignment horizontal="left" vertical="center" wrapText="1"/>
    </xf>
    <xf numFmtId="0" fontId="13" fillId="0" borderId="46" xfId="122" applyFont="1" applyBorder="1" applyAlignment="1">
      <alignment vertical="center"/>
      <protection/>
    </xf>
    <xf numFmtId="0" fontId="13" fillId="0" borderId="47" xfId="122" applyFont="1" applyBorder="1" applyAlignment="1">
      <alignment vertical="center"/>
      <protection/>
    </xf>
    <xf numFmtId="3" fontId="13" fillId="0" borderId="46" xfId="0" applyNumberFormat="1" applyFont="1" applyBorder="1" applyAlignment="1">
      <alignment horizontal="left" vertical="center" wrapText="1"/>
    </xf>
    <xf numFmtId="3" fontId="13" fillId="0" borderId="45" xfId="0" applyNumberFormat="1" applyFont="1" applyBorder="1" applyAlignment="1">
      <alignment horizontal="left" vertical="center" wrapText="1"/>
    </xf>
    <xf numFmtId="3" fontId="13" fillId="0" borderId="46" xfId="132" applyNumberFormat="1" applyFont="1" applyFill="1" applyBorder="1" applyAlignment="1">
      <alignment horizontal="left" vertical="center" wrapText="1"/>
      <protection/>
    </xf>
    <xf numFmtId="3" fontId="13" fillId="0" borderId="47" xfId="132" applyNumberFormat="1" applyFont="1" applyFill="1" applyBorder="1" applyAlignment="1">
      <alignment horizontal="left" vertical="center" wrapText="1"/>
      <protection/>
    </xf>
    <xf numFmtId="3" fontId="13" fillId="0" borderId="45" xfId="0" applyNumberFormat="1" applyFont="1" applyFill="1" applyBorder="1" applyAlignment="1">
      <alignment horizontal="left" vertical="center" wrapText="1"/>
    </xf>
    <xf numFmtId="0" fontId="13" fillId="0" borderId="46" xfId="122" applyFont="1" applyFill="1" applyBorder="1" applyAlignment="1">
      <alignment vertical="center" wrapText="1"/>
      <protection/>
    </xf>
    <xf numFmtId="0" fontId="0" fillId="0" borderId="47" xfId="0" applyFont="1" applyFill="1" applyBorder="1" applyAlignment="1">
      <alignment vertical="center" wrapText="1"/>
    </xf>
    <xf numFmtId="3" fontId="13" fillId="0" borderId="45" xfId="0" applyNumberFormat="1" applyFont="1" applyBorder="1" applyAlignment="1">
      <alignment horizontal="left" vertical="center"/>
    </xf>
    <xf numFmtId="49" fontId="13" fillId="0" borderId="46" xfId="0" applyNumberFormat="1" applyFont="1" applyFill="1" applyBorder="1" applyAlignment="1">
      <alignment horizontal="left" vertical="center"/>
    </xf>
    <xf numFmtId="49" fontId="13" fillId="0" borderId="45" xfId="0" applyNumberFormat="1" applyFont="1" applyFill="1" applyBorder="1" applyAlignment="1">
      <alignment horizontal="left" vertical="center"/>
    </xf>
    <xf numFmtId="3" fontId="13" fillId="0" borderId="56" xfId="107" applyNumberFormat="1" applyFont="1" applyBorder="1" applyAlignment="1">
      <alignment horizontal="left" vertical="center" wrapText="1"/>
      <protection/>
    </xf>
    <xf numFmtId="0" fontId="0" fillId="0" borderId="55" xfId="0" applyBorder="1" applyAlignment="1">
      <alignment vertical="center" wrapText="1"/>
    </xf>
    <xf numFmtId="0" fontId="13" fillId="0" borderId="46" xfId="122" applyFont="1" applyFill="1" applyBorder="1" applyAlignment="1">
      <alignment vertical="center"/>
      <protection/>
    </xf>
    <xf numFmtId="0" fontId="13" fillId="0" borderId="47" xfId="122" applyFont="1" applyFill="1" applyBorder="1" applyAlignment="1">
      <alignment vertical="center"/>
      <protection/>
    </xf>
    <xf numFmtId="49" fontId="13" fillId="0" borderId="46" xfId="0" applyNumberFormat="1" applyFont="1" applyFill="1" applyBorder="1" applyAlignment="1">
      <alignment horizontal="left" vertical="center" wrapText="1"/>
    </xf>
    <xf numFmtId="49" fontId="13" fillId="0" borderId="45" xfId="0" applyNumberFormat="1" applyFont="1" applyFill="1" applyBorder="1" applyAlignment="1">
      <alignment horizontal="left" vertical="center" wrapText="1"/>
    </xf>
    <xf numFmtId="3" fontId="13" fillId="0" borderId="46" xfId="0" applyNumberFormat="1" applyFont="1" applyFill="1" applyBorder="1" applyAlignment="1">
      <alignment horizontal="left" vertical="center"/>
    </xf>
    <xf numFmtId="3" fontId="13" fillId="0" borderId="45" xfId="0" applyNumberFormat="1" applyFont="1" applyFill="1" applyBorder="1" applyAlignment="1">
      <alignment horizontal="left" vertical="center"/>
    </xf>
    <xf numFmtId="3" fontId="16" fillId="4" borderId="49" xfId="132" applyNumberFormat="1" applyFont="1" applyFill="1" applyBorder="1" applyAlignment="1">
      <alignment horizontal="center" vertical="center" wrapText="1"/>
      <protection/>
    </xf>
    <xf numFmtId="0" fontId="0" fillId="0" borderId="109" xfId="0" applyBorder="1" applyAlignment="1">
      <alignment horizontal="center" vertical="center"/>
    </xf>
    <xf numFmtId="3" fontId="16" fillId="4" borderId="50" xfId="132" applyNumberFormat="1" applyFont="1" applyFill="1" applyBorder="1" applyAlignment="1">
      <alignment horizontal="center" vertical="center" wrapText="1"/>
      <protection/>
    </xf>
    <xf numFmtId="3" fontId="16" fillId="4" borderId="110" xfId="132" applyNumberFormat="1" applyFont="1" applyFill="1" applyBorder="1" applyAlignment="1">
      <alignment horizontal="center" vertical="center"/>
      <protection/>
    </xf>
    <xf numFmtId="0" fontId="0" fillId="0" borderId="11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3" fontId="13" fillId="0" borderId="46" xfId="0" applyNumberFormat="1" applyFont="1" applyFill="1" applyBorder="1" applyAlignment="1">
      <alignment vertical="center" wrapText="1"/>
    </xf>
    <xf numFmtId="3" fontId="13" fillId="0" borderId="45" xfId="0" applyNumberFormat="1" applyFont="1" applyFill="1" applyBorder="1" applyAlignment="1">
      <alignment vertical="center" wrapText="1"/>
    </xf>
    <xf numFmtId="0" fontId="13" fillId="0" borderId="46" xfId="126" applyFont="1" applyFill="1" applyBorder="1" applyAlignment="1">
      <alignment vertical="center" wrapText="1"/>
      <protection/>
    </xf>
    <xf numFmtId="0" fontId="13" fillId="0" borderId="45" xfId="126" applyFont="1" applyFill="1" applyBorder="1" applyAlignment="1">
      <alignment vertical="center" wrapText="1"/>
      <protection/>
    </xf>
    <xf numFmtId="3" fontId="14" fillId="0" borderId="46" xfId="0" applyNumberFormat="1" applyFont="1" applyFill="1" applyBorder="1" applyAlignment="1">
      <alignment vertical="center"/>
    </xf>
    <xf numFmtId="3" fontId="14" fillId="0" borderId="45" xfId="0" applyNumberFormat="1" applyFont="1" applyFill="1" applyBorder="1" applyAlignment="1">
      <alignment vertical="center"/>
    </xf>
    <xf numFmtId="3" fontId="13" fillId="0" borderId="45" xfId="0" applyNumberFormat="1" applyFont="1" applyBorder="1" applyAlignment="1">
      <alignment vertical="center"/>
    </xf>
    <xf numFmtId="0" fontId="13" fillId="0" borderId="45" xfId="122" applyFont="1" applyBorder="1" applyAlignment="1">
      <alignment vertical="center"/>
      <protection/>
    </xf>
    <xf numFmtId="3" fontId="8" fillId="0" borderId="46" xfId="122" applyNumberFormat="1" applyFont="1" applyFill="1" applyBorder="1" applyAlignment="1">
      <alignment horizontal="left" vertical="center" wrapText="1"/>
      <protection/>
    </xf>
    <xf numFmtId="3" fontId="8" fillId="0" borderId="45" xfId="122" applyNumberFormat="1" applyFont="1" applyFill="1" applyBorder="1" applyAlignment="1">
      <alignment horizontal="left" vertical="center" wrapText="1"/>
      <protection/>
    </xf>
    <xf numFmtId="3" fontId="13" fillId="0" borderId="45" xfId="132" applyNumberFormat="1" applyFont="1" applyFill="1" applyBorder="1" applyAlignment="1">
      <alignment horizontal="left" vertical="center" wrapText="1"/>
      <protection/>
    </xf>
    <xf numFmtId="3" fontId="13" fillId="0" borderId="46" xfId="132" applyNumberFormat="1" applyFont="1" applyBorder="1" applyAlignment="1">
      <alignment horizontal="left" vertical="center"/>
      <protection/>
    </xf>
    <xf numFmtId="3" fontId="13" fillId="0" borderId="45" xfId="132" applyNumberFormat="1" applyFont="1" applyBorder="1" applyAlignment="1">
      <alignment horizontal="left" vertical="center"/>
      <protection/>
    </xf>
    <xf numFmtId="0" fontId="13" fillId="0" borderId="45" xfId="0" applyFont="1" applyBorder="1" applyAlignment="1">
      <alignment vertical="center"/>
    </xf>
    <xf numFmtId="3" fontId="14" fillId="0" borderId="46" xfId="0" applyNumberFormat="1" applyFont="1" applyFill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49" fontId="13" fillId="0" borderId="13" xfId="0" applyNumberFormat="1" applyFont="1" applyFill="1" applyBorder="1" applyAlignment="1">
      <alignment horizontal="left" vertical="center" wrapText="1"/>
    </xf>
    <xf numFmtId="3" fontId="13" fillId="0" borderId="12" xfId="0" applyNumberFormat="1" applyFont="1" applyFill="1" applyBorder="1" applyAlignment="1">
      <alignment horizontal="center" vertical="center"/>
    </xf>
    <xf numFmtId="3" fontId="13" fillId="0" borderId="15" xfId="0" applyNumberFormat="1" applyFont="1" applyFill="1" applyBorder="1" applyAlignment="1">
      <alignment horizontal="center" vertical="center"/>
    </xf>
    <xf numFmtId="0" fontId="13" fillId="0" borderId="12" xfId="127" applyFont="1" applyFill="1" applyBorder="1" applyAlignment="1">
      <alignment vertical="center" wrapText="1"/>
      <protection/>
    </xf>
    <xf numFmtId="0" fontId="13" fillId="0" borderId="13" xfId="127" applyFont="1" applyFill="1" applyBorder="1" applyAlignment="1">
      <alignment vertical="center" wrapText="1"/>
      <protection/>
    </xf>
    <xf numFmtId="3" fontId="13" fillId="0" borderId="15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3" fontId="13" fillId="0" borderId="12" xfId="0" applyNumberFormat="1" applyFont="1" applyFill="1" applyBorder="1" applyAlignment="1">
      <alignment horizontal="left" vertical="center" wrapText="1" shrinkToFit="1"/>
    </xf>
    <xf numFmtId="3" fontId="13" fillId="0" borderId="15" xfId="0" applyNumberFormat="1" applyFont="1" applyFill="1" applyBorder="1" applyAlignment="1">
      <alignment horizontal="left" vertical="center" wrapText="1" shrinkToFit="1"/>
    </xf>
    <xf numFmtId="0" fontId="8" fillId="0" borderId="12" xfId="103" applyFont="1" applyFill="1" applyBorder="1" applyAlignment="1">
      <alignment horizontal="left" vertical="top" wrapText="1"/>
      <protection/>
    </xf>
    <xf numFmtId="0" fontId="8" fillId="0" borderId="15" xfId="103" applyFont="1" applyFill="1" applyBorder="1" applyAlignment="1">
      <alignment horizontal="left" vertical="top" wrapText="1"/>
      <protection/>
    </xf>
    <xf numFmtId="0" fontId="8" fillId="0" borderId="13" xfId="103" applyFont="1" applyFill="1" applyBorder="1" applyAlignment="1">
      <alignment horizontal="left" vertical="top" wrapText="1"/>
      <protection/>
    </xf>
    <xf numFmtId="49" fontId="13" fillId="0" borderId="12" xfId="0" applyNumberFormat="1" applyFont="1" applyFill="1" applyBorder="1" applyAlignment="1">
      <alignment horizontal="left" vertical="center"/>
    </xf>
    <xf numFmtId="49" fontId="13" fillId="0" borderId="13" xfId="0" applyNumberFormat="1" applyFont="1" applyFill="1" applyBorder="1" applyAlignment="1">
      <alignment horizontal="left" vertical="center"/>
    </xf>
    <xf numFmtId="3" fontId="8" fillId="0" borderId="12" xfId="0" applyNumberFormat="1" applyFont="1" applyFill="1" applyBorder="1" applyAlignment="1">
      <alignment horizontal="left" vertical="center" wrapText="1"/>
    </xf>
    <xf numFmtId="3" fontId="8" fillId="0" borderId="13" xfId="0" applyNumberFormat="1" applyFont="1" applyFill="1" applyBorder="1" applyAlignment="1">
      <alignment horizontal="left" vertical="center" wrapText="1"/>
    </xf>
    <xf numFmtId="44" fontId="13" fillId="0" borderId="12" xfId="138" applyFont="1" applyFill="1" applyBorder="1" applyAlignment="1">
      <alignment horizontal="left" vertical="center" wrapText="1"/>
    </xf>
    <xf numFmtId="44" fontId="13" fillId="0" borderId="13" xfId="138" applyFont="1" applyFill="1" applyBorder="1" applyAlignment="1">
      <alignment horizontal="left" vertical="center" wrapText="1"/>
    </xf>
    <xf numFmtId="0" fontId="8" fillId="0" borderId="12" xfId="130" applyFont="1" applyFill="1" applyBorder="1" applyAlignment="1">
      <alignment horizontal="left" vertical="top" wrapText="1"/>
      <protection/>
    </xf>
    <xf numFmtId="0" fontId="8" fillId="0" borderId="13" xfId="130" applyFont="1" applyFill="1" applyBorder="1" applyAlignment="1">
      <alignment horizontal="left" vertical="top" wrapText="1"/>
      <protection/>
    </xf>
    <xf numFmtId="3" fontId="8" fillId="0" borderId="12" xfId="0" applyNumberFormat="1" applyFont="1" applyBorder="1" applyAlignment="1">
      <alignment horizontal="left" vertical="center" wrapText="1"/>
    </xf>
    <xf numFmtId="3" fontId="8" fillId="0" borderId="13" xfId="0" applyNumberFormat="1" applyFont="1" applyBorder="1" applyAlignment="1">
      <alignment horizontal="left" vertical="center" wrapText="1"/>
    </xf>
    <xf numFmtId="0" fontId="8" fillId="0" borderId="12" xfId="122" applyFont="1" applyBorder="1" applyAlignment="1">
      <alignment horizontal="left" vertical="center" wrapText="1"/>
      <protection/>
    </xf>
    <xf numFmtId="0" fontId="8" fillId="0" borderId="13" xfId="122" applyFont="1" applyBorder="1" applyAlignment="1">
      <alignment horizontal="left" vertical="center" wrapText="1"/>
      <protection/>
    </xf>
    <xf numFmtId="0" fontId="8" fillId="0" borderId="12" xfId="95" applyFont="1" applyFill="1" applyBorder="1" applyAlignment="1">
      <alignment horizontal="left" vertical="center" wrapText="1"/>
      <protection/>
    </xf>
    <xf numFmtId="0" fontId="8" fillId="0" borderId="15" xfId="95" applyFont="1" applyFill="1" applyBorder="1" applyAlignment="1">
      <alignment horizontal="left" vertical="center" wrapText="1"/>
      <protection/>
    </xf>
    <xf numFmtId="0" fontId="8" fillId="0" borderId="12" xfId="96" applyFont="1" applyFill="1" applyBorder="1" applyAlignment="1">
      <alignment horizontal="left" vertical="center" wrapText="1"/>
      <protection/>
    </xf>
    <xf numFmtId="0" fontId="8" fillId="0" borderId="15" xfId="96" applyFont="1" applyFill="1" applyBorder="1" applyAlignment="1">
      <alignment horizontal="left" vertical="center" wrapText="1"/>
      <protection/>
    </xf>
    <xf numFmtId="0" fontId="8" fillId="0" borderId="12" xfId="101" applyFont="1" applyFill="1" applyBorder="1" applyAlignment="1">
      <alignment vertical="top" wrapText="1"/>
      <protection/>
    </xf>
    <xf numFmtId="0" fontId="0" fillId="0" borderId="13" xfId="0" applyBorder="1" applyAlignment="1">
      <alignment wrapText="1"/>
    </xf>
    <xf numFmtId="0" fontId="13" fillId="0" borderId="12" xfId="120" applyFont="1" applyFill="1" applyBorder="1" applyAlignment="1">
      <alignment horizontal="left" wrapText="1"/>
      <protection/>
    </xf>
    <xf numFmtId="0" fontId="13" fillId="0" borderId="13" xfId="120" applyFont="1" applyFill="1" applyBorder="1" applyAlignment="1">
      <alignment horizontal="left" wrapText="1"/>
      <protection/>
    </xf>
    <xf numFmtId="0" fontId="0" fillId="0" borderId="13" xfId="0" applyFont="1" applyFill="1" applyBorder="1" applyAlignment="1">
      <alignment vertical="center"/>
    </xf>
    <xf numFmtId="3" fontId="8" fillId="0" borderId="12" xfId="122" applyNumberFormat="1" applyFont="1" applyFill="1" applyBorder="1" applyAlignment="1">
      <alignment horizontal="left" vertical="center" wrapText="1"/>
      <protection/>
    </xf>
    <xf numFmtId="3" fontId="8" fillId="0" borderId="13" xfId="122" applyNumberFormat="1" applyFont="1" applyFill="1" applyBorder="1" applyAlignment="1">
      <alignment horizontal="left" vertical="center" wrapText="1"/>
      <protection/>
    </xf>
    <xf numFmtId="0" fontId="9" fillId="25" borderId="82" xfId="103" applyFont="1" applyFill="1" applyBorder="1" applyAlignment="1">
      <alignment horizontal="center" vertical="center" wrapText="1"/>
      <protection/>
    </xf>
    <xf numFmtId="0" fontId="3" fillId="0" borderId="83" xfId="0" applyFont="1" applyBorder="1" applyAlignment="1">
      <alignment horizontal="center" wrapText="1"/>
    </xf>
    <xf numFmtId="0" fontId="3" fillId="0" borderId="67" xfId="0" applyFont="1" applyBorder="1" applyAlignment="1">
      <alignment horizontal="center" wrapText="1"/>
    </xf>
    <xf numFmtId="0" fontId="3" fillId="0" borderId="66" xfId="0" applyFont="1" applyBorder="1" applyAlignment="1">
      <alignment horizontal="center" wrapText="1"/>
    </xf>
    <xf numFmtId="0" fontId="9" fillId="25" borderId="113" xfId="103" applyFont="1" applyFill="1" applyBorder="1" applyAlignment="1">
      <alignment horizontal="center" vertical="center" wrapText="1"/>
      <protection/>
    </xf>
    <xf numFmtId="0" fontId="9" fillId="25" borderId="114" xfId="103" applyFont="1" applyFill="1" applyBorder="1" applyAlignment="1">
      <alignment horizontal="center" vertical="center" wrapText="1"/>
      <protection/>
    </xf>
    <xf numFmtId="0" fontId="9" fillId="25" borderId="86" xfId="103" applyFont="1" applyFill="1" applyBorder="1" applyAlignment="1">
      <alignment horizontal="center" vertical="center" wrapText="1"/>
      <protection/>
    </xf>
    <xf numFmtId="0" fontId="9" fillId="4" borderId="27" xfId="103" applyFont="1" applyFill="1" applyBorder="1" applyAlignment="1">
      <alignment horizontal="center" vertical="center" wrapText="1"/>
      <protection/>
    </xf>
    <xf numFmtId="0" fontId="9" fillId="4" borderId="36" xfId="103" applyFont="1" applyFill="1" applyBorder="1" applyAlignment="1">
      <alignment horizontal="center" vertical="center" wrapText="1"/>
      <protection/>
    </xf>
    <xf numFmtId="0" fontId="9" fillId="4" borderId="79" xfId="103" applyFont="1" applyFill="1" applyBorder="1" applyAlignment="1">
      <alignment horizontal="center" vertical="center" wrapText="1"/>
      <protection/>
    </xf>
    <xf numFmtId="0" fontId="9" fillId="4" borderId="74" xfId="103" applyFont="1" applyFill="1" applyBorder="1" applyAlignment="1">
      <alignment horizontal="center" vertical="center" wrapText="1"/>
      <protection/>
    </xf>
    <xf numFmtId="0" fontId="20" fillId="25" borderId="81" xfId="103" applyFont="1" applyFill="1" applyBorder="1" applyAlignment="1">
      <alignment horizontal="center" vertical="center" wrapText="1"/>
      <protection/>
    </xf>
    <xf numFmtId="0" fontId="2" fillId="0" borderId="34" xfId="0" applyFont="1" applyBorder="1" applyAlignment="1">
      <alignment horizontal="center" wrapText="1"/>
    </xf>
    <xf numFmtId="0" fontId="9" fillId="25" borderId="80" xfId="103" applyFont="1" applyFill="1" applyBorder="1" applyAlignment="1">
      <alignment horizontal="center" vertical="center" wrapText="1"/>
      <protection/>
    </xf>
    <xf numFmtId="0" fontId="3" fillId="0" borderId="65" xfId="0" applyFont="1" applyBorder="1" applyAlignment="1">
      <alignment horizontal="center" vertical="center" wrapText="1"/>
    </xf>
    <xf numFmtId="0" fontId="9" fillId="25" borderId="81" xfId="103" applyFont="1" applyFill="1" applyBorder="1" applyAlignment="1">
      <alignment horizontal="center" vertical="center" wrapText="1"/>
      <protection/>
    </xf>
    <xf numFmtId="0" fontId="3" fillId="0" borderId="34" xfId="0" applyFont="1" applyBorder="1" applyAlignment="1">
      <alignment horizontal="center" vertical="center" wrapText="1"/>
    </xf>
    <xf numFmtId="0" fontId="12" fillId="4" borderId="12" xfId="130" applyFont="1" applyFill="1" applyBorder="1" applyAlignment="1">
      <alignment horizontal="center" vertical="center" wrapText="1"/>
      <protection/>
    </xf>
    <xf numFmtId="0" fontId="12" fillId="4" borderId="15" xfId="130" applyFont="1" applyFill="1" applyBorder="1" applyAlignment="1">
      <alignment horizontal="center" vertical="center" wrapText="1"/>
      <protection/>
    </xf>
    <xf numFmtId="0" fontId="12" fillId="4" borderId="13" xfId="130" applyFont="1" applyFill="1" applyBorder="1" applyAlignment="1">
      <alignment horizontal="center" vertical="center" wrapText="1"/>
      <protection/>
    </xf>
    <xf numFmtId="3" fontId="14" fillId="0" borderId="36" xfId="120" applyNumberFormat="1" applyFont="1" applyBorder="1" applyAlignment="1">
      <alignment vertical="center"/>
      <protection/>
    </xf>
    <xf numFmtId="3" fontId="14" fillId="0" borderId="74" xfId="120" applyNumberFormat="1" applyFont="1" applyBorder="1" applyAlignment="1">
      <alignment vertical="center"/>
      <protection/>
    </xf>
    <xf numFmtId="0" fontId="12" fillId="25" borderId="113" xfId="130" applyFont="1" applyFill="1" applyBorder="1" applyAlignment="1">
      <alignment horizontal="center" vertical="center" wrapText="1"/>
      <protection/>
    </xf>
    <xf numFmtId="0" fontId="12" fillId="25" borderId="114" xfId="130" applyFont="1" applyFill="1" applyBorder="1" applyAlignment="1">
      <alignment horizontal="center" vertical="center" wrapText="1"/>
      <protection/>
    </xf>
    <xf numFmtId="0" fontId="12" fillId="25" borderId="115" xfId="130" applyFont="1" applyFill="1" applyBorder="1" applyAlignment="1">
      <alignment horizontal="center" vertical="center" wrapText="1"/>
      <protection/>
    </xf>
    <xf numFmtId="0" fontId="12" fillId="25" borderId="81" xfId="130" applyFont="1" applyFill="1" applyBorder="1" applyAlignment="1">
      <alignment horizontal="center" vertical="center" wrapText="1"/>
      <protection/>
    </xf>
    <xf numFmtId="0" fontId="0" fillId="0" borderId="116" xfId="0" applyBorder="1" applyAlignment="1">
      <alignment horizontal="center" vertical="center" wrapText="1"/>
    </xf>
    <xf numFmtId="0" fontId="9" fillId="4" borderId="10" xfId="116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8" xfId="116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wrapText="1"/>
    </xf>
    <xf numFmtId="0" fontId="20" fillId="4" borderId="18" xfId="116" applyFont="1" applyFill="1" applyBorder="1" applyAlignment="1">
      <alignment horizontal="center" vertical="center" wrapText="1"/>
      <protection/>
    </xf>
    <xf numFmtId="0" fontId="20" fillId="4" borderId="14" xfId="116" applyFont="1" applyFill="1" applyBorder="1" applyAlignment="1">
      <alignment horizontal="center" vertical="center" wrapText="1"/>
      <protection/>
    </xf>
    <xf numFmtId="3" fontId="16" fillId="25" borderId="117" xfId="117" applyNumberFormat="1" applyFont="1" applyFill="1" applyBorder="1" applyAlignment="1">
      <alignment horizontal="center" vertical="center" wrapText="1"/>
      <protection/>
    </xf>
    <xf numFmtId="0" fontId="0" fillId="0" borderId="118" xfId="0" applyBorder="1" applyAlignment="1">
      <alignment horizontal="center" vertical="center" wrapText="1"/>
    </xf>
    <xf numFmtId="3" fontId="16" fillId="25" borderId="27" xfId="117" applyNumberFormat="1" applyFont="1" applyFill="1" applyBorder="1" applyAlignment="1">
      <alignment horizontal="center" vertical="center" wrapText="1"/>
      <protection/>
    </xf>
    <xf numFmtId="3" fontId="16" fillId="25" borderId="119" xfId="117" applyNumberFormat="1" applyFont="1" applyFill="1" applyBorder="1" applyAlignment="1">
      <alignment horizontal="center" vertical="center" wrapText="1"/>
      <protection/>
    </xf>
    <xf numFmtId="3" fontId="16" fillId="25" borderId="86" xfId="117" applyNumberFormat="1" applyFont="1" applyFill="1" applyBorder="1" applyAlignment="1">
      <alignment horizontal="center" vertical="center" wrapText="1"/>
      <protection/>
    </xf>
    <xf numFmtId="3" fontId="16" fillId="25" borderId="80" xfId="117" applyNumberFormat="1" applyFont="1" applyFill="1" applyBorder="1" applyAlignment="1">
      <alignment horizontal="center" wrapText="1"/>
      <protection/>
    </xf>
    <xf numFmtId="3" fontId="16" fillId="25" borderId="81" xfId="117" applyNumberFormat="1" applyFont="1" applyFill="1" applyBorder="1" applyAlignment="1">
      <alignment horizontal="center" vertical="center" wrapText="1"/>
      <protection/>
    </xf>
    <xf numFmtId="3" fontId="16" fillId="25" borderId="34" xfId="117" applyNumberFormat="1" applyFont="1" applyFill="1" applyBorder="1" applyAlignment="1">
      <alignment horizontal="center" vertical="center" wrapText="1"/>
      <protection/>
    </xf>
    <xf numFmtId="3" fontId="16" fillId="25" borderId="120" xfId="117" applyNumberFormat="1" applyFont="1" applyFill="1" applyBorder="1" applyAlignment="1">
      <alignment horizontal="center" vertical="center" wrapText="1"/>
      <protection/>
    </xf>
    <xf numFmtId="3" fontId="16" fillId="25" borderId="121" xfId="117" applyNumberFormat="1" applyFont="1" applyFill="1" applyBorder="1" applyAlignment="1">
      <alignment horizontal="center" vertical="center" wrapText="1"/>
      <protection/>
    </xf>
    <xf numFmtId="3" fontId="16" fillId="25" borderId="122" xfId="117" applyNumberFormat="1" applyFont="1" applyFill="1" applyBorder="1" applyAlignment="1">
      <alignment horizontal="center" vertical="center" wrapText="1"/>
      <protection/>
    </xf>
    <xf numFmtId="3" fontId="16" fillId="25" borderId="123" xfId="117" applyNumberFormat="1" applyFont="1" applyFill="1" applyBorder="1" applyAlignment="1">
      <alignment horizontal="center" vertical="center" wrapText="1"/>
      <protection/>
    </xf>
    <xf numFmtId="3" fontId="16" fillId="25" borderId="30" xfId="117" applyNumberFormat="1" applyFont="1" applyFill="1" applyBorder="1" applyAlignment="1">
      <alignment horizontal="center" vertical="center" wrapText="1"/>
      <protection/>
    </xf>
    <xf numFmtId="3" fontId="16" fillId="25" borderId="35" xfId="117" applyNumberFormat="1" applyFont="1" applyFill="1" applyBorder="1" applyAlignment="1">
      <alignment horizontal="center" vertical="center" wrapText="1"/>
      <protection/>
    </xf>
    <xf numFmtId="0" fontId="75" fillId="0" borderId="0" xfId="119" applyFont="1" applyAlignment="1">
      <alignment horizontal="center"/>
      <protection/>
    </xf>
    <xf numFmtId="3" fontId="9" fillId="4" borderId="124" xfId="113" applyNumberFormat="1" applyFont="1" applyFill="1" applyBorder="1" applyAlignment="1">
      <alignment horizontal="center" vertical="center" wrapText="1"/>
      <protection/>
    </xf>
    <xf numFmtId="0" fontId="9" fillId="0" borderId="125" xfId="0" applyFont="1" applyBorder="1" applyAlignment="1">
      <alignment/>
    </xf>
    <xf numFmtId="0" fontId="9" fillId="0" borderId="126" xfId="0" applyFont="1" applyBorder="1" applyAlignment="1">
      <alignment/>
    </xf>
    <xf numFmtId="0" fontId="9" fillId="4" borderId="38" xfId="113" applyFont="1" applyFill="1" applyBorder="1" applyAlignment="1">
      <alignment horizontal="center" vertical="center" wrapText="1"/>
      <protection/>
    </xf>
    <xf numFmtId="0" fontId="9" fillId="4" borderId="127" xfId="0" applyFont="1" applyFill="1" applyBorder="1" applyAlignment="1">
      <alignment horizontal="center" vertical="center" wrapText="1"/>
    </xf>
    <xf numFmtId="0" fontId="9" fillId="4" borderId="39" xfId="0" applyFont="1" applyFill="1" applyBorder="1" applyAlignment="1">
      <alignment horizontal="center" vertical="center" wrapText="1"/>
    </xf>
    <xf numFmtId="0" fontId="9" fillId="4" borderId="124" xfId="113" applyFont="1" applyFill="1" applyBorder="1" applyAlignment="1">
      <alignment horizontal="center" vertical="center" wrapText="1"/>
      <protection/>
    </xf>
    <xf numFmtId="0" fontId="9" fillId="4" borderId="10" xfId="113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wrapText="1"/>
    </xf>
    <xf numFmtId="3" fontId="9" fillId="4" borderId="128" xfId="113" applyNumberFormat="1" applyFont="1" applyFill="1" applyBorder="1" applyAlignment="1">
      <alignment horizontal="center" vertical="center" wrapText="1"/>
      <protection/>
    </xf>
    <xf numFmtId="0" fontId="9" fillId="0" borderId="97" xfId="0" applyFont="1" applyBorder="1" applyAlignment="1">
      <alignment/>
    </xf>
    <xf numFmtId="0" fontId="9" fillId="0" borderId="129" xfId="0" applyFont="1" applyBorder="1" applyAlignment="1">
      <alignment/>
    </xf>
    <xf numFmtId="0" fontId="9" fillId="4" borderId="10" xfId="113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/>
    </xf>
    <xf numFmtId="0" fontId="8" fillId="0" borderId="36" xfId="101" applyFont="1" applyFill="1" applyBorder="1" applyAlignment="1">
      <alignment vertical="center"/>
      <protection/>
    </xf>
    <xf numFmtId="0" fontId="13" fillId="0" borderId="12" xfId="129" applyFont="1" applyFill="1" applyBorder="1" applyAlignment="1">
      <alignment vertical="center" wrapText="1"/>
      <protection/>
    </xf>
    <xf numFmtId="0" fontId="13" fillId="0" borderId="0" xfId="129" applyFont="1" applyFill="1" applyBorder="1" applyAlignment="1">
      <alignment vertical="center" wrapText="1"/>
      <protection/>
    </xf>
    <xf numFmtId="0" fontId="8" fillId="0" borderId="10" xfId="129" applyFont="1" applyFill="1" applyBorder="1" applyAlignment="1">
      <alignment vertical="center" wrapText="1"/>
      <protection/>
    </xf>
    <xf numFmtId="0" fontId="13" fillId="0" borderId="40" xfId="122" applyFont="1" applyFill="1" applyBorder="1" applyAlignment="1">
      <alignment vertical="center" wrapText="1"/>
      <protection/>
    </xf>
    <xf numFmtId="0" fontId="8" fillId="0" borderId="130" xfId="103" applyFont="1" applyFill="1" applyBorder="1" applyAlignment="1">
      <alignment horizontal="left" vertical="top" wrapText="1"/>
      <protection/>
    </xf>
    <xf numFmtId="0" fontId="8" fillId="0" borderId="131" xfId="103" applyFont="1" applyFill="1" applyBorder="1" applyAlignment="1">
      <alignment horizontal="left" vertical="top" wrapText="1"/>
      <protection/>
    </xf>
    <xf numFmtId="0" fontId="8" fillId="0" borderId="132" xfId="103" applyFont="1" applyFill="1" applyBorder="1" applyAlignment="1">
      <alignment horizontal="left" vertical="top" wrapText="1"/>
      <protection/>
    </xf>
    <xf numFmtId="0" fontId="8" fillId="0" borderId="133" xfId="103" applyFont="1" applyFill="1" applyBorder="1" applyAlignment="1">
      <alignment horizontal="left" vertical="top" wrapText="1"/>
      <protection/>
    </xf>
    <xf numFmtId="0" fontId="8" fillId="0" borderId="12" xfId="122" applyFont="1" applyFill="1" applyBorder="1" applyAlignment="1">
      <alignment horizontal="left" vertical="center" wrapText="1"/>
      <protection/>
    </xf>
    <xf numFmtId="0" fontId="8" fillId="0" borderId="13" xfId="122" applyFont="1" applyFill="1" applyBorder="1" applyAlignment="1">
      <alignment horizontal="left" vertical="center" wrapText="1"/>
      <protection/>
    </xf>
  </cellXfs>
  <cellStyles count="13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Kimenet" xfId="87"/>
    <cellStyle name="Linked Cell" xfId="88"/>
    <cellStyle name="Magyarázó szöveg" xfId="89"/>
    <cellStyle name="Followed Hyperlink" xfId="90"/>
    <cellStyle name="Neutral" xfId="91"/>
    <cellStyle name="Normál 2" xfId="92"/>
    <cellStyle name="Normál_   5    (2)" xfId="93"/>
    <cellStyle name="Normál_   5    (2) 2" xfId="94"/>
    <cellStyle name="Normál_   5    (2)_7" xfId="95"/>
    <cellStyle name="Normál_   5    (2)_Másolat eredetije2014. műk-beru-felúj." xfId="96"/>
    <cellStyle name="Normál_   5-a    (2)" xfId="97"/>
    <cellStyle name="Normál_   7   x" xfId="98"/>
    <cellStyle name="Normál_   7   x_2012. III.negyedévi ei. módosítás" xfId="99"/>
    <cellStyle name="Normál_   7   x_2014_ktsv tervezet_btcs" xfId="100"/>
    <cellStyle name="Normál_   7   x_7" xfId="101"/>
    <cellStyle name="Normál_   7   x_KÖLTSÉGVETÉS_2013 (1)" xfId="102"/>
    <cellStyle name="Normál_   7   x_Másolat eredetije2014. műk-beru-felúj." xfId="103"/>
    <cellStyle name="Normál_  3   _2010.évi állami" xfId="104"/>
    <cellStyle name="Normál_16.sz. melléklet" xfId="105"/>
    <cellStyle name="Normál_18. sz. melléklet" xfId="106"/>
    <cellStyle name="Normál_2012. évi beszámoló 5.a 6a" xfId="107"/>
    <cellStyle name="Normál_2012_költségvetés_MCS_111215_Másolat eredetije2014. műk-beru-felúj." xfId="108"/>
    <cellStyle name="Normál_213_évi_költségvetés_MCS" xfId="109"/>
    <cellStyle name="Normál_7_Másolat eredetije2014. műk-beru-felúj." xfId="110"/>
    <cellStyle name="Normál_8_Másolat eredetije2014. műk-beru-felúj." xfId="111"/>
    <cellStyle name="Normál_Beillesztendő 17. tábla 2013.IV.név" xfId="112"/>
    <cellStyle name="Normál_Európai Uniós pályázatok 2009.01.15. átdolgozott" xfId="113"/>
    <cellStyle name="Normál_Hitelek 2014" xfId="114"/>
    <cellStyle name="Normál_Intézmények 2014" xfId="115"/>
    <cellStyle name="Normál_INTKIA96" xfId="116"/>
    <cellStyle name="Normál_KÖLTSÉGVETÉS_2013 (1)" xfId="117"/>
    <cellStyle name="Normál_KTGVTERV" xfId="118"/>
    <cellStyle name="Normál_Létszám 2014. évi ktgvetés" xfId="119"/>
    <cellStyle name="Normál_Másolat eredetije2014. műk-beru-felúj." xfId="120"/>
    <cellStyle name="Normál_Munka1" xfId="121"/>
    <cellStyle name="Normál_Munka2 (2)" xfId="122"/>
    <cellStyle name="Normál_Munka2 (2)_2012. évi beszámoló 5.a 6a" xfId="123"/>
    <cellStyle name="Normál_Munka2 (2)_KÖLTSÉGVETÉS_2013 (1)" xfId="124"/>
    <cellStyle name="Normál_Munka3 (2)" xfId="125"/>
    <cellStyle name="Normál_Munka3 (2)_2014 II negyedévi ei  módosítás" xfId="126"/>
    <cellStyle name="Normál_Munka3 (2)_2014 III negyedévi ei  módosítás" xfId="127"/>
    <cellStyle name="Normál_Munka3 (2)_2014.I.negyedévi ei. módosítás" xfId="128"/>
    <cellStyle name="Normál_Munka3 (2)_Másolat eredetije2014 utolsó ei  módosítás" xfId="129"/>
    <cellStyle name="Normál_Munka3 (2)_Másolat eredetije2014. műk-beru-felúj." xfId="130"/>
    <cellStyle name="Normál_Munka3 (2)_Táblák_2014 IV negyedévi ei  módosítás" xfId="131"/>
    <cellStyle name="Normál_ÖKIADELÖ" xfId="132"/>
    <cellStyle name="Normál_ÖKIADELÖ_Másolat eredetije2014. műk-beru-felúj." xfId="133"/>
    <cellStyle name="Normal_tanusitv" xfId="134"/>
    <cellStyle name="Note" xfId="135"/>
    <cellStyle name="Output" xfId="136"/>
    <cellStyle name="Összesen" xfId="137"/>
    <cellStyle name="Currency" xfId="138"/>
    <cellStyle name="Currency [0]" xfId="139"/>
    <cellStyle name="Rossz" xfId="140"/>
    <cellStyle name="Semleges" xfId="141"/>
    <cellStyle name="Számítás" xfId="142"/>
    <cellStyle name="Percent" xfId="143"/>
    <cellStyle name="Title" xfId="144"/>
    <cellStyle name="Total" xfId="145"/>
    <cellStyle name="Warning Text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externalLink" Target="externalLinks/externalLink5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Andi\K&#246;zl&#246;ny\2014\0523\2014.I.negyed&#233;vi%20ei.%20m&#243;dos&#237;t&#225;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Andi\K&#246;zl&#246;ny\2014\0627\2014%20II%20negyed&#233;vi%20ei%20%20m&#243;dos&#237;t&#225;s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Andi\K&#246;zl&#246;ny\2014\0922\2014%20III%20negyed&#233;vi%20ei%20%20m&#243;dos&#237;t&#225;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Andi\K&#246;zl&#246;ny\2014\1219\T&#225;bl&#225;k_2014%20IV%20negyed&#233;vi%20ei%20%20m&#243;dos&#237;t&#225;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Andi\K&#246;zl&#246;ny\2015\0205_k&#246;lts&#233;gvet&#233;s\M&#225;solat%20eredetije2014%20utols&#243;%20ei%20%20m&#243;dos&#237;t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táj.1."/>
      <sheetName val="táj.2."/>
    </sheetNames>
    <sheetDataSet>
      <sheetData sheetId="6">
        <row r="7">
          <cell r="J7">
            <v>0</v>
          </cell>
          <cell r="K7">
            <v>0</v>
          </cell>
        </row>
        <row r="32">
          <cell r="J32">
            <v>42600</v>
          </cell>
          <cell r="K32">
            <v>16200</v>
          </cell>
        </row>
        <row r="121">
          <cell r="J121">
            <v>30299</v>
          </cell>
          <cell r="K121">
            <v>248324</v>
          </cell>
        </row>
        <row r="231">
          <cell r="J231">
            <v>307743</v>
          </cell>
          <cell r="K231">
            <v>6368</v>
          </cell>
        </row>
        <row r="241">
          <cell r="J241">
            <v>560</v>
          </cell>
          <cell r="K241">
            <v>-300</v>
          </cell>
        </row>
        <row r="244">
          <cell r="J244">
            <v>0</v>
          </cell>
          <cell r="K244">
            <v>0</v>
          </cell>
        </row>
        <row r="250">
          <cell r="J250">
            <v>0</v>
          </cell>
          <cell r="K250">
            <v>7550</v>
          </cell>
        </row>
        <row r="253">
          <cell r="J253">
            <v>250</v>
          </cell>
          <cell r="K253">
            <v>0</v>
          </cell>
        </row>
        <row r="256">
          <cell r="J256">
            <v>0</v>
          </cell>
        </row>
      </sheetData>
      <sheetData sheetId="7">
        <row r="44">
          <cell r="J44">
            <v>-2500</v>
          </cell>
          <cell r="K44">
            <v>2500</v>
          </cell>
        </row>
        <row r="155">
          <cell r="J155">
            <v>2456</v>
          </cell>
          <cell r="K155">
            <v>4300</v>
          </cell>
        </row>
        <row r="175">
          <cell r="J175">
            <v>7292</v>
          </cell>
          <cell r="K175">
            <v>0</v>
          </cell>
        </row>
        <row r="181">
          <cell r="J181">
            <v>0</v>
          </cell>
          <cell r="K181">
            <v>13970</v>
          </cell>
        </row>
        <row r="185">
          <cell r="K185">
            <v>0</v>
          </cell>
        </row>
      </sheetData>
      <sheetData sheetId="13">
        <row r="20">
          <cell r="C20">
            <v>40614</v>
          </cell>
          <cell r="D20">
            <v>37876</v>
          </cell>
          <cell r="E20">
            <v>0</v>
          </cell>
          <cell r="F20">
            <v>10900</v>
          </cell>
          <cell r="G20">
            <v>0</v>
          </cell>
          <cell r="H20">
            <v>394</v>
          </cell>
          <cell r="I20">
            <v>0</v>
          </cell>
          <cell r="J20">
            <v>200339</v>
          </cell>
          <cell r="L20">
            <v>0</v>
          </cell>
        </row>
      </sheetData>
      <sheetData sheetId="14">
        <row r="20">
          <cell r="C20">
            <v>66585</v>
          </cell>
          <cell r="D20">
            <v>12329</v>
          </cell>
          <cell r="E20">
            <v>142599</v>
          </cell>
          <cell r="F20">
            <v>0</v>
          </cell>
          <cell r="G20">
            <v>7966</v>
          </cell>
          <cell r="H20">
            <v>73182</v>
          </cell>
          <cell r="I20">
            <v>29876</v>
          </cell>
          <cell r="J2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táj.1."/>
      <sheetName val="táj.2."/>
    </sheetNames>
    <sheetDataSet>
      <sheetData sheetId="6">
        <row r="7">
          <cell r="J7">
            <v>0</v>
          </cell>
          <cell r="K7">
            <v>0</v>
          </cell>
        </row>
        <row r="33">
          <cell r="J33">
            <v>20682</v>
          </cell>
          <cell r="K33">
            <v>0</v>
          </cell>
        </row>
        <row r="123">
          <cell r="J123">
            <v>6757</v>
          </cell>
          <cell r="K123">
            <v>-33986</v>
          </cell>
        </row>
        <row r="234">
          <cell r="J234">
            <v>-42384</v>
          </cell>
          <cell r="K234">
            <v>0</v>
          </cell>
        </row>
        <row r="245">
          <cell r="J245">
            <v>2500</v>
          </cell>
          <cell r="K245">
            <v>0</v>
          </cell>
        </row>
        <row r="248">
          <cell r="J248">
            <v>0</v>
          </cell>
          <cell r="K248">
            <v>0</v>
          </cell>
        </row>
        <row r="255">
          <cell r="J255">
            <v>0</v>
          </cell>
          <cell r="K255">
            <v>0</v>
          </cell>
        </row>
        <row r="258">
          <cell r="J258">
            <v>0</v>
          </cell>
          <cell r="K258">
            <v>130</v>
          </cell>
        </row>
        <row r="261">
          <cell r="J261">
            <v>0</v>
          </cell>
        </row>
      </sheetData>
      <sheetData sheetId="7">
        <row r="48">
          <cell r="J48">
            <v>-17000</v>
          </cell>
          <cell r="K48">
            <v>17000</v>
          </cell>
        </row>
        <row r="159">
          <cell r="J159">
            <v>-2219</v>
          </cell>
          <cell r="K159">
            <v>0</v>
          </cell>
        </row>
        <row r="179">
          <cell r="J179">
            <v>0</v>
          </cell>
          <cell r="K179">
            <v>0</v>
          </cell>
        </row>
        <row r="185">
          <cell r="J185">
            <v>0</v>
          </cell>
          <cell r="K185">
            <v>0</v>
          </cell>
        </row>
        <row r="189">
          <cell r="K189">
            <v>0</v>
          </cell>
        </row>
      </sheetData>
      <sheetData sheetId="12">
        <row r="20">
          <cell r="C20">
            <v>35902</v>
          </cell>
          <cell r="D20">
            <v>18200</v>
          </cell>
          <cell r="E20">
            <v>0</v>
          </cell>
          <cell r="F20">
            <v>3190</v>
          </cell>
          <cell r="G20">
            <v>400</v>
          </cell>
          <cell r="H20">
            <v>60</v>
          </cell>
          <cell r="I20">
            <v>0</v>
          </cell>
          <cell r="J20">
            <v>0</v>
          </cell>
          <cell r="L20">
            <v>0</v>
          </cell>
        </row>
      </sheetData>
      <sheetData sheetId="13">
        <row r="20">
          <cell r="C20">
            <v>16790</v>
          </cell>
          <cell r="D20">
            <v>581</v>
          </cell>
          <cell r="E20">
            <v>3585</v>
          </cell>
          <cell r="F20">
            <v>0</v>
          </cell>
          <cell r="G20">
            <v>1379</v>
          </cell>
          <cell r="H20">
            <v>37742</v>
          </cell>
          <cell r="I20">
            <v>7528</v>
          </cell>
          <cell r="J2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táj.1."/>
      <sheetName val="táj.2."/>
    </sheetNames>
    <sheetDataSet>
      <sheetData sheetId="6">
        <row r="7">
          <cell r="J7">
            <v>0</v>
          </cell>
          <cell r="K7">
            <v>0</v>
          </cell>
        </row>
        <row r="34">
          <cell r="J34">
            <v>-158902</v>
          </cell>
          <cell r="K34">
            <v>54902</v>
          </cell>
        </row>
        <row r="129">
          <cell r="J129">
            <v>-57420</v>
          </cell>
          <cell r="K129">
            <v>58118</v>
          </cell>
        </row>
        <row r="241">
          <cell r="J241">
            <v>-42044</v>
          </cell>
          <cell r="K241">
            <v>2173</v>
          </cell>
        </row>
        <row r="252">
          <cell r="J252">
            <v>0</v>
          </cell>
          <cell r="K252">
            <v>0</v>
          </cell>
        </row>
        <row r="255">
          <cell r="J255">
            <v>0</v>
          </cell>
          <cell r="K255">
            <v>0</v>
          </cell>
        </row>
        <row r="263">
          <cell r="J263">
            <v>0</v>
          </cell>
          <cell r="K263">
            <v>-46</v>
          </cell>
        </row>
        <row r="268">
          <cell r="J268">
            <v>212</v>
          </cell>
          <cell r="K268">
            <v>4935</v>
          </cell>
        </row>
        <row r="271">
          <cell r="J271">
            <v>0</v>
          </cell>
        </row>
      </sheetData>
      <sheetData sheetId="7">
        <row r="50">
          <cell r="J50">
            <v>7063</v>
          </cell>
          <cell r="K50">
            <v>1567</v>
          </cell>
        </row>
        <row r="171">
          <cell r="J171">
            <v>4171</v>
          </cell>
          <cell r="K171">
            <v>5400</v>
          </cell>
        </row>
        <row r="194">
          <cell r="J194">
            <v>81041</v>
          </cell>
          <cell r="K194">
            <v>3000</v>
          </cell>
        </row>
        <row r="200">
          <cell r="J200">
            <v>0</v>
          </cell>
          <cell r="K200">
            <v>0</v>
          </cell>
        </row>
        <row r="204">
          <cell r="K204">
            <v>0</v>
          </cell>
        </row>
        <row r="207">
          <cell r="J207">
            <v>-1367</v>
          </cell>
        </row>
      </sheetData>
      <sheetData sheetId="12">
        <row r="20">
          <cell r="C20">
            <v>31192</v>
          </cell>
          <cell r="D20">
            <v>10580</v>
          </cell>
          <cell r="E20">
            <v>0</v>
          </cell>
          <cell r="F20">
            <v>29820</v>
          </cell>
          <cell r="G20">
            <v>0</v>
          </cell>
          <cell r="H20">
            <v>4074</v>
          </cell>
          <cell r="I20">
            <v>0</v>
          </cell>
          <cell r="J20">
            <v>5255</v>
          </cell>
          <cell r="L20">
            <v>0</v>
          </cell>
        </row>
      </sheetData>
      <sheetData sheetId="13">
        <row r="20">
          <cell r="C20">
            <v>53927</v>
          </cell>
          <cell r="D20">
            <v>3270</v>
          </cell>
          <cell r="E20">
            <v>44390</v>
          </cell>
          <cell r="F20">
            <v>0</v>
          </cell>
          <cell r="G20">
            <v>3250</v>
          </cell>
          <cell r="H20">
            <v>23912</v>
          </cell>
          <cell r="I20">
            <v>660</v>
          </cell>
          <cell r="J2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táj.1."/>
      <sheetName val="táj.2."/>
    </sheetNames>
    <sheetDataSet>
      <sheetData sheetId="6">
        <row r="8">
          <cell r="J8">
            <v>0</v>
          </cell>
          <cell r="K8">
            <v>-5595</v>
          </cell>
        </row>
        <row r="37">
          <cell r="J37">
            <v>24839</v>
          </cell>
          <cell r="K37">
            <v>-15903</v>
          </cell>
        </row>
        <row r="134">
          <cell r="J134">
            <v>-3986</v>
          </cell>
          <cell r="K134">
            <v>-206514</v>
          </cell>
        </row>
        <row r="246">
          <cell r="J246">
            <v>-505661</v>
          </cell>
          <cell r="K246">
            <v>-130</v>
          </cell>
        </row>
        <row r="259">
          <cell r="J259">
            <v>3299</v>
          </cell>
          <cell r="K259">
            <v>0</v>
          </cell>
        </row>
        <row r="262">
          <cell r="J262">
            <v>0</v>
          </cell>
          <cell r="K262">
            <v>0</v>
          </cell>
        </row>
        <row r="271">
          <cell r="J271">
            <v>0</v>
          </cell>
          <cell r="K271">
            <v>800</v>
          </cell>
        </row>
        <row r="277">
          <cell r="J277">
            <v>0</v>
          </cell>
          <cell r="K277">
            <v>107736</v>
          </cell>
        </row>
        <row r="280">
          <cell r="J280">
            <v>0</v>
          </cell>
        </row>
      </sheetData>
      <sheetData sheetId="7">
        <row r="52">
          <cell r="J52">
            <v>6805</v>
          </cell>
          <cell r="K52">
            <v>1000</v>
          </cell>
        </row>
        <row r="177">
          <cell r="J177">
            <v>255595</v>
          </cell>
          <cell r="K177">
            <v>207514</v>
          </cell>
        </row>
        <row r="202">
          <cell r="J202">
            <v>228540</v>
          </cell>
          <cell r="K202">
            <v>0</v>
          </cell>
        </row>
        <row r="211">
          <cell r="J211">
            <v>373</v>
          </cell>
          <cell r="K211">
            <v>3868</v>
          </cell>
        </row>
        <row r="215">
          <cell r="K215">
            <v>0</v>
          </cell>
        </row>
        <row r="218">
          <cell r="J218">
            <v>-882</v>
          </cell>
        </row>
      </sheetData>
      <sheetData sheetId="13">
        <row r="20">
          <cell r="C20">
            <v>58184</v>
          </cell>
          <cell r="D20">
            <v>6235</v>
          </cell>
          <cell r="E20">
            <v>0</v>
          </cell>
          <cell r="F20">
            <v>33125</v>
          </cell>
          <cell r="G20">
            <v>264</v>
          </cell>
          <cell r="H20">
            <v>5437</v>
          </cell>
          <cell r="I20">
            <v>0</v>
          </cell>
          <cell r="J20">
            <v>0</v>
          </cell>
          <cell r="L20">
            <v>0</v>
          </cell>
        </row>
      </sheetData>
      <sheetData sheetId="14">
        <row r="20">
          <cell r="C20">
            <v>62241</v>
          </cell>
          <cell r="D20">
            <v>27747</v>
          </cell>
          <cell r="E20">
            <v>-42424</v>
          </cell>
          <cell r="F20">
            <v>0</v>
          </cell>
          <cell r="G20">
            <v>-631</v>
          </cell>
          <cell r="H20">
            <v>17264</v>
          </cell>
          <cell r="I20">
            <v>47865</v>
          </cell>
          <cell r="J20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táj.1."/>
      <sheetName val="táj.2."/>
    </sheetNames>
    <sheetDataSet>
      <sheetData sheetId="6">
        <row r="8">
          <cell r="J8">
            <v>0</v>
          </cell>
          <cell r="K8">
            <v>0</v>
          </cell>
        </row>
        <row r="38">
          <cell r="J38">
            <v>-406</v>
          </cell>
          <cell r="K38">
            <v>100</v>
          </cell>
        </row>
        <row r="135">
          <cell r="J135">
            <v>-3972</v>
          </cell>
          <cell r="K135">
            <v>0</v>
          </cell>
        </row>
        <row r="248">
          <cell r="J248">
            <v>-48386</v>
          </cell>
          <cell r="K248">
            <v>0</v>
          </cell>
        </row>
        <row r="261">
          <cell r="J261">
            <v>1200</v>
          </cell>
          <cell r="K261">
            <v>0</v>
          </cell>
        </row>
        <row r="264">
          <cell r="J264">
            <v>0</v>
          </cell>
          <cell r="K264">
            <v>0</v>
          </cell>
        </row>
        <row r="273">
          <cell r="J273">
            <v>0</v>
          </cell>
          <cell r="K273">
            <v>-4160</v>
          </cell>
        </row>
        <row r="279">
          <cell r="J279">
            <v>288</v>
          </cell>
          <cell r="K279">
            <v>20</v>
          </cell>
        </row>
        <row r="282">
          <cell r="J282">
            <v>4160</v>
          </cell>
        </row>
      </sheetData>
      <sheetData sheetId="7">
        <row r="52">
          <cell r="J52">
            <v>1522</v>
          </cell>
          <cell r="K52">
            <v>0</v>
          </cell>
        </row>
        <row r="178">
          <cell r="J178">
            <v>2221</v>
          </cell>
          <cell r="K178">
            <v>0</v>
          </cell>
        </row>
        <row r="203">
          <cell r="J203">
            <v>-221</v>
          </cell>
          <cell r="K203">
            <v>0</v>
          </cell>
        </row>
        <row r="212">
          <cell r="J212">
            <v>0</v>
          </cell>
          <cell r="K212">
            <v>0</v>
          </cell>
        </row>
        <row r="216">
          <cell r="K216">
            <v>0</v>
          </cell>
        </row>
        <row r="219">
          <cell r="J219">
            <v>-1522</v>
          </cell>
        </row>
      </sheetData>
      <sheetData sheetId="10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11835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8">
          <cell r="E18">
            <v>0</v>
          </cell>
          <cell r="G18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1200</v>
          </cell>
          <cell r="I24">
            <v>0</v>
          </cell>
          <cell r="J24">
            <v>0</v>
          </cell>
          <cell r="K24">
            <v>0</v>
          </cell>
          <cell r="L24">
            <v>-40321</v>
          </cell>
          <cell r="M24">
            <v>40321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1605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8">
          <cell r="D38">
            <v>1</v>
          </cell>
          <cell r="E38">
            <v>800000</v>
          </cell>
          <cell r="F38">
            <v>-25000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-165857</v>
          </cell>
          <cell r="M38">
            <v>165857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</sheetData>
      <sheetData sheetId="12">
        <row r="3">
          <cell r="M3">
            <v>0</v>
          </cell>
        </row>
        <row r="4">
          <cell r="M4">
            <v>0</v>
          </cell>
        </row>
        <row r="5">
          <cell r="D5">
            <v>91</v>
          </cell>
          <cell r="F5">
            <v>2409</v>
          </cell>
          <cell r="M5">
            <v>2500</v>
          </cell>
        </row>
        <row r="6">
          <cell r="M6">
            <v>0</v>
          </cell>
        </row>
        <row r="7">
          <cell r="M7">
            <v>0</v>
          </cell>
        </row>
        <row r="8">
          <cell r="M8">
            <v>0</v>
          </cell>
        </row>
        <row r="9">
          <cell r="M9">
            <v>0</v>
          </cell>
        </row>
        <row r="10">
          <cell r="M10">
            <v>0</v>
          </cell>
        </row>
        <row r="11">
          <cell r="M11">
            <v>0</v>
          </cell>
        </row>
        <row r="12">
          <cell r="M12">
            <v>0</v>
          </cell>
        </row>
        <row r="13">
          <cell r="M13">
            <v>0</v>
          </cell>
        </row>
        <row r="14">
          <cell r="M14">
            <v>0</v>
          </cell>
        </row>
        <row r="15">
          <cell r="F15">
            <v>5588</v>
          </cell>
          <cell r="M15">
            <v>5588</v>
          </cell>
        </row>
        <row r="16">
          <cell r="M16">
            <v>0</v>
          </cell>
        </row>
        <row r="17">
          <cell r="M17">
            <v>0</v>
          </cell>
        </row>
        <row r="18">
          <cell r="F18">
            <v>320</v>
          </cell>
          <cell r="M18">
            <v>320</v>
          </cell>
        </row>
        <row r="19">
          <cell r="M19">
            <v>0</v>
          </cell>
        </row>
        <row r="20">
          <cell r="C20">
            <v>0</v>
          </cell>
          <cell r="D20">
            <v>91</v>
          </cell>
          <cell r="E20">
            <v>0</v>
          </cell>
          <cell r="F20">
            <v>8317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</row>
      </sheetData>
      <sheetData sheetId="13">
        <row r="3">
          <cell r="L3">
            <v>0</v>
          </cell>
        </row>
        <row r="4">
          <cell r="E4">
            <v>-500</v>
          </cell>
          <cell r="G4">
            <v>500</v>
          </cell>
          <cell r="L4">
            <v>0</v>
          </cell>
        </row>
        <row r="5">
          <cell r="E5">
            <v>2418</v>
          </cell>
          <cell r="G5">
            <v>82</v>
          </cell>
          <cell r="L5">
            <v>2500</v>
          </cell>
        </row>
        <row r="6">
          <cell r="L6">
            <v>0</v>
          </cell>
        </row>
        <row r="7">
          <cell r="L7">
            <v>0</v>
          </cell>
        </row>
        <row r="8">
          <cell r="L8">
            <v>0</v>
          </cell>
        </row>
        <row r="9">
          <cell r="L9">
            <v>0</v>
          </cell>
        </row>
        <row r="10">
          <cell r="L10">
            <v>0</v>
          </cell>
        </row>
        <row r="11">
          <cell r="L11">
            <v>0</v>
          </cell>
        </row>
        <row r="12">
          <cell r="C12">
            <v>-3500</v>
          </cell>
          <cell r="D12">
            <v>-500</v>
          </cell>
          <cell r="E12">
            <v>3000</v>
          </cell>
          <cell r="H12">
            <v>1000</v>
          </cell>
          <cell r="L12">
            <v>0</v>
          </cell>
        </row>
        <row r="13">
          <cell r="L13">
            <v>0</v>
          </cell>
        </row>
        <row r="14">
          <cell r="E14">
            <v>-2000</v>
          </cell>
          <cell r="H14">
            <v>2000</v>
          </cell>
          <cell r="L14">
            <v>0</v>
          </cell>
        </row>
        <row r="15">
          <cell r="E15">
            <v>5588</v>
          </cell>
          <cell r="L15">
            <v>5588</v>
          </cell>
        </row>
        <row r="16">
          <cell r="L16">
            <v>0</v>
          </cell>
        </row>
        <row r="17">
          <cell r="L17">
            <v>0</v>
          </cell>
        </row>
        <row r="18">
          <cell r="D18">
            <v>320</v>
          </cell>
          <cell r="E18">
            <v>-200</v>
          </cell>
          <cell r="H18">
            <v>200</v>
          </cell>
          <cell r="L18">
            <v>320</v>
          </cell>
        </row>
        <row r="19">
          <cell r="L19">
            <v>0</v>
          </cell>
        </row>
        <row r="20">
          <cell r="C20">
            <v>-3500</v>
          </cell>
          <cell r="D20">
            <v>-180</v>
          </cell>
          <cell r="E20">
            <v>8306</v>
          </cell>
          <cell r="F20">
            <v>0</v>
          </cell>
          <cell r="G20">
            <v>582</v>
          </cell>
          <cell r="H20">
            <v>3200</v>
          </cell>
          <cell r="I20">
            <v>0</v>
          </cell>
          <cell r="J20">
            <v>0</v>
          </cell>
          <cell r="K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1">
      <selection activeCell="C13" sqref="C13"/>
    </sheetView>
  </sheetViews>
  <sheetFormatPr defaultColWidth="9.00390625" defaultRowHeight="12.75"/>
  <cols>
    <col min="1" max="1" width="39.625" style="26" customWidth="1"/>
    <col min="2" max="3" width="13.625" style="26" customWidth="1"/>
    <col min="4" max="4" width="12.625" style="7" customWidth="1"/>
    <col min="5" max="5" width="2.125" style="23" customWidth="1"/>
    <col min="6" max="6" width="40.125" style="26" customWidth="1"/>
    <col min="7" max="7" width="11.00390625" style="26" customWidth="1"/>
    <col min="8" max="8" width="13.875" style="26" customWidth="1"/>
    <col min="9" max="9" width="12.50390625" style="7" customWidth="1"/>
    <col min="10" max="16384" width="9.375" style="24" customWidth="1"/>
  </cols>
  <sheetData>
    <row r="1" spans="1:9" s="21" customFormat="1" ht="39.75" customHeight="1" thickBot="1">
      <c r="A1" s="736" t="s">
        <v>46</v>
      </c>
      <c r="B1" s="737" t="s">
        <v>1002</v>
      </c>
      <c r="C1" s="737" t="s">
        <v>1003</v>
      </c>
      <c r="D1" s="738" t="s">
        <v>1004</v>
      </c>
      <c r="E1" s="38"/>
      <c r="F1" s="736" t="s">
        <v>46</v>
      </c>
      <c r="G1" s="737" t="s">
        <v>1002</v>
      </c>
      <c r="H1" s="737" t="s">
        <v>1003</v>
      </c>
      <c r="I1" s="738" t="s">
        <v>1004</v>
      </c>
    </row>
    <row r="2" spans="1:9" s="22" customFormat="1" ht="12.75" customHeight="1">
      <c r="A2" s="739" t="s">
        <v>377</v>
      </c>
      <c r="B2" s="740"/>
      <c r="C2" s="740"/>
      <c r="D2" s="18"/>
      <c r="E2" s="39"/>
      <c r="F2" s="739" t="s">
        <v>378</v>
      </c>
      <c r="G2" s="739"/>
      <c r="H2" s="739"/>
      <c r="I2" s="17"/>
    </row>
    <row r="3" spans="1:9" ht="24.75" customHeight="1">
      <c r="A3" s="741" t="s">
        <v>1356</v>
      </c>
      <c r="B3" s="16">
        <v>2820917</v>
      </c>
      <c r="C3" s="741">
        <v>738858</v>
      </c>
      <c r="D3" s="16">
        <f aca="true" t="shared" si="0" ref="D3:D10">SUM(B3:C3)</f>
        <v>3559775</v>
      </c>
      <c r="E3" s="40"/>
      <c r="F3" s="741" t="s">
        <v>413</v>
      </c>
      <c r="G3" s="16">
        <v>6188882</v>
      </c>
      <c r="H3" s="741">
        <v>408792</v>
      </c>
      <c r="I3" s="16">
        <f>SUM(G3:H3)</f>
        <v>6597674</v>
      </c>
    </row>
    <row r="4" spans="1:9" ht="15" customHeight="1">
      <c r="A4" s="741" t="s">
        <v>1358</v>
      </c>
      <c r="B4" s="13">
        <v>3474772</v>
      </c>
      <c r="C4" s="741">
        <v>-21414</v>
      </c>
      <c r="D4" s="16">
        <f t="shared" si="0"/>
        <v>3453358</v>
      </c>
      <c r="E4" s="40"/>
      <c r="F4" s="41" t="s">
        <v>979</v>
      </c>
      <c r="G4" s="16">
        <v>2145619</v>
      </c>
      <c r="H4" s="741">
        <v>788573</v>
      </c>
      <c r="I4" s="16">
        <f>SUM(G4:H4)</f>
        <v>2934192</v>
      </c>
    </row>
    <row r="5" spans="1:9" ht="24.75" customHeight="1">
      <c r="A5" s="741" t="s">
        <v>1359</v>
      </c>
      <c r="B5" s="13">
        <v>2047660</v>
      </c>
      <c r="C5" s="741">
        <v>423130</v>
      </c>
      <c r="D5" s="16">
        <f t="shared" si="0"/>
        <v>2470790</v>
      </c>
      <c r="E5" s="40"/>
      <c r="F5" s="741" t="s">
        <v>503</v>
      </c>
      <c r="G5" s="13">
        <v>1219153</v>
      </c>
      <c r="H5" s="741">
        <v>422038</v>
      </c>
      <c r="I5" s="16">
        <f>SUM(G5:H5)</f>
        <v>1641191</v>
      </c>
    </row>
    <row r="6" spans="1:9" ht="24" customHeight="1">
      <c r="A6" s="741" t="s">
        <v>1362</v>
      </c>
      <c r="B6" s="16">
        <v>59600</v>
      </c>
      <c r="C6" s="741">
        <v>17865</v>
      </c>
      <c r="D6" s="16">
        <f t="shared" si="0"/>
        <v>77465</v>
      </c>
      <c r="E6" s="40"/>
      <c r="F6" s="741" t="s">
        <v>387</v>
      </c>
      <c r="G6" s="16">
        <v>324818</v>
      </c>
      <c r="H6" s="741">
        <v>571937</v>
      </c>
      <c r="I6" s="16">
        <f>SUM(G6:H6)</f>
        <v>896755</v>
      </c>
    </row>
    <row r="7" spans="1:9" ht="13.5" customHeight="1">
      <c r="A7" s="742" t="s">
        <v>1479</v>
      </c>
      <c r="B7" s="742">
        <f>SUM(B3+B4+B5+B6)</f>
        <v>8402949</v>
      </c>
      <c r="C7" s="742">
        <f>SUM(C3+C4+C5+C6)</f>
        <v>1158439</v>
      </c>
      <c r="D7" s="16">
        <f t="shared" si="0"/>
        <v>9561388</v>
      </c>
      <c r="E7" s="40"/>
      <c r="F7" s="741" t="s">
        <v>1889</v>
      </c>
      <c r="G7" s="16">
        <v>5000</v>
      </c>
      <c r="H7" s="741">
        <v>-3550</v>
      </c>
      <c r="I7" s="16">
        <f>SUM(G7:H7)</f>
        <v>1450</v>
      </c>
    </row>
    <row r="8" spans="1:9" ht="13.5" customHeight="1">
      <c r="A8" s="41" t="s">
        <v>1355</v>
      </c>
      <c r="B8" s="742"/>
      <c r="C8" s="742"/>
      <c r="D8" s="16">
        <f t="shared" si="0"/>
        <v>0</v>
      </c>
      <c r="E8" s="40"/>
      <c r="F8" s="742" t="s">
        <v>1492</v>
      </c>
      <c r="G8" s="739">
        <f>SUM(G2:G7)</f>
        <v>9883472</v>
      </c>
      <c r="H8" s="739">
        <f>SUM(H2:H7)</f>
        <v>2187790</v>
      </c>
      <c r="I8" s="739">
        <f>SUM(I2:I7)</f>
        <v>12071262</v>
      </c>
    </row>
    <row r="9" spans="1:9" ht="24.75" customHeight="1">
      <c r="A9" s="41" t="s">
        <v>1363</v>
      </c>
      <c r="B9" s="743">
        <v>1480523</v>
      </c>
      <c r="C9" s="41">
        <v>451918</v>
      </c>
      <c r="D9" s="16">
        <f t="shared" si="0"/>
        <v>1932441</v>
      </c>
      <c r="E9" s="40"/>
      <c r="F9" s="41" t="s">
        <v>1366</v>
      </c>
      <c r="G9" s="16"/>
      <c r="H9" s="741"/>
      <c r="I9" s="16"/>
    </row>
    <row r="10" spans="1:9" s="22" customFormat="1" ht="24.75" customHeight="1">
      <c r="A10" s="41" t="s">
        <v>1364</v>
      </c>
      <c r="B10" s="744"/>
      <c r="C10" s="41">
        <v>99</v>
      </c>
      <c r="D10" s="16">
        <f t="shared" si="0"/>
        <v>99</v>
      </c>
      <c r="E10" s="40"/>
      <c r="F10" s="41" t="s">
        <v>206</v>
      </c>
      <c r="G10" s="16"/>
      <c r="H10" s="41">
        <v>233681</v>
      </c>
      <c r="I10" s="741">
        <f>SUM(G10:H10)</f>
        <v>233681</v>
      </c>
    </row>
    <row r="11" spans="1:9" s="22" customFormat="1" ht="12" customHeight="1">
      <c r="A11" s="745" t="s">
        <v>1097</v>
      </c>
      <c r="B11" s="42">
        <f>SUM(B7:B10)</f>
        <v>9883472</v>
      </c>
      <c r="C11" s="42">
        <f>SUM(C7:C10)</f>
        <v>1610456</v>
      </c>
      <c r="D11" s="42">
        <f>SUM(D7:D10)</f>
        <v>11493928</v>
      </c>
      <c r="E11" s="40"/>
      <c r="F11" s="746" t="s">
        <v>388</v>
      </c>
      <c r="G11" s="746">
        <f>SUM(G8:G10)</f>
        <v>9883472</v>
      </c>
      <c r="H11" s="746">
        <f>SUM(H8:H10)</f>
        <v>2421471</v>
      </c>
      <c r="I11" s="746">
        <f>SUM(I8:I10)</f>
        <v>12304943</v>
      </c>
    </row>
    <row r="12" spans="1:9" ht="13.5" customHeight="1">
      <c r="A12" s="739" t="s">
        <v>265</v>
      </c>
      <c r="B12" s="739"/>
      <c r="C12" s="739"/>
      <c r="D12" s="16"/>
      <c r="E12" s="40"/>
      <c r="F12" s="739" t="s">
        <v>262</v>
      </c>
      <c r="G12" s="739"/>
      <c r="H12" s="739"/>
      <c r="I12" s="742"/>
    </row>
    <row r="13" spans="1:9" ht="24" customHeight="1">
      <c r="A13" s="741" t="s">
        <v>1357</v>
      </c>
      <c r="B13" s="16">
        <v>4607238</v>
      </c>
      <c r="C13" s="741">
        <v>2562908</v>
      </c>
      <c r="D13" s="16">
        <f aca="true" t="shared" si="1" ref="D13:D21">SUM(B13:C13)</f>
        <v>7170146</v>
      </c>
      <c r="E13" s="40"/>
      <c r="F13" s="741" t="s">
        <v>1365</v>
      </c>
      <c r="G13" s="741">
        <v>516142</v>
      </c>
      <c r="H13" s="741">
        <v>500841</v>
      </c>
      <c r="I13" s="741">
        <f aca="true" t="shared" si="2" ref="I13:I25">SUM(G13:H13)</f>
        <v>1016983</v>
      </c>
    </row>
    <row r="14" spans="1:9" ht="19.5" customHeight="1">
      <c r="A14" s="741" t="s">
        <v>1358</v>
      </c>
      <c r="B14" s="16">
        <v>783728</v>
      </c>
      <c r="C14" s="741">
        <v>-599592</v>
      </c>
      <c r="D14" s="16">
        <f t="shared" si="1"/>
        <v>184136</v>
      </c>
      <c r="E14" s="40"/>
      <c r="F14" s="741" t="s">
        <v>263</v>
      </c>
      <c r="G14" s="16">
        <v>43543</v>
      </c>
      <c r="H14" s="741">
        <v>260119</v>
      </c>
      <c r="I14" s="741">
        <f t="shared" si="2"/>
        <v>303662</v>
      </c>
    </row>
    <row r="15" spans="1:9" ht="15" customHeight="1">
      <c r="A15" s="741" t="s">
        <v>1360</v>
      </c>
      <c r="B15" s="744">
        <v>251100</v>
      </c>
      <c r="C15" s="741">
        <v>113551</v>
      </c>
      <c r="D15" s="16">
        <f t="shared" si="1"/>
        <v>364651</v>
      </c>
      <c r="E15" s="40"/>
      <c r="F15" s="741" t="s">
        <v>264</v>
      </c>
      <c r="G15" s="744">
        <v>472599</v>
      </c>
      <c r="H15" s="741">
        <v>240722</v>
      </c>
      <c r="I15" s="741">
        <f t="shared" si="2"/>
        <v>713321</v>
      </c>
    </row>
    <row r="16" spans="1:9" ht="24.75" customHeight="1">
      <c r="A16" s="741" t="s">
        <v>1361</v>
      </c>
      <c r="B16" s="744">
        <v>220000</v>
      </c>
      <c r="C16" s="741">
        <v>27577</v>
      </c>
      <c r="D16" s="16">
        <f t="shared" si="1"/>
        <v>247577</v>
      </c>
      <c r="E16" s="40"/>
      <c r="F16" s="741" t="s">
        <v>343</v>
      </c>
      <c r="G16" s="16"/>
      <c r="H16" s="741"/>
      <c r="I16" s="741">
        <f t="shared" si="2"/>
        <v>0</v>
      </c>
    </row>
    <row r="17" spans="1:9" ht="15" customHeight="1">
      <c r="A17" s="741" t="s">
        <v>1570</v>
      </c>
      <c r="B17" s="744">
        <v>68305</v>
      </c>
      <c r="C17" s="741">
        <v>328900</v>
      </c>
      <c r="D17" s="16">
        <f t="shared" si="1"/>
        <v>397205</v>
      </c>
      <c r="E17" s="39"/>
      <c r="F17" s="741" t="s">
        <v>266</v>
      </c>
      <c r="G17" s="16">
        <v>6800899</v>
      </c>
      <c r="H17" s="741">
        <v>-266632</v>
      </c>
      <c r="I17" s="741">
        <f t="shared" si="2"/>
        <v>6534267</v>
      </c>
    </row>
    <row r="18" spans="1:9" ht="12.75" customHeight="1">
      <c r="A18" s="742" t="s">
        <v>1480</v>
      </c>
      <c r="B18" s="739">
        <f>SUM(B12:B17)</f>
        <v>5930371</v>
      </c>
      <c r="C18" s="739">
        <f>SUM(C12:C17)</f>
        <v>2433344</v>
      </c>
      <c r="D18" s="16">
        <f t="shared" si="1"/>
        <v>8363715</v>
      </c>
      <c r="E18" s="39"/>
      <c r="F18" s="741" t="s">
        <v>344</v>
      </c>
      <c r="G18" s="16">
        <v>37447</v>
      </c>
      <c r="H18" s="741">
        <v>155300</v>
      </c>
      <c r="I18" s="741">
        <f t="shared" si="2"/>
        <v>192747</v>
      </c>
    </row>
    <row r="19" spans="1:9" ht="24" customHeight="1">
      <c r="A19" s="41" t="s">
        <v>1355</v>
      </c>
      <c r="B19" s="739"/>
      <c r="C19" s="739"/>
      <c r="D19" s="16">
        <f t="shared" si="1"/>
        <v>0</v>
      </c>
      <c r="E19" s="40"/>
      <c r="F19" s="741" t="s">
        <v>267</v>
      </c>
      <c r="G19" s="16">
        <v>691881</v>
      </c>
      <c r="H19" s="741">
        <v>661068</v>
      </c>
      <c r="I19" s="741">
        <f t="shared" si="2"/>
        <v>1352949</v>
      </c>
    </row>
    <row r="20" spans="1:9" ht="12.75" customHeight="1">
      <c r="A20" s="41" t="s">
        <v>1571</v>
      </c>
      <c r="B20" s="741">
        <v>658892</v>
      </c>
      <c r="C20" s="741">
        <v>-185000</v>
      </c>
      <c r="D20" s="16">
        <f t="shared" si="1"/>
        <v>473892</v>
      </c>
      <c r="E20" s="40"/>
      <c r="F20" s="741" t="s">
        <v>344</v>
      </c>
      <c r="G20" s="16">
        <v>39879</v>
      </c>
      <c r="H20" s="741">
        <v>85929</v>
      </c>
      <c r="I20" s="741">
        <f t="shared" si="2"/>
        <v>125808</v>
      </c>
    </row>
    <row r="21" spans="1:9" ht="24.75" customHeight="1">
      <c r="A21" s="41" t="s">
        <v>1572</v>
      </c>
      <c r="B21" s="743">
        <v>1486283</v>
      </c>
      <c r="C21" s="41">
        <v>405614</v>
      </c>
      <c r="D21" s="16">
        <f t="shared" si="1"/>
        <v>1891897</v>
      </c>
      <c r="E21" s="40"/>
      <c r="F21" s="741" t="s">
        <v>268</v>
      </c>
      <c r="G21" s="16">
        <v>10000</v>
      </c>
      <c r="H21" s="741">
        <v>389</v>
      </c>
      <c r="I21" s="741">
        <f t="shared" si="2"/>
        <v>10389</v>
      </c>
    </row>
    <row r="22" spans="1:9" ht="12.75" customHeight="1">
      <c r="A22" s="771" t="s">
        <v>316</v>
      </c>
      <c r="B22" s="741"/>
      <c r="C22" s="741">
        <v>206178</v>
      </c>
      <c r="D22" s="741">
        <f>SUM(C22)</f>
        <v>206178</v>
      </c>
      <c r="E22" s="40"/>
      <c r="F22" s="741" t="s">
        <v>1367</v>
      </c>
      <c r="G22" s="16">
        <v>21956</v>
      </c>
      <c r="H22" s="741">
        <v>18159</v>
      </c>
      <c r="I22" s="741">
        <f t="shared" si="2"/>
        <v>40115</v>
      </c>
    </row>
    <row r="23" spans="1:9" ht="24.75" customHeight="1">
      <c r="A23" s="41"/>
      <c r="B23" s="741"/>
      <c r="C23" s="741"/>
      <c r="D23" s="743"/>
      <c r="E23" s="40"/>
      <c r="F23" s="742" t="s">
        <v>1481</v>
      </c>
      <c r="G23" s="739">
        <f>SUM(G13+G17+G19+G21+G22)</f>
        <v>8040878</v>
      </c>
      <c r="H23" s="739">
        <f>SUM(H13+H17+H19+H21+H22)</f>
        <v>913825</v>
      </c>
      <c r="I23" s="741">
        <f t="shared" si="2"/>
        <v>8954703</v>
      </c>
    </row>
    <row r="24" spans="1:9" ht="12.75" customHeight="1">
      <c r="A24" s="741"/>
      <c r="B24" s="741"/>
      <c r="C24" s="741"/>
      <c r="D24" s="743"/>
      <c r="E24" s="40"/>
      <c r="F24" s="41" t="s">
        <v>1366</v>
      </c>
      <c r="G24" s="739"/>
      <c r="H24" s="739"/>
      <c r="I24" s="741">
        <f t="shared" si="2"/>
        <v>0</v>
      </c>
    </row>
    <row r="25" spans="1:9" ht="12.75" customHeight="1">
      <c r="A25" s="41"/>
      <c r="B25" s="741"/>
      <c r="C25" s="741"/>
      <c r="D25" s="741"/>
      <c r="E25" s="40"/>
      <c r="F25" s="41" t="s">
        <v>1568</v>
      </c>
      <c r="G25" s="13">
        <v>34668</v>
      </c>
      <c r="H25" s="41">
        <v>1135296</v>
      </c>
      <c r="I25" s="741">
        <f t="shared" si="2"/>
        <v>1169964</v>
      </c>
    </row>
    <row r="26" spans="1:9" s="21" customFormat="1" ht="22.5" customHeight="1" thickBot="1">
      <c r="A26" s="747" t="s">
        <v>270</v>
      </c>
      <c r="B26" s="748">
        <f>SUM(B18:B25)</f>
        <v>8075546</v>
      </c>
      <c r="C26" s="748">
        <f>SUM(C18:C25)</f>
        <v>2860136</v>
      </c>
      <c r="D26" s="748">
        <f>SUM(D18:D25)</f>
        <v>10935682</v>
      </c>
      <c r="E26" s="39"/>
      <c r="F26" s="749" t="s">
        <v>271</v>
      </c>
      <c r="G26" s="748">
        <f>SUM(G23:G25)</f>
        <v>8075546</v>
      </c>
      <c r="H26" s="748">
        <f>SUM(H23:H25)</f>
        <v>2049121</v>
      </c>
      <c r="I26" s="748">
        <f>SUM(I23:I25)</f>
        <v>10124667</v>
      </c>
    </row>
    <row r="27" spans="1:9" s="21" customFormat="1" ht="19.5" customHeight="1" thickBot="1">
      <c r="A27" s="750" t="s">
        <v>412</v>
      </c>
      <c r="B27" s="751">
        <f>SUM(B11+B26)</f>
        <v>17959018</v>
      </c>
      <c r="C27" s="751">
        <f>SUM(C11+C26)</f>
        <v>4470592</v>
      </c>
      <c r="D27" s="751">
        <f>SUM(D11+D26)</f>
        <v>22429610</v>
      </c>
      <c r="E27" s="40"/>
      <c r="F27" s="750" t="s">
        <v>412</v>
      </c>
      <c r="G27" s="752">
        <f>SUM(G11+G26)</f>
        <v>17959018</v>
      </c>
      <c r="H27" s="752">
        <f>SUM(H11+H26)</f>
        <v>4470592</v>
      </c>
      <c r="I27" s="752">
        <f>SUM(I11+I26)</f>
        <v>22429610</v>
      </c>
    </row>
  </sheetData>
  <sheetProtection/>
  <printOptions horizontalCentered="1" verticalCentered="1"/>
  <pageMargins left="0.15748031496062992" right="0.1968503937007874" top="0.9055118110236221" bottom="0.2755905511811024" header="0.3937007874015748" footer="0.5118110236220472"/>
  <pageSetup horizontalDpi="300" verticalDpi="300" orientation="landscape" paperSize="9" scale="85" r:id="rId1"/>
  <headerFooter alignWithMargins="0">
    <oddHeader>&amp;C&amp;"Times New Roman CE,Félkövér dőlt"ZALAEGERSZEG MEGYEI  JOGÚ  VÁROS  ÖNKORMÁNYZATA
BEVÉTELEINEK  ÉS  KIADÁSAINAK   MÉRLEGE
2014. ÉVBEN
&amp;R&amp;"Times New Roman CE,Félkövér dőlt"1. melléklet
Adatok: ezer Ft-ban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110"/>
  <sheetViews>
    <sheetView workbookViewId="0" topLeftCell="A1">
      <pane ySplit="2" topLeftCell="BM63" activePane="bottomLeft" state="frozen"/>
      <selection pane="topLeft" activeCell="A1" sqref="A1"/>
      <selection pane="bottomLeft" activeCell="E67" sqref="E67"/>
    </sheetView>
  </sheetViews>
  <sheetFormatPr defaultColWidth="9.00390625" defaultRowHeight="12.75"/>
  <cols>
    <col min="1" max="1" width="5.625" style="124" customWidth="1"/>
    <col min="2" max="2" width="6.375" style="124" customWidth="1"/>
    <col min="3" max="3" width="39.00390625" style="124" customWidth="1"/>
    <col min="4" max="4" width="11.125" style="124" customWidth="1"/>
    <col min="5" max="5" width="11.375" style="124" customWidth="1"/>
    <col min="6" max="6" width="11.875" style="124" customWidth="1"/>
    <col min="7" max="7" width="9.875" style="124" customWidth="1"/>
    <col min="8" max="8" width="10.625" style="124" customWidth="1"/>
    <col min="9" max="9" width="11.375" style="124" customWidth="1"/>
    <col min="10" max="10" width="12.50390625" style="124" customWidth="1"/>
    <col min="11" max="11" width="11.625" style="124" customWidth="1"/>
    <col min="12" max="12" width="12.875" style="124" customWidth="1"/>
    <col min="13" max="13" width="11.375" style="124" customWidth="1"/>
    <col min="14" max="14" width="12.625" style="124" customWidth="1"/>
    <col min="15" max="16384" width="9.375" style="124" customWidth="1"/>
  </cols>
  <sheetData>
    <row r="1" spans="1:14" s="108" customFormat="1" ht="16.5" customHeight="1">
      <c r="A1" s="456"/>
      <c r="B1" s="457"/>
      <c r="C1" s="458"/>
      <c r="D1" s="1295" t="s">
        <v>61</v>
      </c>
      <c r="E1" s="1287"/>
      <c r="F1" s="1287"/>
      <c r="G1" s="1287"/>
      <c r="H1" s="1287"/>
      <c r="I1" s="1287"/>
      <c r="J1" s="1288"/>
      <c r="K1" s="1289" t="s">
        <v>990</v>
      </c>
      <c r="L1" s="1290"/>
      <c r="M1" s="1271"/>
      <c r="N1" s="1272" t="s">
        <v>49</v>
      </c>
    </row>
    <row r="2" spans="1:14" s="108" customFormat="1" ht="78.75" customHeight="1" thickBot="1">
      <c r="A2" s="459" t="s">
        <v>654</v>
      </c>
      <c r="B2" s="460" t="s">
        <v>655</v>
      </c>
      <c r="C2" s="461" t="s">
        <v>46</v>
      </c>
      <c r="D2" s="446" t="s">
        <v>436</v>
      </c>
      <c r="E2" s="446" t="s">
        <v>437</v>
      </c>
      <c r="F2" s="445" t="s">
        <v>438</v>
      </c>
      <c r="G2" s="446" t="s">
        <v>443</v>
      </c>
      <c r="H2" s="446" t="s">
        <v>444</v>
      </c>
      <c r="I2" s="446" t="s">
        <v>445</v>
      </c>
      <c r="J2" s="446" t="s">
        <v>446</v>
      </c>
      <c r="K2" s="446" t="s">
        <v>62</v>
      </c>
      <c r="L2" s="446" t="s">
        <v>63</v>
      </c>
      <c r="M2" s="446" t="s">
        <v>65</v>
      </c>
      <c r="N2" s="1273"/>
    </row>
    <row r="3" spans="1:14" s="108" customFormat="1" ht="12.75" customHeight="1">
      <c r="A3" s="1192">
        <v>1</v>
      </c>
      <c r="B3" s="1192"/>
      <c r="C3" s="162" t="s">
        <v>396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462"/>
    </row>
    <row r="4" spans="1:14" s="108" customFormat="1" ht="12.75" customHeight="1">
      <c r="A4" s="1192">
        <v>1</v>
      </c>
      <c r="B4" s="1192">
        <v>1</v>
      </c>
      <c r="C4" s="463" t="s">
        <v>1885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464"/>
    </row>
    <row r="5" spans="1:14" s="108" customFormat="1" ht="12.75" customHeight="1">
      <c r="A5" s="1192">
        <v>1</v>
      </c>
      <c r="B5" s="1192">
        <v>12</v>
      </c>
      <c r="C5" s="463" t="s">
        <v>249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464"/>
    </row>
    <row r="6" spans="1:14" s="108" customFormat="1" ht="24" customHeight="1">
      <c r="A6" s="1"/>
      <c r="B6" s="1"/>
      <c r="C6" s="465" t="s">
        <v>840</v>
      </c>
      <c r="D6" s="328"/>
      <c r="E6" s="466"/>
      <c r="F6" s="466"/>
      <c r="G6" s="466"/>
      <c r="H6" s="466"/>
      <c r="I6" s="466"/>
      <c r="J6" s="466"/>
      <c r="K6" s="466"/>
      <c r="L6" s="466"/>
      <c r="M6" s="466"/>
      <c r="N6" s="467"/>
    </row>
    <row r="7" spans="1:14" s="108" customFormat="1" ht="12.75" customHeight="1">
      <c r="A7" s="1"/>
      <c r="B7" s="1"/>
      <c r="C7" s="1240" t="s">
        <v>656</v>
      </c>
      <c r="D7" s="115">
        <v>-36</v>
      </c>
      <c r="E7" s="466"/>
      <c r="F7" s="466"/>
      <c r="G7" s="466"/>
      <c r="H7" s="466"/>
      <c r="I7" s="466"/>
      <c r="J7" s="466"/>
      <c r="K7" s="466"/>
      <c r="L7" s="466"/>
      <c r="M7" s="466"/>
      <c r="N7" s="467">
        <f>SUM(D7:M7)</f>
        <v>-36</v>
      </c>
    </row>
    <row r="8" spans="1:14" s="108" customFormat="1" ht="24.75" customHeight="1">
      <c r="A8" s="1"/>
      <c r="B8" s="1"/>
      <c r="C8" s="1240" t="s">
        <v>1042</v>
      </c>
      <c r="D8" s="115">
        <v>13068</v>
      </c>
      <c r="E8" s="466"/>
      <c r="F8" s="466"/>
      <c r="G8" s="466"/>
      <c r="H8" s="466"/>
      <c r="I8" s="466"/>
      <c r="J8" s="466"/>
      <c r="K8" s="466"/>
      <c r="L8" s="466"/>
      <c r="M8" s="466"/>
      <c r="N8" s="467">
        <f>SUM(D8:M8)</f>
        <v>13068</v>
      </c>
    </row>
    <row r="9" spans="1:14" s="108" customFormat="1" ht="16.5" customHeight="1">
      <c r="A9" s="1"/>
      <c r="B9" s="1"/>
      <c r="C9" s="1240" t="s">
        <v>551</v>
      </c>
      <c r="D9" s="115"/>
      <c r="E9" s="466"/>
      <c r="F9" s="466"/>
      <c r="G9" s="466">
        <v>194</v>
      </c>
      <c r="H9" s="466"/>
      <c r="I9" s="466"/>
      <c r="J9" s="466"/>
      <c r="K9" s="466"/>
      <c r="L9" s="466"/>
      <c r="M9" s="466"/>
      <c r="N9" s="467">
        <f>SUM(D9:M9)</f>
        <v>194</v>
      </c>
    </row>
    <row r="10" spans="1:14" s="108" customFormat="1" ht="15" customHeight="1">
      <c r="A10" s="1"/>
      <c r="B10" s="1"/>
      <c r="C10" s="1240" t="s">
        <v>552</v>
      </c>
      <c r="D10" s="115"/>
      <c r="E10" s="466"/>
      <c r="F10" s="466"/>
      <c r="G10" s="466">
        <v>1500</v>
      </c>
      <c r="H10" s="466"/>
      <c r="I10" s="466"/>
      <c r="J10" s="466"/>
      <c r="K10" s="466"/>
      <c r="L10" s="466"/>
      <c r="M10" s="466"/>
      <c r="N10" s="467">
        <f>SUM(D10:M10)</f>
        <v>1500</v>
      </c>
    </row>
    <row r="11" spans="1:14" s="108" customFormat="1" ht="16.5" customHeight="1">
      <c r="A11" s="110"/>
      <c r="B11" s="110"/>
      <c r="C11" s="111" t="s">
        <v>256</v>
      </c>
      <c r="D11" s="469">
        <f aca="true" t="shared" si="0" ref="D11:N11">SUM(D6:D10)</f>
        <v>13032</v>
      </c>
      <c r="E11" s="469">
        <f t="shared" si="0"/>
        <v>0</v>
      </c>
      <c r="F11" s="469">
        <f t="shared" si="0"/>
        <v>0</v>
      </c>
      <c r="G11" s="469">
        <f t="shared" si="0"/>
        <v>1694</v>
      </c>
      <c r="H11" s="469">
        <f t="shared" si="0"/>
        <v>0</v>
      </c>
      <c r="I11" s="469">
        <f t="shared" si="0"/>
        <v>0</v>
      </c>
      <c r="J11" s="469">
        <f t="shared" si="0"/>
        <v>0</v>
      </c>
      <c r="K11" s="469">
        <f t="shared" si="0"/>
        <v>0</v>
      </c>
      <c r="L11" s="469">
        <f t="shared" si="0"/>
        <v>0</v>
      </c>
      <c r="M11" s="469">
        <f t="shared" si="0"/>
        <v>0</v>
      </c>
      <c r="N11" s="469">
        <f t="shared" si="0"/>
        <v>14726</v>
      </c>
    </row>
    <row r="12" spans="1:14" s="108" customFormat="1" ht="12.75" customHeight="1">
      <c r="A12" s="1192">
        <v>1</v>
      </c>
      <c r="B12" s="1192">
        <v>13</v>
      </c>
      <c r="C12" s="463" t="s">
        <v>250</v>
      </c>
      <c r="D12" s="466"/>
      <c r="E12" s="466"/>
      <c r="F12" s="466"/>
      <c r="G12" s="466"/>
      <c r="H12" s="466"/>
      <c r="I12" s="466"/>
      <c r="J12" s="466"/>
      <c r="K12" s="466"/>
      <c r="L12" s="466"/>
      <c r="M12" s="466"/>
      <c r="N12" s="467"/>
    </row>
    <row r="13" spans="1:14" s="108" customFormat="1" ht="12.75" customHeight="1">
      <c r="A13" s="1192"/>
      <c r="B13" s="1192"/>
      <c r="C13" s="1194" t="s">
        <v>1234</v>
      </c>
      <c r="D13" s="1241"/>
      <c r="E13" s="1241"/>
      <c r="F13" s="1241"/>
      <c r="G13" s="1241"/>
      <c r="H13" s="1241"/>
      <c r="I13" s="1241"/>
      <c r="J13" s="1241"/>
      <c r="K13" s="1241"/>
      <c r="L13" s="1241"/>
      <c r="M13" s="1241"/>
      <c r="N13" s="1241"/>
    </row>
    <row r="14" spans="1:14" s="108" customFormat="1" ht="24.75" customHeight="1">
      <c r="A14" s="1"/>
      <c r="B14" s="1"/>
      <c r="C14" s="187" t="s">
        <v>554</v>
      </c>
      <c r="D14" s="466"/>
      <c r="E14" s="466"/>
      <c r="F14" s="466"/>
      <c r="G14" s="466"/>
      <c r="H14" s="466"/>
      <c r="I14" s="466"/>
      <c r="J14" s="466"/>
      <c r="K14" s="466"/>
      <c r="L14" s="466"/>
      <c r="M14" s="466"/>
      <c r="N14" s="467"/>
    </row>
    <row r="15" spans="1:14" s="108" customFormat="1" ht="24.75" customHeight="1">
      <c r="A15" s="1"/>
      <c r="B15" s="1"/>
      <c r="C15" s="741" t="s">
        <v>555</v>
      </c>
      <c r="D15" s="470"/>
      <c r="E15" s="466"/>
      <c r="F15" s="466"/>
      <c r="G15" s="466"/>
      <c r="H15" s="466"/>
      <c r="I15" s="466">
        <v>2200</v>
      </c>
      <c r="J15" s="466"/>
      <c r="K15" s="466"/>
      <c r="L15" s="466"/>
      <c r="M15" s="466"/>
      <c r="N15" s="467">
        <f>SUM(D15:M15)</f>
        <v>2200</v>
      </c>
    </row>
    <row r="16" spans="1:14" s="108" customFormat="1" ht="18.75" customHeight="1">
      <c r="A16" s="2"/>
      <c r="B16" s="2"/>
      <c r="C16" s="111" t="s">
        <v>252</v>
      </c>
      <c r="D16" s="469">
        <f aca="true" t="shared" si="1" ref="D16:N16">SUM(D14:D15)</f>
        <v>0</v>
      </c>
      <c r="E16" s="469">
        <f t="shared" si="1"/>
        <v>0</v>
      </c>
      <c r="F16" s="469">
        <f t="shared" si="1"/>
        <v>0</v>
      </c>
      <c r="G16" s="469">
        <f t="shared" si="1"/>
        <v>0</v>
      </c>
      <c r="H16" s="469">
        <f t="shared" si="1"/>
        <v>0</v>
      </c>
      <c r="I16" s="469">
        <f t="shared" si="1"/>
        <v>2200</v>
      </c>
      <c r="J16" s="469">
        <f t="shared" si="1"/>
        <v>0</v>
      </c>
      <c r="K16" s="469">
        <f t="shared" si="1"/>
        <v>0</v>
      </c>
      <c r="L16" s="469">
        <f t="shared" si="1"/>
        <v>0</v>
      </c>
      <c r="M16" s="469">
        <f t="shared" si="1"/>
        <v>0</v>
      </c>
      <c r="N16" s="469">
        <f t="shared" si="1"/>
        <v>2200</v>
      </c>
    </row>
    <row r="17" spans="1:14" s="108" customFormat="1" ht="12.75" customHeight="1">
      <c r="A17" s="1192">
        <v>1</v>
      </c>
      <c r="B17" s="1192">
        <v>15</v>
      </c>
      <c r="C17" s="463" t="s">
        <v>51</v>
      </c>
      <c r="D17" s="466"/>
      <c r="E17" s="466"/>
      <c r="F17" s="466"/>
      <c r="G17" s="466"/>
      <c r="H17" s="466"/>
      <c r="I17" s="466"/>
      <c r="J17" s="466"/>
      <c r="K17" s="466"/>
      <c r="L17" s="466"/>
      <c r="M17" s="466"/>
      <c r="N17" s="467"/>
    </row>
    <row r="18" spans="1:14" s="108" customFormat="1" ht="12.75" customHeight="1">
      <c r="A18" s="1"/>
      <c r="B18" s="1"/>
      <c r="C18" s="318" t="s">
        <v>1424</v>
      </c>
      <c r="D18" s="466"/>
      <c r="E18" s="466"/>
      <c r="F18" s="466"/>
      <c r="G18" s="466"/>
      <c r="H18" s="466"/>
      <c r="I18" s="466"/>
      <c r="J18" s="466"/>
      <c r="K18" s="466"/>
      <c r="L18" s="466"/>
      <c r="M18" s="466"/>
      <c r="N18" s="467"/>
    </row>
    <row r="19" spans="1:14" s="108" customFormat="1" ht="39" customHeight="1">
      <c r="A19" s="1"/>
      <c r="B19" s="1"/>
      <c r="C19" s="1242" t="s">
        <v>1422</v>
      </c>
      <c r="D19" s="466"/>
      <c r="E19" s="466">
        <v>33986</v>
      </c>
      <c r="F19" s="466"/>
      <c r="G19" s="466"/>
      <c r="H19" s="466"/>
      <c r="I19" s="466"/>
      <c r="J19" s="466"/>
      <c r="K19" s="466"/>
      <c r="L19" s="466"/>
      <c r="M19" s="466"/>
      <c r="N19" s="467">
        <f aca="true" t="shared" si="2" ref="N19:N24">SUM(D19:M19)</f>
        <v>33986</v>
      </c>
    </row>
    <row r="20" spans="1:14" s="108" customFormat="1" ht="15.75" customHeight="1">
      <c r="A20" s="1"/>
      <c r="B20" s="1"/>
      <c r="C20" s="1242" t="s">
        <v>1043</v>
      </c>
      <c r="D20" s="466"/>
      <c r="E20" s="466">
        <v>83175</v>
      </c>
      <c r="F20" s="466"/>
      <c r="G20" s="466"/>
      <c r="H20" s="466"/>
      <c r="I20" s="466"/>
      <c r="J20" s="466"/>
      <c r="K20" s="466"/>
      <c r="L20" s="466"/>
      <c r="M20" s="466"/>
      <c r="N20" s="467">
        <f t="shared" si="2"/>
        <v>83175</v>
      </c>
    </row>
    <row r="21" spans="1:14" s="108" customFormat="1" ht="24.75" customHeight="1">
      <c r="A21" s="1"/>
      <c r="B21" s="1"/>
      <c r="C21" s="1242" t="s">
        <v>1044</v>
      </c>
      <c r="D21" s="466"/>
      <c r="E21" s="466">
        <v>-83175</v>
      </c>
      <c r="F21" s="466"/>
      <c r="G21" s="466"/>
      <c r="H21" s="466"/>
      <c r="I21" s="466"/>
      <c r="J21" s="466"/>
      <c r="K21" s="466"/>
      <c r="L21" s="466"/>
      <c r="M21" s="466"/>
      <c r="N21" s="467">
        <f t="shared" si="2"/>
        <v>-83175</v>
      </c>
    </row>
    <row r="22" spans="1:14" s="108" customFormat="1" ht="24.75" customHeight="1">
      <c r="A22" s="1"/>
      <c r="B22" s="1"/>
      <c r="C22" s="293" t="s">
        <v>1472</v>
      </c>
      <c r="D22" s="466"/>
      <c r="E22" s="466"/>
      <c r="F22" s="466"/>
      <c r="G22" s="466"/>
      <c r="H22" s="466"/>
      <c r="I22" s="466"/>
      <c r="J22" s="466"/>
      <c r="K22" s="466"/>
      <c r="L22" s="466"/>
      <c r="M22" s="466"/>
      <c r="N22" s="467">
        <f t="shared" si="2"/>
        <v>0</v>
      </c>
    </row>
    <row r="23" spans="1:14" s="108" customFormat="1" ht="35.25" customHeight="1">
      <c r="A23" s="1"/>
      <c r="B23" s="1"/>
      <c r="C23" s="474" t="s">
        <v>1045</v>
      </c>
      <c r="D23" s="466"/>
      <c r="E23" s="466">
        <v>206514</v>
      </c>
      <c r="F23" s="466"/>
      <c r="G23" s="466"/>
      <c r="H23" s="466"/>
      <c r="I23" s="466"/>
      <c r="J23" s="466"/>
      <c r="K23" s="466"/>
      <c r="L23" s="466"/>
      <c r="M23" s="466"/>
      <c r="N23" s="467">
        <f t="shared" si="2"/>
        <v>206514</v>
      </c>
    </row>
    <row r="24" spans="1:14" s="108" customFormat="1" ht="15.75" customHeight="1">
      <c r="A24" s="1"/>
      <c r="B24" s="1"/>
      <c r="C24" s="474" t="s">
        <v>1046</v>
      </c>
      <c r="D24" s="466"/>
      <c r="E24" s="466"/>
      <c r="F24" s="466"/>
      <c r="G24" s="466">
        <v>5334</v>
      </c>
      <c r="H24" s="466"/>
      <c r="I24" s="466"/>
      <c r="J24" s="466"/>
      <c r="K24" s="466"/>
      <c r="L24" s="466"/>
      <c r="M24" s="466"/>
      <c r="N24" s="467">
        <f t="shared" si="2"/>
        <v>5334</v>
      </c>
    </row>
    <row r="25" spans="1:14" s="108" customFormat="1" ht="24" customHeight="1">
      <c r="A25" s="1"/>
      <c r="B25" s="1"/>
      <c r="C25" s="363" t="s">
        <v>1426</v>
      </c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467"/>
    </row>
    <row r="26" spans="1:14" s="108" customFormat="1" ht="24" customHeight="1">
      <c r="A26" s="1"/>
      <c r="B26" s="1"/>
      <c r="C26" s="363" t="s">
        <v>1047</v>
      </c>
      <c r="D26" s="470"/>
      <c r="E26" s="466"/>
      <c r="F26" s="466"/>
      <c r="G26" s="466"/>
      <c r="H26" s="466"/>
      <c r="I26" s="466"/>
      <c r="J26" s="466">
        <v>800</v>
      </c>
      <c r="K26" s="466"/>
      <c r="L26" s="466"/>
      <c r="M26" s="466"/>
      <c r="N26" s="467">
        <f>SUM(I26:M26)</f>
        <v>800</v>
      </c>
    </row>
    <row r="27" spans="1:14" s="108" customFormat="1" ht="15" customHeight="1">
      <c r="A27" s="1"/>
      <c r="B27" s="1"/>
      <c r="C27" s="293" t="s">
        <v>561</v>
      </c>
      <c r="D27" s="470"/>
      <c r="E27" s="466"/>
      <c r="F27" s="466">
        <v>390</v>
      </c>
      <c r="G27" s="466"/>
      <c r="H27" s="466"/>
      <c r="I27" s="466"/>
      <c r="J27" s="466"/>
      <c r="K27" s="466"/>
      <c r="L27" s="466"/>
      <c r="M27" s="466"/>
      <c r="N27" s="467">
        <f>SUM(D27:M27)</f>
        <v>390</v>
      </c>
    </row>
    <row r="28" spans="1:14" s="108" customFormat="1" ht="15" customHeight="1">
      <c r="A28" s="1"/>
      <c r="B28" s="1"/>
      <c r="C28" s="293" t="s">
        <v>1048</v>
      </c>
      <c r="D28" s="470"/>
      <c r="E28" s="466"/>
      <c r="F28" s="466"/>
      <c r="G28" s="466"/>
      <c r="H28" s="466"/>
      <c r="I28" s="466"/>
      <c r="J28" s="466"/>
      <c r="K28" s="466"/>
      <c r="L28" s="466"/>
      <c r="M28" s="466"/>
      <c r="N28" s="467"/>
    </row>
    <row r="29" spans="1:14" s="108" customFormat="1" ht="15" customHeight="1">
      <c r="A29" s="1"/>
      <c r="B29" s="1"/>
      <c r="C29" s="187" t="s">
        <v>1404</v>
      </c>
      <c r="D29" s="466"/>
      <c r="E29" s="466"/>
      <c r="F29" s="466"/>
      <c r="G29" s="466">
        <v>51</v>
      </c>
      <c r="H29" s="466"/>
      <c r="I29" s="466"/>
      <c r="J29" s="466"/>
      <c r="K29" s="466"/>
      <c r="L29" s="466"/>
      <c r="M29" s="466"/>
      <c r="N29" s="467">
        <v>51</v>
      </c>
    </row>
    <row r="30" spans="1:14" s="108" customFormat="1" ht="18.75" customHeight="1">
      <c r="A30" s="110"/>
      <c r="B30" s="110"/>
      <c r="C30" s="111" t="s">
        <v>1674</v>
      </c>
      <c r="D30" s="469">
        <f aca="true" t="shared" si="3" ref="D30:N30">SUM(D18:D29)</f>
        <v>0</v>
      </c>
      <c r="E30" s="469">
        <f t="shared" si="3"/>
        <v>240500</v>
      </c>
      <c r="F30" s="469">
        <f t="shared" si="3"/>
        <v>390</v>
      </c>
      <c r="G30" s="469">
        <f t="shared" si="3"/>
        <v>5385</v>
      </c>
      <c r="H30" s="469">
        <f t="shared" si="3"/>
        <v>0</v>
      </c>
      <c r="I30" s="469">
        <f t="shared" si="3"/>
        <v>0</v>
      </c>
      <c r="J30" s="469">
        <f t="shared" si="3"/>
        <v>800</v>
      </c>
      <c r="K30" s="469">
        <f t="shared" si="3"/>
        <v>0</v>
      </c>
      <c r="L30" s="469">
        <f t="shared" si="3"/>
        <v>0</v>
      </c>
      <c r="M30" s="469">
        <f t="shared" si="3"/>
        <v>0</v>
      </c>
      <c r="N30" s="469">
        <f t="shared" si="3"/>
        <v>247075</v>
      </c>
    </row>
    <row r="31" spans="1:14" s="108" customFormat="1" ht="12.75" customHeight="1">
      <c r="A31" s="1192">
        <v>1</v>
      </c>
      <c r="B31" s="1192">
        <v>16</v>
      </c>
      <c r="C31" s="463" t="s">
        <v>1493</v>
      </c>
      <c r="D31" s="466"/>
      <c r="E31" s="466"/>
      <c r="F31" s="466"/>
      <c r="G31" s="466"/>
      <c r="H31" s="466"/>
      <c r="I31" s="466"/>
      <c r="J31" s="466"/>
      <c r="K31" s="466"/>
      <c r="L31" s="466"/>
      <c r="M31" s="466"/>
      <c r="N31" s="467"/>
    </row>
    <row r="32" spans="1:14" s="108" customFormat="1" ht="24.75" customHeight="1">
      <c r="A32" s="1192"/>
      <c r="B32" s="1192"/>
      <c r="C32" s="5" t="s">
        <v>1697</v>
      </c>
      <c r="D32" s="470"/>
      <c r="E32" s="466"/>
      <c r="F32" s="466"/>
      <c r="G32" s="466"/>
      <c r="H32" s="466"/>
      <c r="I32" s="466"/>
      <c r="J32" s="466"/>
      <c r="K32" s="466"/>
      <c r="L32" s="466"/>
      <c r="M32" s="466"/>
      <c r="N32" s="467"/>
    </row>
    <row r="33" spans="1:14" s="108" customFormat="1" ht="37.5" customHeight="1">
      <c r="A33" s="1"/>
      <c r="B33" s="1"/>
      <c r="C33" s="1243" t="s">
        <v>1049</v>
      </c>
      <c r="D33" s="470"/>
      <c r="E33" s="466">
        <v>10186</v>
      </c>
      <c r="F33" s="466"/>
      <c r="G33" s="466">
        <v>-2615</v>
      </c>
      <c r="H33" s="466"/>
      <c r="I33" s="466"/>
      <c r="J33" s="466"/>
      <c r="K33" s="466"/>
      <c r="L33" s="466"/>
      <c r="M33" s="466"/>
      <c r="N33" s="467">
        <f>SUM(D33:M33)</f>
        <v>7571</v>
      </c>
    </row>
    <row r="34" spans="1:14" s="108" customFormat="1" ht="37.5" customHeight="1">
      <c r="A34" s="1"/>
      <c r="B34" s="1"/>
      <c r="C34" s="1198" t="s">
        <v>563</v>
      </c>
      <c r="D34" s="470"/>
      <c r="E34" s="466">
        <v>10788</v>
      </c>
      <c r="F34" s="466"/>
      <c r="G34" s="466"/>
      <c r="H34" s="466"/>
      <c r="I34" s="466"/>
      <c r="J34" s="466"/>
      <c r="K34" s="466"/>
      <c r="L34" s="466"/>
      <c r="M34" s="466"/>
      <c r="N34" s="467">
        <f>SUM(D34:M34)</f>
        <v>10788</v>
      </c>
    </row>
    <row r="35" spans="1:14" s="108" customFormat="1" ht="19.5" customHeight="1">
      <c r="A35" s="2"/>
      <c r="B35" s="2"/>
      <c r="C35" s="111" t="s">
        <v>1496</v>
      </c>
      <c r="D35" s="469"/>
      <c r="E35" s="469">
        <f>SUM(E33:E34)</f>
        <v>20974</v>
      </c>
      <c r="F35" s="469"/>
      <c r="G35" s="469">
        <f>SUM(G33:G34)</f>
        <v>-2615</v>
      </c>
      <c r="H35" s="469"/>
      <c r="I35" s="469"/>
      <c r="J35" s="469"/>
      <c r="K35" s="469"/>
      <c r="L35" s="469"/>
      <c r="M35" s="469"/>
      <c r="N35" s="469">
        <f>SUM(N33:N34)</f>
        <v>18359</v>
      </c>
    </row>
    <row r="36" spans="1:14" s="108" customFormat="1" ht="12.75" customHeight="1">
      <c r="A36" s="1192">
        <v>1</v>
      </c>
      <c r="B36" s="1192">
        <v>17</v>
      </c>
      <c r="C36" s="463" t="s">
        <v>52</v>
      </c>
      <c r="D36" s="466"/>
      <c r="E36" s="466"/>
      <c r="F36" s="466"/>
      <c r="G36" s="466"/>
      <c r="H36" s="466"/>
      <c r="I36" s="466"/>
      <c r="J36" s="466"/>
      <c r="K36" s="466"/>
      <c r="L36" s="466"/>
      <c r="M36" s="466"/>
      <c r="N36" s="467"/>
    </row>
    <row r="37" spans="1:14" s="108" customFormat="1" ht="24.75" customHeight="1">
      <c r="A37" s="1"/>
      <c r="B37" s="1"/>
      <c r="C37" s="145" t="s">
        <v>1565</v>
      </c>
      <c r="D37" s="466"/>
      <c r="E37" s="466"/>
      <c r="F37" s="466"/>
      <c r="G37" s="466"/>
      <c r="H37" s="466"/>
      <c r="I37" s="466"/>
      <c r="J37" s="466"/>
      <c r="K37" s="466"/>
      <c r="L37" s="466"/>
      <c r="M37" s="466"/>
      <c r="N37" s="467"/>
    </row>
    <row r="38" spans="1:14" s="108" customFormat="1" ht="27" customHeight="1">
      <c r="A38" s="1"/>
      <c r="B38" s="1"/>
      <c r="C38" s="5" t="s">
        <v>1050</v>
      </c>
      <c r="D38" s="466"/>
      <c r="E38" s="466"/>
      <c r="F38" s="466"/>
      <c r="G38" s="466">
        <v>38696</v>
      </c>
      <c r="H38" s="466">
        <v>107489</v>
      </c>
      <c r="I38" s="466"/>
      <c r="J38" s="466"/>
      <c r="K38" s="466"/>
      <c r="L38" s="466"/>
      <c r="M38" s="466"/>
      <c r="N38" s="467">
        <f>SUM(D38:M38)</f>
        <v>146185</v>
      </c>
    </row>
    <row r="39" spans="1:14" s="108" customFormat="1" ht="25.5" customHeight="1">
      <c r="A39" s="1"/>
      <c r="B39" s="1"/>
      <c r="C39" s="1244" t="s">
        <v>1051</v>
      </c>
      <c r="D39" s="466"/>
      <c r="E39" s="466"/>
      <c r="F39" s="466"/>
      <c r="G39" s="466"/>
      <c r="H39" s="466"/>
      <c r="I39" s="466">
        <v>2500</v>
      </c>
      <c r="J39" s="466"/>
      <c r="K39" s="466"/>
      <c r="L39" s="466"/>
      <c r="M39" s="466"/>
      <c r="N39" s="467">
        <f>SUM(D39:M39)</f>
        <v>2500</v>
      </c>
    </row>
    <row r="40" spans="1:14" s="108" customFormat="1" ht="33.75" customHeight="1">
      <c r="A40" s="1"/>
      <c r="B40" s="1"/>
      <c r="C40" s="45" t="s">
        <v>404</v>
      </c>
      <c r="D40" s="723"/>
      <c r="E40" s="466"/>
      <c r="F40" s="466"/>
      <c r="G40" s="466">
        <v>-5000</v>
      </c>
      <c r="H40" s="466"/>
      <c r="I40" s="466"/>
      <c r="J40" s="466"/>
      <c r="K40" s="466"/>
      <c r="L40" s="466"/>
      <c r="M40" s="466"/>
      <c r="N40" s="467">
        <f>SUM(D40:M40)</f>
        <v>-5000</v>
      </c>
    </row>
    <row r="41" spans="1:14" s="108" customFormat="1" ht="24.75" customHeight="1">
      <c r="A41" s="1"/>
      <c r="B41" s="1"/>
      <c r="C41" s="296" t="s">
        <v>1052</v>
      </c>
      <c r="D41" s="723"/>
      <c r="E41" s="466"/>
      <c r="F41" s="466"/>
      <c r="G41" s="466">
        <v>1003</v>
      </c>
      <c r="H41" s="466"/>
      <c r="I41" s="466"/>
      <c r="J41" s="466"/>
      <c r="K41" s="466"/>
      <c r="L41" s="466"/>
      <c r="M41" s="466"/>
      <c r="N41" s="467">
        <f>SUM(D41:M41)</f>
        <v>1003</v>
      </c>
    </row>
    <row r="42" spans="1:14" s="108" customFormat="1" ht="24.75" customHeight="1">
      <c r="A42" s="1"/>
      <c r="B42" s="1"/>
      <c r="C42" s="316" t="s">
        <v>1809</v>
      </c>
      <c r="D42" s="466"/>
      <c r="E42" s="466"/>
      <c r="F42" s="466"/>
      <c r="G42" s="466"/>
      <c r="H42" s="466"/>
      <c r="I42" s="466"/>
      <c r="J42" s="466"/>
      <c r="K42" s="466"/>
      <c r="L42" s="466"/>
      <c r="M42" s="466"/>
      <c r="N42" s="467"/>
    </row>
    <row r="43" spans="1:14" s="108" customFormat="1" ht="24.75" customHeight="1">
      <c r="A43" s="1"/>
      <c r="B43" s="1"/>
      <c r="C43" s="1245" t="s">
        <v>1053</v>
      </c>
      <c r="D43" s="466"/>
      <c r="E43" s="466"/>
      <c r="F43" s="466"/>
      <c r="G43" s="466">
        <v>2499</v>
      </c>
      <c r="H43" s="466"/>
      <c r="I43" s="466"/>
      <c r="J43" s="466"/>
      <c r="K43" s="466"/>
      <c r="L43" s="466"/>
      <c r="M43" s="466"/>
      <c r="N43" s="467">
        <f>SUM(G43:M43)</f>
        <v>2499</v>
      </c>
    </row>
    <row r="44" spans="1:14" s="108" customFormat="1" ht="15.75" customHeight="1">
      <c r="A44" s="1"/>
      <c r="B44" s="1"/>
      <c r="C44" s="295" t="s">
        <v>1054</v>
      </c>
      <c r="D44" s="466"/>
      <c r="E44" s="466"/>
      <c r="F44" s="466"/>
      <c r="G44" s="466">
        <v>676</v>
      </c>
      <c r="H44" s="466">
        <v>1518</v>
      </c>
      <c r="I44" s="466"/>
      <c r="J44" s="466"/>
      <c r="K44" s="466"/>
      <c r="L44" s="466"/>
      <c r="M44" s="466"/>
      <c r="N44" s="467">
        <f>SUM(G44:M44)</f>
        <v>2194</v>
      </c>
    </row>
    <row r="45" spans="1:14" s="108" customFormat="1" ht="16.5" customHeight="1">
      <c r="A45" s="1"/>
      <c r="B45" s="1"/>
      <c r="C45" s="295" t="s">
        <v>794</v>
      </c>
      <c r="D45" s="466"/>
      <c r="E45" s="466"/>
      <c r="F45" s="466"/>
      <c r="G45" s="466">
        <v>1192</v>
      </c>
      <c r="H45" s="466"/>
      <c r="I45" s="466"/>
      <c r="J45" s="466"/>
      <c r="K45" s="466"/>
      <c r="L45" s="466"/>
      <c r="M45" s="466"/>
      <c r="N45" s="467">
        <f>SUM(G45:M45)</f>
        <v>1192</v>
      </c>
    </row>
    <row r="46" spans="1:14" s="108" customFormat="1" ht="16.5" customHeight="1">
      <c r="A46" s="110"/>
      <c r="B46" s="110"/>
      <c r="C46" s="111" t="s">
        <v>1672</v>
      </c>
      <c r="D46" s="469">
        <f aca="true" t="shared" si="4" ref="D46:N46">SUM(D37:D45)</f>
        <v>0</v>
      </c>
      <c r="E46" s="469">
        <f t="shared" si="4"/>
        <v>0</v>
      </c>
      <c r="F46" s="469">
        <f t="shared" si="4"/>
        <v>0</v>
      </c>
      <c r="G46" s="469">
        <f t="shared" si="4"/>
        <v>39066</v>
      </c>
      <c r="H46" s="469">
        <f t="shared" si="4"/>
        <v>109007</v>
      </c>
      <c r="I46" s="469">
        <f t="shared" si="4"/>
        <v>2500</v>
      </c>
      <c r="J46" s="469">
        <f t="shared" si="4"/>
        <v>0</v>
      </c>
      <c r="K46" s="469">
        <f t="shared" si="4"/>
        <v>0</v>
      </c>
      <c r="L46" s="469">
        <f t="shared" si="4"/>
        <v>0</v>
      </c>
      <c r="M46" s="469">
        <f t="shared" si="4"/>
        <v>0</v>
      </c>
      <c r="N46" s="469">
        <f t="shared" si="4"/>
        <v>150573</v>
      </c>
    </row>
    <row r="47" spans="1:14" s="108" customFormat="1" ht="12.75" customHeight="1">
      <c r="A47" s="1192">
        <v>1</v>
      </c>
      <c r="B47" s="1192">
        <v>18</v>
      </c>
      <c r="C47" s="463" t="s">
        <v>879</v>
      </c>
      <c r="D47" s="466"/>
      <c r="E47" s="466"/>
      <c r="F47" s="466"/>
      <c r="G47" s="466"/>
      <c r="H47" s="466"/>
      <c r="I47" s="466"/>
      <c r="J47" s="466"/>
      <c r="K47" s="466"/>
      <c r="L47" s="466"/>
      <c r="M47" s="466"/>
      <c r="N47" s="467"/>
    </row>
    <row r="48" spans="1:14" s="108" customFormat="1" ht="24" customHeight="1">
      <c r="A48" s="1192"/>
      <c r="B48" s="1192"/>
      <c r="C48" s="145" t="s">
        <v>1565</v>
      </c>
      <c r="D48" s="466"/>
      <c r="E48" s="466"/>
      <c r="F48" s="466"/>
      <c r="G48" s="466"/>
      <c r="H48" s="466"/>
      <c r="I48" s="466"/>
      <c r="J48" s="466"/>
      <c r="K48" s="466"/>
      <c r="L48" s="466"/>
      <c r="M48" s="466"/>
      <c r="N48" s="467"/>
    </row>
    <row r="49" spans="1:14" s="108" customFormat="1" ht="12.75" customHeight="1">
      <c r="A49" s="1192"/>
      <c r="B49" s="1192"/>
      <c r="C49" s="5" t="s">
        <v>1173</v>
      </c>
      <c r="D49" s="466"/>
      <c r="E49" s="466"/>
      <c r="F49" s="466"/>
      <c r="G49" s="466">
        <v>600</v>
      </c>
      <c r="H49" s="466"/>
      <c r="I49" s="466"/>
      <c r="J49" s="466"/>
      <c r="K49" s="466"/>
      <c r="L49" s="466"/>
      <c r="M49" s="466"/>
      <c r="N49" s="467">
        <f>SUM(D49:M49)</f>
        <v>600</v>
      </c>
    </row>
    <row r="50" spans="1:14" s="108" customFormat="1" ht="12.75" customHeight="1">
      <c r="A50" s="1192"/>
      <c r="B50" s="1192"/>
      <c r="C50" s="57" t="s">
        <v>1707</v>
      </c>
      <c r="D50" s="466"/>
      <c r="E50" s="466"/>
      <c r="F50" s="466">
        <v>3000</v>
      </c>
      <c r="G50" s="466"/>
      <c r="H50" s="466"/>
      <c r="I50" s="466"/>
      <c r="J50" s="466"/>
      <c r="K50" s="466"/>
      <c r="L50" s="466"/>
      <c r="M50" s="466"/>
      <c r="N50" s="467">
        <f>SUM(D50:M50)</f>
        <v>3000</v>
      </c>
    </row>
    <row r="51" spans="1:14" s="108" customFormat="1" ht="12.75" customHeight="1">
      <c r="A51" s="1192"/>
      <c r="B51" s="1192"/>
      <c r="C51" s="5" t="s">
        <v>39</v>
      </c>
      <c r="D51" s="466"/>
      <c r="E51" s="466"/>
      <c r="F51" s="466"/>
      <c r="G51" s="466">
        <v>-3000</v>
      </c>
      <c r="H51" s="466"/>
      <c r="I51" s="466"/>
      <c r="J51" s="466"/>
      <c r="K51" s="466"/>
      <c r="L51" s="466"/>
      <c r="M51" s="466"/>
      <c r="N51" s="467">
        <f>SUM(D51:M51)</f>
        <v>-3000</v>
      </c>
    </row>
    <row r="52" spans="1:14" s="108" customFormat="1" ht="18.75" customHeight="1">
      <c r="A52" s="2"/>
      <c r="B52" s="2"/>
      <c r="C52" s="111" t="s">
        <v>667</v>
      </c>
      <c r="D52" s="469">
        <v>0</v>
      </c>
      <c r="E52" s="469">
        <f aca="true" t="shared" si="5" ref="E52:N52">SUM(E49:E51)</f>
        <v>0</v>
      </c>
      <c r="F52" s="469">
        <f t="shared" si="5"/>
        <v>3000</v>
      </c>
      <c r="G52" s="469">
        <f t="shared" si="5"/>
        <v>-2400</v>
      </c>
      <c r="H52" s="469">
        <f t="shared" si="5"/>
        <v>0</v>
      </c>
      <c r="I52" s="469">
        <f t="shared" si="5"/>
        <v>0</v>
      </c>
      <c r="J52" s="469">
        <f t="shared" si="5"/>
        <v>0</v>
      </c>
      <c r="K52" s="469">
        <f t="shared" si="5"/>
        <v>0</v>
      </c>
      <c r="L52" s="469">
        <f t="shared" si="5"/>
        <v>0</v>
      </c>
      <c r="M52" s="469">
        <f t="shared" si="5"/>
        <v>0</v>
      </c>
      <c r="N52" s="469">
        <f t="shared" si="5"/>
        <v>600</v>
      </c>
    </row>
    <row r="53" spans="1:14" s="108" customFormat="1" ht="15" customHeight="1">
      <c r="A53" s="1">
        <v>1</v>
      </c>
      <c r="B53" s="1">
        <v>19</v>
      </c>
      <c r="C53" s="463" t="s">
        <v>893</v>
      </c>
      <c r="D53" s="466"/>
      <c r="E53" s="466"/>
      <c r="F53" s="466"/>
      <c r="G53" s="466"/>
      <c r="H53" s="466"/>
      <c r="I53" s="466"/>
      <c r="J53" s="466"/>
      <c r="K53" s="466"/>
      <c r="L53" s="466"/>
      <c r="M53" s="466"/>
      <c r="N53" s="467"/>
    </row>
    <row r="54" spans="1:14" s="108" customFormat="1" ht="21.75" customHeight="1">
      <c r="A54" s="1"/>
      <c r="B54" s="1"/>
      <c r="C54" s="317" t="s">
        <v>1442</v>
      </c>
      <c r="D54" s="466"/>
      <c r="E54" s="466"/>
      <c r="F54" s="466"/>
      <c r="G54" s="466"/>
      <c r="H54" s="466"/>
      <c r="I54" s="466"/>
      <c r="J54" s="466"/>
      <c r="K54" s="466"/>
      <c r="L54" s="466"/>
      <c r="M54" s="466"/>
      <c r="N54" s="467"/>
    </row>
    <row r="55" spans="1:14" s="108" customFormat="1" ht="25.5" customHeight="1">
      <c r="A55" s="1"/>
      <c r="B55" s="1"/>
      <c r="C55" s="160" t="s">
        <v>1233</v>
      </c>
      <c r="D55" s="466"/>
      <c r="E55" s="466"/>
      <c r="F55" s="466"/>
      <c r="G55" s="466"/>
      <c r="H55" s="466"/>
      <c r="I55" s="466"/>
      <c r="J55" s="466"/>
      <c r="K55" s="466">
        <v>-135000</v>
      </c>
      <c r="L55" s="466"/>
      <c r="M55" s="466"/>
      <c r="N55" s="467">
        <f>SUM(D55:M55)</f>
        <v>-135000</v>
      </c>
    </row>
    <row r="56" spans="1:14" s="108" customFormat="1" ht="22.5" customHeight="1">
      <c r="A56" s="1"/>
      <c r="B56" s="1"/>
      <c r="C56" s="5" t="s">
        <v>1712</v>
      </c>
      <c r="D56" s="466"/>
      <c r="E56" s="466"/>
      <c r="F56" s="466"/>
      <c r="G56" s="466"/>
      <c r="H56" s="466"/>
      <c r="I56" s="466"/>
      <c r="J56" s="466"/>
      <c r="K56" s="466">
        <v>-30000</v>
      </c>
      <c r="L56" s="466"/>
      <c r="M56" s="466"/>
      <c r="N56" s="467">
        <f>SUM(D56:M56)</f>
        <v>-30000</v>
      </c>
    </row>
    <row r="57" spans="1:14" s="108" customFormat="1" ht="22.5" customHeight="1">
      <c r="A57" s="1"/>
      <c r="B57" s="1"/>
      <c r="C57" s="480" t="s">
        <v>1553</v>
      </c>
      <c r="D57" s="466"/>
      <c r="E57" s="466"/>
      <c r="F57" s="466"/>
      <c r="G57" s="466"/>
      <c r="H57" s="466"/>
      <c r="I57" s="466"/>
      <c r="J57" s="466"/>
      <c r="K57" s="466"/>
      <c r="L57" s="466"/>
      <c r="M57" s="466"/>
      <c r="N57" s="467"/>
    </row>
    <row r="58" spans="1:14" s="108" customFormat="1" ht="14.25" customHeight="1">
      <c r="A58" s="1"/>
      <c r="B58" s="1"/>
      <c r="C58" s="5" t="s">
        <v>1055</v>
      </c>
      <c r="D58" s="466"/>
      <c r="E58" s="466"/>
      <c r="F58" s="466"/>
      <c r="G58" s="466">
        <v>55810</v>
      </c>
      <c r="H58" s="466"/>
      <c r="I58" s="466"/>
      <c r="J58" s="466"/>
      <c r="K58" s="466"/>
      <c r="L58" s="466"/>
      <c r="M58" s="466"/>
      <c r="N58" s="467">
        <f>SUM(D58:M58)</f>
        <v>55810</v>
      </c>
    </row>
    <row r="59" spans="1:14" s="108" customFormat="1" ht="24.75" customHeight="1">
      <c r="A59" s="1"/>
      <c r="B59" s="1"/>
      <c r="C59" s="5" t="s">
        <v>1702</v>
      </c>
      <c r="D59" s="466"/>
      <c r="E59" s="466"/>
      <c r="F59" s="466"/>
      <c r="G59" s="466"/>
      <c r="H59" s="466"/>
      <c r="I59" s="466"/>
      <c r="J59" s="466"/>
      <c r="K59" s="466"/>
      <c r="L59" s="466"/>
      <c r="M59" s="466"/>
      <c r="N59" s="467"/>
    </row>
    <row r="60" spans="1:14" s="108" customFormat="1" ht="39" customHeight="1">
      <c r="A60" s="1"/>
      <c r="B60" s="1"/>
      <c r="C60" s="118" t="s">
        <v>668</v>
      </c>
      <c r="D60" s="466">
        <v>-53472</v>
      </c>
      <c r="E60" s="466"/>
      <c r="F60" s="466"/>
      <c r="G60" s="466"/>
      <c r="H60" s="466"/>
      <c r="I60" s="466"/>
      <c r="J60" s="466"/>
      <c r="K60" s="466"/>
      <c r="L60" s="466"/>
      <c r="M60" s="466"/>
      <c r="N60" s="467">
        <f aca="true" t="shared" si="6" ref="N60:N65">SUM(D60:M60)</f>
        <v>-53472</v>
      </c>
    </row>
    <row r="61" spans="1:14" s="108" customFormat="1" ht="15" customHeight="1">
      <c r="A61" s="1"/>
      <c r="B61" s="1"/>
      <c r="C61" s="109" t="s">
        <v>669</v>
      </c>
      <c r="D61" s="466">
        <v>-3422</v>
      </c>
      <c r="E61" s="466">
        <v>-31395</v>
      </c>
      <c r="F61" s="466"/>
      <c r="G61" s="466"/>
      <c r="H61" s="466"/>
      <c r="I61" s="466"/>
      <c r="J61" s="466"/>
      <c r="K61" s="466"/>
      <c r="L61" s="466"/>
      <c r="M61" s="466"/>
      <c r="N61" s="467">
        <f t="shared" si="6"/>
        <v>-34817</v>
      </c>
    </row>
    <row r="62" spans="1:14" s="108" customFormat="1" ht="15" customHeight="1">
      <c r="A62" s="1"/>
      <c r="B62" s="1"/>
      <c r="C62" s="109" t="s">
        <v>670</v>
      </c>
      <c r="D62" s="470">
        <v>57426</v>
      </c>
      <c r="E62" s="466">
        <v>-23934</v>
      </c>
      <c r="F62" s="466"/>
      <c r="G62" s="466"/>
      <c r="H62" s="466"/>
      <c r="I62" s="466"/>
      <c r="J62" s="466"/>
      <c r="K62" s="466"/>
      <c r="L62" s="466"/>
      <c r="M62" s="466"/>
      <c r="N62" s="467">
        <f t="shared" si="6"/>
        <v>33492</v>
      </c>
    </row>
    <row r="63" spans="1:14" s="108" customFormat="1" ht="27" customHeight="1">
      <c r="A63" s="1"/>
      <c r="B63" s="1"/>
      <c r="C63" s="118" t="s">
        <v>1056</v>
      </c>
      <c r="D63" s="470"/>
      <c r="E63" s="466">
        <v>31964</v>
      </c>
      <c r="F63" s="466"/>
      <c r="G63" s="466"/>
      <c r="H63" s="466"/>
      <c r="I63" s="466"/>
      <c r="J63" s="466"/>
      <c r="K63" s="466"/>
      <c r="L63" s="466"/>
      <c r="M63" s="466"/>
      <c r="N63" s="467">
        <f t="shared" si="6"/>
        <v>31964</v>
      </c>
    </row>
    <row r="64" spans="1:14" s="108" customFormat="1" ht="15" customHeight="1">
      <c r="A64" s="1"/>
      <c r="B64" s="1"/>
      <c r="C64" s="109" t="s">
        <v>1057</v>
      </c>
      <c r="D64" s="470"/>
      <c r="E64" s="466">
        <v>-31964</v>
      </c>
      <c r="F64" s="466"/>
      <c r="G64" s="466"/>
      <c r="H64" s="466"/>
      <c r="I64" s="466"/>
      <c r="J64" s="466"/>
      <c r="K64" s="466"/>
      <c r="L64" s="466"/>
      <c r="M64" s="466"/>
      <c r="N64" s="467">
        <f t="shared" si="6"/>
        <v>-31964</v>
      </c>
    </row>
    <row r="65" spans="1:14" s="108" customFormat="1" ht="15" customHeight="1">
      <c r="A65" s="1"/>
      <c r="B65" s="1"/>
      <c r="C65" s="3" t="s">
        <v>1085</v>
      </c>
      <c r="D65" s="470"/>
      <c r="E65" s="466"/>
      <c r="F65" s="466">
        <v>-170551</v>
      </c>
      <c r="G65" s="466"/>
      <c r="H65" s="466"/>
      <c r="I65" s="466"/>
      <c r="J65" s="466"/>
      <c r="K65" s="466"/>
      <c r="L65" s="466"/>
      <c r="M65" s="466"/>
      <c r="N65" s="467">
        <f t="shared" si="6"/>
        <v>-170551</v>
      </c>
    </row>
    <row r="66" spans="1:14" s="108" customFormat="1" ht="24.75" customHeight="1">
      <c r="A66" s="1"/>
      <c r="B66" s="1"/>
      <c r="C66" s="480" t="s">
        <v>1553</v>
      </c>
      <c r="D66" s="470"/>
      <c r="E66" s="466"/>
      <c r="F66" s="466"/>
      <c r="G66" s="466"/>
      <c r="H66" s="466"/>
      <c r="I66" s="466"/>
      <c r="J66" s="466"/>
      <c r="K66" s="466"/>
      <c r="L66" s="466"/>
      <c r="M66" s="466"/>
      <c r="N66" s="467"/>
    </row>
    <row r="67" spans="1:14" s="108" customFormat="1" ht="24.75" customHeight="1">
      <c r="A67" s="1"/>
      <c r="B67" s="1"/>
      <c r="C67" s="41" t="s">
        <v>675</v>
      </c>
      <c r="D67" s="470">
        <v>1590</v>
      </c>
      <c r="E67" s="466"/>
      <c r="F67" s="466"/>
      <c r="G67" s="466"/>
      <c r="H67" s="466"/>
      <c r="I67" s="466"/>
      <c r="J67" s="466"/>
      <c r="K67" s="466"/>
      <c r="L67" s="466"/>
      <c r="M67" s="466"/>
      <c r="N67" s="467">
        <f>SUM(D67:M67)</f>
        <v>1590</v>
      </c>
    </row>
    <row r="68" spans="1:14" s="108" customFormat="1" ht="15" customHeight="1">
      <c r="A68" s="1"/>
      <c r="B68" s="1"/>
      <c r="C68" s="1195" t="s">
        <v>1461</v>
      </c>
      <c r="D68" s="470"/>
      <c r="E68" s="466"/>
      <c r="F68" s="466"/>
      <c r="G68" s="466"/>
      <c r="H68" s="466"/>
      <c r="I68" s="466"/>
      <c r="J68" s="466"/>
      <c r="K68" s="466"/>
      <c r="L68" s="466"/>
      <c r="M68" s="466"/>
      <c r="N68" s="467"/>
    </row>
    <row r="69" spans="1:14" s="108" customFormat="1" ht="24.75" customHeight="1">
      <c r="A69" s="1"/>
      <c r="B69" s="1"/>
      <c r="C69" s="160" t="s">
        <v>1058</v>
      </c>
      <c r="D69" s="470">
        <v>861</v>
      </c>
      <c r="E69" s="466"/>
      <c r="F69" s="466"/>
      <c r="G69" s="466"/>
      <c r="H69" s="466"/>
      <c r="I69" s="466"/>
      <c r="J69" s="466"/>
      <c r="K69" s="466"/>
      <c r="L69" s="466"/>
      <c r="M69" s="466"/>
      <c r="N69" s="467">
        <f>SUM(D69:M69)</f>
        <v>861</v>
      </c>
    </row>
    <row r="70" spans="1:14" s="108" customFormat="1" ht="15" customHeight="1">
      <c r="A70" s="1"/>
      <c r="B70" s="1"/>
      <c r="C70" s="13" t="s">
        <v>674</v>
      </c>
      <c r="D70" s="470"/>
      <c r="E70" s="466"/>
      <c r="F70" s="466"/>
      <c r="G70" s="466">
        <v>5700</v>
      </c>
      <c r="H70" s="466"/>
      <c r="I70" s="466"/>
      <c r="J70" s="466"/>
      <c r="K70" s="466"/>
      <c r="L70" s="466"/>
      <c r="M70" s="466"/>
      <c r="N70" s="467">
        <f>SUM(D70:M70)</f>
        <v>5700</v>
      </c>
    </row>
    <row r="71" spans="1:14" s="108" customFormat="1" ht="24.75" customHeight="1">
      <c r="A71" s="1"/>
      <c r="B71" s="1"/>
      <c r="C71" s="480" t="s">
        <v>1809</v>
      </c>
      <c r="D71" s="470"/>
      <c r="E71" s="466"/>
      <c r="F71" s="466"/>
      <c r="G71" s="466"/>
      <c r="H71" s="466"/>
      <c r="I71" s="466"/>
      <c r="J71" s="466"/>
      <c r="K71" s="466"/>
      <c r="L71" s="466"/>
      <c r="M71" s="466"/>
      <c r="N71" s="467"/>
    </row>
    <row r="72" spans="1:14" s="108" customFormat="1" ht="24.75" customHeight="1">
      <c r="A72" s="1"/>
      <c r="B72" s="1"/>
      <c r="C72" s="480" t="s">
        <v>569</v>
      </c>
      <c r="D72" s="470"/>
      <c r="E72" s="466"/>
      <c r="F72" s="466"/>
      <c r="G72" s="466">
        <v>26000</v>
      </c>
      <c r="H72" s="466"/>
      <c r="I72" s="466"/>
      <c r="J72" s="466"/>
      <c r="K72" s="466"/>
      <c r="L72" s="466"/>
      <c r="M72" s="466"/>
      <c r="N72" s="467">
        <f>SUM(D72:M72)</f>
        <v>26000</v>
      </c>
    </row>
    <row r="73" spans="1:14" s="108" customFormat="1" ht="15" customHeight="1">
      <c r="A73" s="1"/>
      <c r="B73" s="1"/>
      <c r="C73" s="171" t="s">
        <v>570</v>
      </c>
      <c r="D73" s="470"/>
      <c r="E73" s="466"/>
      <c r="F73" s="466"/>
      <c r="G73" s="466">
        <v>8481</v>
      </c>
      <c r="H73" s="466"/>
      <c r="I73" s="466"/>
      <c r="J73" s="466"/>
      <c r="K73" s="466"/>
      <c r="L73" s="466">
        <v>133629</v>
      </c>
      <c r="M73" s="466"/>
      <c r="N73" s="467">
        <f>SUM(D73:M73)</f>
        <v>142110</v>
      </c>
    </row>
    <row r="74" spans="1:14" s="108" customFormat="1" ht="12.75" customHeight="1">
      <c r="A74" s="2"/>
      <c r="B74" s="110"/>
      <c r="C74" s="111" t="s">
        <v>895</v>
      </c>
      <c r="D74" s="469">
        <f aca="true" t="shared" si="7" ref="D74:N74">SUM(D53:D73)</f>
        <v>2983</v>
      </c>
      <c r="E74" s="469">
        <f t="shared" si="7"/>
        <v>-55329</v>
      </c>
      <c r="F74" s="469">
        <f t="shared" si="7"/>
        <v>-170551</v>
      </c>
      <c r="G74" s="469">
        <f t="shared" si="7"/>
        <v>95991</v>
      </c>
      <c r="H74" s="469">
        <f t="shared" si="7"/>
        <v>0</v>
      </c>
      <c r="I74" s="469">
        <f t="shared" si="7"/>
        <v>0</v>
      </c>
      <c r="J74" s="469">
        <f t="shared" si="7"/>
        <v>0</v>
      </c>
      <c r="K74" s="469">
        <f t="shared" si="7"/>
        <v>-165000</v>
      </c>
      <c r="L74" s="469">
        <f t="shared" si="7"/>
        <v>133629</v>
      </c>
      <c r="M74" s="469">
        <f t="shared" si="7"/>
        <v>0</v>
      </c>
      <c r="N74" s="469">
        <f t="shared" si="7"/>
        <v>-158277</v>
      </c>
    </row>
    <row r="75" spans="1:14" s="108" customFormat="1" ht="12.75" customHeight="1">
      <c r="A75" s="116">
        <v>1</v>
      </c>
      <c r="B75" s="116">
        <v>20</v>
      </c>
      <c r="C75" s="117" t="s">
        <v>1886</v>
      </c>
      <c r="D75" s="482"/>
      <c r="E75" s="482"/>
      <c r="F75" s="482"/>
      <c r="G75" s="482"/>
      <c r="H75" s="482"/>
      <c r="I75" s="482"/>
      <c r="J75" s="482"/>
      <c r="K75" s="482"/>
      <c r="L75" s="482"/>
      <c r="M75" s="482"/>
      <c r="N75" s="482"/>
    </row>
    <row r="76" spans="1:14" s="108" customFormat="1" ht="24.75" customHeight="1">
      <c r="A76" s="116"/>
      <c r="B76" s="116"/>
      <c r="C76" s="5" t="s">
        <v>1697</v>
      </c>
      <c r="D76" s="482"/>
      <c r="E76" s="482"/>
      <c r="F76" s="482"/>
      <c r="G76" s="482"/>
      <c r="H76" s="482"/>
      <c r="I76" s="482"/>
      <c r="J76" s="482"/>
      <c r="K76" s="482"/>
      <c r="L76" s="482"/>
      <c r="M76" s="482"/>
      <c r="N76" s="482"/>
    </row>
    <row r="77" spans="1:14" s="108" customFormat="1" ht="12.75" customHeight="1">
      <c r="A77" s="2"/>
      <c r="B77" s="110"/>
      <c r="C77" s="111" t="s">
        <v>677</v>
      </c>
      <c r="D77" s="469">
        <f aca="true" t="shared" si="8" ref="D77:N77">SUM(D75:D76)</f>
        <v>0</v>
      </c>
      <c r="E77" s="469">
        <f t="shared" si="8"/>
        <v>0</v>
      </c>
      <c r="F77" s="469">
        <f t="shared" si="8"/>
        <v>0</v>
      </c>
      <c r="G77" s="469">
        <f t="shared" si="8"/>
        <v>0</v>
      </c>
      <c r="H77" s="469">
        <f t="shared" si="8"/>
        <v>0</v>
      </c>
      <c r="I77" s="469">
        <f t="shared" si="8"/>
        <v>0</v>
      </c>
      <c r="J77" s="469">
        <f t="shared" si="8"/>
        <v>0</v>
      </c>
      <c r="K77" s="469">
        <f t="shared" si="8"/>
        <v>0</v>
      </c>
      <c r="L77" s="469">
        <f t="shared" si="8"/>
        <v>0</v>
      </c>
      <c r="M77" s="469">
        <f t="shared" si="8"/>
        <v>0</v>
      </c>
      <c r="N77" s="469">
        <f t="shared" si="8"/>
        <v>0</v>
      </c>
    </row>
    <row r="78" spans="1:14" s="108" customFormat="1" ht="12.75" customHeight="1">
      <c r="A78" s="116">
        <v>1</v>
      </c>
      <c r="B78" s="116">
        <v>22</v>
      </c>
      <c r="C78" s="117" t="s">
        <v>1090</v>
      </c>
      <c r="D78" s="482"/>
      <c r="E78" s="482"/>
      <c r="F78" s="482"/>
      <c r="G78" s="482"/>
      <c r="H78" s="482"/>
      <c r="I78" s="482"/>
      <c r="J78" s="482"/>
      <c r="K78" s="482"/>
      <c r="L78" s="482"/>
      <c r="M78" s="482"/>
      <c r="N78" s="482"/>
    </row>
    <row r="79" spans="1:14" s="108" customFormat="1" ht="21.75" customHeight="1">
      <c r="A79" s="116"/>
      <c r="B79" s="116"/>
      <c r="C79" s="316" t="s">
        <v>1553</v>
      </c>
      <c r="D79" s="482"/>
      <c r="E79" s="482"/>
      <c r="F79" s="482"/>
      <c r="G79" s="482"/>
      <c r="H79" s="482"/>
      <c r="I79" s="482"/>
      <c r="J79" s="482"/>
      <c r="K79" s="482"/>
      <c r="L79" s="482"/>
      <c r="M79" s="482"/>
      <c r="N79" s="482"/>
    </row>
    <row r="80" spans="1:14" s="108" customFormat="1" ht="12.75" customHeight="1">
      <c r="A80" s="116"/>
      <c r="B80" s="116"/>
      <c r="C80" s="1202" t="s">
        <v>574</v>
      </c>
      <c r="D80" s="482"/>
      <c r="E80" s="482"/>
      <c r="F80" s="482"/>
      <c r="G80" s="475">
        <v>15</v>
      </c>
      <c r="H80" s="475"/>
      <c r="I80" s="475"/>
      <c r="J80" s="475"/>
      <c r="K80" s="482"/>
      <c r="L80" s="482"/>
      <c r="M80" s="482"/>
      <c r="N80" s="475">
        <f>SUM(D80:M80)</f>
        <v>15</v>
      </c>
    </row>
    <row r="81" spans="1:14" s="108" customFormat="1" ht="12.75" customHeight="1">
      <c r="A81" s="2"/>
      <c r="B81" s="110"/>
      <c r="C81" s="111" t="s">
        <v>1092</v>
      </c>
      <c r="D81" s="469">
        <f aca="true" t="shared" si="9" ref="D81:N81">SUM(D80:D80)</f>
        <v>0</v>
      </c>
      <c r="E81" s="469">
        <f t="shared" si="9"/>
        <v>0</v>
      </c>
      <c r="F81" s="469">
        <f t="shared" si="9"/>
        <v>0</v>
      </c>
      <c r="G81" s="469">
        <f t="shared" si="9"/>
        <v>15</v>
      </c>
      <c r="H81" s="469">
        <f t="shared" si="9"/>
        <v>0</v>
      </c>
      <c r="I81" s="469">
        <f t="shared" si="9"/>
        <v>0</v>
      </c>
      <c r="J81" s="469">
        <f t="shared" si="9"/>
        <v>0</v>
      </c>
      <c r="K81" s="469">
        <f t="shared" si="9"/>
        <v>0</v>
      </c>
      <c r="L81" s="469">
        <f t="shared" si="9"/>
        <v>0</v>
      </c>
      <c r="M81" s="469">
        <f t="shared" si="9"/>
        <v>0</v>
      </c>
      <c r="N81" s="469">
        <f t="shared" si="9"/>
        <v>15</v>
      </c>
    </row>
    <row r="82" spans="1:14" s="108" customFormat="1" ht="25.5" customHeight="1">
      <c r="A82" s="110"/>
      <c r="B82" s="110"/>
      <c r="C82" s="484" t="s">
        <v>602</v>
      </c>
      <c r="D82" s="469">
        <f aca="true" t="shared" si="10" ref="D82:N82">SUM(D11+D16+D30+D35+D46+D52+D74+D77+D81)</f>
        <v>16015</v>
      </c>
      <c r="E82" s="469">
        <f t="shared" si="10"/>
        <v>206145</v>
      </c>
      <c r="F82" s="469">
        <f t="shared" si="10"/>
        <v>-167161</v>
      </c>
      <c r="G82" s="469">
        <f t="shared" si="10"/>
        <v>137136</v>
      </c>
      <c r="H82" s="469">
        <f t="shared" si="10"/>
        <v>109007</v>
      </c>
      <c r="I82" s="469">
        <f t="shared" si="10"/>
        <v>4700</v>
      </c>
      <c r="J82" s="469">
        <f t="shared" si="10"/>
        <v>800</v>
      </c>
      <c r="K82" s="469">
        <f t="shared" si="10"/>
        <v>-165000</v>
      </c>
      <c r="L82" s="469">
        <f t="shared" si="10"/>
        <v>133629</v>
      </c>
      <c r="M82" s="469">
        <f t="shared" si="10"/>
        <v>0</v>
      </c>
      <c r="N82" s="469">
        <f t="shared" si="10"/>
        <v>275271</v>
      </c>
    </row>
    <row r="83" spans="1:14" s="108" customFormat="1" ht="15" customHeight="1">
      <c r="A83" s="114">
        <v>2</v>
      </c>
      <c r="B83" s="116"/>
      <c r="C83" s="113" t="s">
        <v>398</v>
      </c>
      <c r="D83" s="475">
        <f>'[4]táj.1.'!C20</f>
        <v>58184</v>
      </c>
      <c r="E83" s="475">
        <f>'[4]táj.1.'!D20</f>
        <v>6235</v>
      </c>
      <c r="F83" s="475">
        <f>'[4]táj.1.'!E20</f>
        <v>0</v>
      </c>
      <c r="G83" s="475">
        <f>'[4]táj.1.'!F20</f>
        <v>33125</v>
      </c>
      <c r="H83" s="475">
        <f>'[4]táj.1.'!G20</f>
        <v>264</v>
      </c>
      <c r="I83" s="475">
        <f>'[4]táj.1.'!H20</f>
        <v>5437</v>
      </c>
      <c r="J83" s="475">
        <f>'[4]táj.1.'!I20</f>
        <v>0</v>
      </c>
      <c r="K83" s="475"/>
      <c r="L83" s="475">
        <f>'[4]táj.1.'!J20</f>
        <v>0</v>
      </c>
      <c r="M83" s="475">
        <f>'[4]táj.1.'!L20</f>
        <v>0</v>
      </c>
      <c r="N83" s="475">
        <f>SUM(D83:M83)</f>
        <v>103245</v>
      </c>
    </row>
    <row r="84" spans="1:14" s="108" customFormat="1" ht="15" customHeight="1">
      <c r="A84" s="110"/>
      <c r="B84" s="110"/>
      <c r="C84" s="111" t="s">
        <v>376</v>
      </c>
      <c r="D84" s="469">
        <f aca="true" t="shared" si="11" ref="D84:N84">SUM(D82:D83)</f>
        <v>74199</v>
      </c>
      <c r="E84" s="469">
        <f t="shared" si="11"/>
        <v>212380</v>
      </c>
      <c r="F84" s="469">
        <f t="shared" si="11"/>
        <v>-167161</v>
      </c>
      <c r="G84" s="469">
        <f t="shared" si="11"/>
        <v>170261</v>
      </c>
      <c r="H84" s="469">
        <f t="shared" si="11"/>
        <v>109271</v>
      </c>
      <c r="I84" s="469">
        <f t="shared" si="11"/>
        <v>10137</v>
      </c>
      <c r="J84" s="469">
        <f t="shared" si="11"/>
        <v>800</v>
      </c>
      <c r="K84" s="469">
        <f t="shared" si="11"/>
        <v>-165000</v>
      </c>
      <c r="L84" s="469">
        <f t="shared" si="11"/>
        <v>133629</v>
      </c>
      <c r="M84" s="469">
        <f t="shared" si="11"/>
        <v>0</v>
      </c>
      <c r="N84" s="469">
        <f t="shared" si="11"/>
        <v>378516</v>
      </c>
    </row>
    <row r="85" spans="1:14" s="108" customFormat="1" ht="13.5" customHeight="1">
      <c r="A85" s="129"/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</row>
    <row r="86" spans="1:14" ht="12.75">
      <c r="A86" s="129"/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</row>
    <row r="87" spans="1:14" ht="12.75">
      <c r="A87" s="129"/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</row>
    <row r="88" spans="1:14" ht="12.75">
      <c r="A88" s="129"/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50"/>
    </row>
    <row r="89" spans="1:14" ht="12.75">
      <c r="A89" s="129"/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</row>
    <row r="90" spans="1:14" ht="12.75">
      <c r="A90" s="129"/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</row>
    <row r="91" spans="1:14" ht="12.75">
      <c r="A91" s="129"/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</row>
    <row r="92" spans="1:14" ht="12.75">
      <c r="A92" s="129"/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</row>
    <row r="93" spans="1:14" ht="12.75">
      <c r="A93" s="129"/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</row>
    <row r="94" spans="3:14" ht="12.75"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</row>
    <row r="95" spans="3:14" ht="12.75"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</row>
    <row r="96" spans="3:14" ht="12.75"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</row>
    <row r="97" spans="3:14" ht="12.75"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</row>
    <row r="98" spans="3:14" ht="12.75"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</row>
    <row r="99" spans="3:14" ht="12.75"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</row>
    <row r="100" spans="3:14" ht="12.75"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</row>
    <row r="101" spans="3:14" ht="12.75"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</row>
    <row r="102" spans="3:14" ht="12.75"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</row>
    <row r="103" spans="3:14" ht="12.75"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</row>
    <row r="104" spans="3:14" ht="12.75"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</row>
    <row r="105" spans="3:14" ht="12.75"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</row>
    <row r="106" spans="3:14" ht="12.75"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</row>
    <row r="107" spans="3:14" ht="12.75"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</row>
    <row r="108" spans="3:14" ht="12.75"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</row>
    <row r="109" spans="3:14" ht="12.75"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</row>
    <row r="110" spans="3:14" ht="12.75"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</row>
  </sheetData>
  <sheetProtection/>
  <mergeCells count="3">
    <mergeCell ref="D1:J1"/>
    <mergeCell ref="K1:M1"/>
    <mergeCell ref="N1:N2"/>
  </mergeCells>
  <printOptions horizontalCentered="1" verticalCentered="1"/>
  <pageMargins left="0.11811023622047245" right="0.11811023622047245" top="1.1811023622047245" bottom="0.7086614173228347" header="0.5905511811023623" footer="0.5118110236220472"/>
  <pageSetup horizontalDpi="600" verticalDpi="600" orientation="landscape" paperSize="9" scale="90" r:id="rId1"/>
  <headerFooter alignWithMargins="0">
    <oddHeader>&amp;C&amp;"Times New Roman,Normál"ZALAEGERSZEG MEGYEI JOGÚ VÁROS ÖNKORMÁNYZATA
2014. ÉVI BEVÉTELI ELŐIRÁNYZATAINAK  MÓDOSÍTÁSA A IV. NEGYEDÉVBEN&amp;R&amp;"Times New Roman,Normál"5.a  melléklet mód.
Adatok: ezer Ft-ban</oddHeader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73"/>
  <sheetViews>
    <sheetView workbookViewId="0" topLeftCell="A1">
      <pane ySplit="2" topLeftCell="BM24" activePane="bottomLeft" state="frozen"/>
      <selection pane="topLeft" activeCell="A1" sqref="A1"/>
      <selection pane="bottomLeft" activeCell="C15" sqref="C15"/>
    </sheetView>
  </sheetViews>
  <sheetFormatPr defaultColWidth="9.00390625" defaultRowHeight="12.75"/>
  <cols>
    <col min="1" max="1" width="5.625" style="124" customWidth="1"/>
    <col min="2" max="2" width="6.375" style="124" customWidth="1"/>
    <col min="3" max="3" width="39.00390625" style="124" customWidth="1"/>
    <col min="4" max="4" width="11.125" style="124" customWidth="1"/>
    <col min="5" max="5" width="11.375" style="124" customWidth="1"/>
    <col min="6" max="6" width="11.875" style="124" customWidth="1"/>
    <col min="7" max="7" width="9.875" style="124" customWidth="1"/>
    <col min="8" max="8" width="10.625" style="124" customWidth="1"/>
    <col min="9" max="9" width="11.375" style="124" customWidth="1"/>
    <col min="10" max="10" width="12.50390625" style="124" customWidth="1"/>
    <col min="11" max="11" width="11.625" style="124" customWidth="1"/>
    <col min="12" max="12" width="12.875" style="124" customWidth="1"/>
    <col min="13" max="13" width="11.375" style="124" customWidth="1"/>
    <col min="14" max="14" width="12.625" style="124" customWidth="1"/>
    <col min="15" max="16384" width="9.375" style="124" customWidth="1"/>
  </cols>
  <sheetData>
    <row r="1" spans="1:14" s="108" customFormat="1" ht="16.5" customHeight="1">
      <c r="A1" s="456"/>
      <c r="B1" s="457"/>
      <c r="C1" s="458"/>
      <c r="D1" s="1295" t="s">
        <v>61</v>
      </c>
      <c r="E1" s="1287"/>
      <c r="F1" s="1287"/>
      <c r="G1" s="1287"/>
      <c r="H1" s="1287"/>
      <c r="I1" s="1287"/>
      <c r="J1" s="1288"/>
      <c r="K1" s="1289" t="s">
        <v>990</v>
      </c>
      <c r="L1" s="1290"/>
      <c r="M1" s="1271"/>
      <c r="N1" s="1272" t="s">
        <v>49</v>
      </c>
    </row>
    <row r="2" spans="1:14" s="108" customFormat="1" ht="78.75" customHeight="1" thickBot="1">
      <c r="A2" s="459" t="s">
        <v>654</v>
      </c>
      <c r="B2" s="460" t="s">
        <v>655</v>
      </c>
      <c r="C2" s="461" t="s">
        <v>46</v>
      </c>
      <c r="D2" s="446" t="s">
        <v>436</v>
      </c>
      <c r="E2" s="446" t="s">
        <v>437</v>
      </c>
      <c r="F2" s="445" t="s">
        <v>438</v>
      </c>
      <c r="G2" s="446" t="s">
        <v>443</v>
      </c>
      <c r="H2" s="446" t="s">
        <v>444</v>
      </c>
      <c r="I2" s="446" t="s">
        <v>445</v>
      </c>
      <c r="J2" s="446" t="s">
        <v>446</v>
      </c>
      <c r="K2" s="446" t="s">
        <v>62</v>
      </c>
      <c r="L2" s="446" t="s">
        <v>63</v>
      </c>
      <c r="M2" s="446" t="s">
        <v>65</v>
      </c>
      <c r="N2" s="1273"/>
    </row>
    <row r="3" spans="1:14" s="108" customFormat="1" ht="15" customHeight="1">
      <c r="A3" s="1192">
        <v>1</v>
      </c>
      <c r="B3" s="1192"/>
      <c r="C3" s="162" t="s">
        <v>396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462"/>
    </row>
    <row r="4" spans="1:14" s="108" customFormat="1" ht="15" customHeight="1">
      <c r="A4" s="1192">
        <v>1</v>
      </c>
      <c r="B4" s="1192">
        <v>1</v>
      </c>
      <c r="C4" s="463" t="s">
        <v>1885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464"/>
    </row>
    <row r="5" spans="1:14" s="108" customFormat="1" ht="15" customHeight="1">
      <c r="A5" s="1192">
        <v>1</v>
      </c>
      <c r="B5" s="1192">
        <v>12</v>
      </c>
      <c r="C5" s="463" t="s">
        <v>249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464"/>
    </row>
    <row r="6" spans="1:14" s="108" customFormat="1" ht="15" customHeight="1">
      <c r="A6" s="1"/>
      <c r="B6" s="1"/>
      <c r="C6" s="1575"/>
      <c r="D6" s="115"/>
      <c r="E6" s="466"/>
      <c r="F6" s="466"/>
      <c r="G6" s="466"/>
      <c r="H6" s="466"/>
      <c r="I6" s="466"/>
      <c r="J6" s="466"/>
      <c r="K6" s="466"/>
      <c r="L6" s="466"/>
      <c r="M6" s="466"/>
      <c r="N6" s="467">
        <f>SUM(D6:M6)</f>
        <v>0</v>
      </c>
    </row>
    <row r="7" spans="1:14" s="108" customFormat="1" ht="15" customHeight="1">
      <c r="A7" s="110"/>
      <c r="B7" s="110"/>
      <c r="C7" s="111" t="s">
        <v>256</v>
      </c>
      <c r="D7" s="469">
        <f aca="true" t="shared" si="0" ref="D7:N7">SUM(D6:D6)</f>
        <v>0</v>
      </c>
      <c r="E7" s="469">
        <f t="shared" si="0"/>
        <v>0</v>
      </c>
      <c r="F7" s="469">
        <f t="shared" si="0"/>
        <v>0</v>
      </c>
      <c r="G7" s="469">
        <f t="shared" si="0"/>
        <v>0</v>
      </c>
      <c r="H7" s="469">
        <f t="shared" si="0"/>
        <v>0</v>
      </c>
      <c r="I7" s="469">
        <f t="shared" si="0"/>
        <v>0</v>
      </c>
      <c r="J7" s="469">
        <f t="shared" si="0"/>
        <v>0</v>
      </c>
      <c r="K7" s="469">
        <f t="shared" si="0"/>
        <v>0</v>
      </c>
      <c r="L7" s="469">
        <f t="shared" si="0"/>
        <v>0</v>
      </c>
      <c r="M7" s="469">
        <f t="shared" si="0"/>
        <v>0</v>
      </c>
      <c r="N7" s="469">
        <f t="shared" si="0"/>
        <v>0</v>
      </c>
    </row>
    <row r="8" spans="1:14" s="108" customFormat="1" ht="15" customHeight="1">
      <c r="A8" s="1192">
        <v>1</v>
      </c>
      <c r="B8" s="1192">
        <v>13</v>
      </c>
      <c r="C8" s="463" t="s">
        <v>250</v>
      </c>
      <c r="D8" s="466"/>
      <c r="E8" s="466"/>
      <c r="F8" s="466"/>
      <c r="G8" s="466"/>
      <c r="H8" s="466"/>
      <c r="I8" s="466"/>
      <c r="J8" s="466"/>
      <c r="K8" s="466"/>
      <c r="L8" s="466"/>
      <c r="M8" s="466"/>
      <c r="N8" s="467"/>
    </row>
    <row r="9" spans="1:14" s="108" customFormat="1" ht="15" customHeight="1">
      <c r="A9" s="1192"/>
      <c r="B9" s="1192"/>
      <c r="C9" s="1194" t="s">
        <v>1234</v>
      </c>
      <c r="D9" s="1241"/>
      <c r="E9" s="1241"/>
      <c r="F9" s="1241"/>
      <c r="G9" s="1241"/>
      <c r="H9" s="1241"/>
      <c r="I9" s="1241"/>
      <c r="J9" s="1241"/>
      <c r="K9" s="1241"/>
      <c r="L9" s="1241"/>
      <c r="M9" s="1241"/>
      <c r="N9" s="1241"/>
    </row>
    <row r="10" spans="1:14" s="108" customFormat="1" ht="15" customHeight="1">
      <c r="A10" s="1"/>
      <c r="B10" s="1"/>
      <c r="C10" s="741"/>
      <c r="D10" s="470"/>
      <c r="E10" s="466"/>
      <c r="F10" s="466"/>
      <c r="G10" s="466"/>
      <c r="H10" s="466"/>
      <c r="I10" s="466"/>
      <c r="J10" s="466"/>
      <c r="K10" s="466"/>
      <c r="L10" s="466"/>
      <c r="M10" s="466"/>
      <c r="N10" s="467">
        <f>SUM(D10:M10)</f>
        <v>0</v>
      </c>
    </row>
    <row r="11" spans="1:14" s="108" customFormat="1" ht="15" customHeight="1">
      <c r="A11" s="2"/>
      <c r="B11" s="2"/>
      <c r="C11" s="111" t="s">
        <v>252</v>
      </c>
      <c r="D11" s="469">
        <f aca="true" t="shared" si="1" ref="D11:N11">SUM(D10:D10)</f>
        <v>0</v>
      </c>
      <c r="E11" s="469">
        <f t="shared" si="1"/>
        <v>0</v>
      </c>
      <c r="F11" s="469">
        <f t="shared" si="1"/>
        <v>0</v>
      </c>
      <c r="G11" s="469">
        <f t="shared" si="1"/>
        <v>0</v>
      </c>
      <c r="H11" s="469">
        <f t="shared" si="1"/>
        <v>0</v>
      </c>
      <c r="I11" s="469">
        <f t="shared" si="1"/>
        <v>0</v>
      </c>
      <c r="J11" s="469">
        <f t="shared" si="1"/>
        <v>0</v>
      </c>
      <c r="K11" s="469">
        <f t="shared" si="1"/>
        <v>0</v>
      </c>
      <c r="L11" s="469">
        <f t="shared" si="1"/>
        <v>0</v>
      </c>
      <c r="M11" s="469">
        <f t="shared" si="1"/>
        <v>0</v>
      </c>
      <c r="N11" s="469">
        <f t="shared" si="1"/>
        <v>0</v>
      </c>
    </row>
    <row r="12" spans="1:14" s="108" customFormat="1" ht="15" customHeight="1">
      <c r="A12" s="1192">
        <v>1</v>
      </c>
      <c r="B12" s="1192">
        <v>15</v>
      </c>
      <c r="C12" s="463" t="s">
        <v>51</v>
      </c>
      <c r="D12" s="466"/>
      <c r="E12" s="466"/>
      <c r="F12" s="466"/>
      <c r="G12" s="466"/>
      <c r="H12" s="466"/>
      <c r="I12" s="466"/>
      <c r="J12" s="466"/>
      <c r="K12" s="466"/>
      <c r="L12" s="466"/>
      <c r="M12" s="466"/>
      <c r="N12" s="467"/>
    </row>
    <row r="13" spans="1:14" s="108" customFormat="1" ht="15" customHeight="1">
      <c r="A13" s="1"/>
      <c r="B13" s="1"/>
      <c r="C13" s="1263" t="s">
        <v>1470</v>
      </c>
      <c r="D13" s="1264"/>
      <c r="E13" s="466"/>
      <c r="F13" s="466"/>
      <c r="G13" s="466"/>
      <c r="H13" s="466"/>
      <c r="I13" s="466"/>
      <c r="J13" s="466"/>
      <c r="K13" s="466"/>
      <c r="L13" s="466"/>
      <c r="M13" s="466"/>
      <c r="N13" s="467"/>
    </row>
    <row r="14" spans="1:14" s="108" customFormat="1" ht="15" customHeight="1">
      <c r="A14" s="1"/>
      <c r="B14" s="1"/>
      <c r="C14" s="363" t="s">
        <v>328</v>
      </c>
      <c r="D14" s="41"/>
      <c r="E14" s="466"/>
      <c r="F14" s="466"/>
      <c r="G14" s="466">
        <v>11835</v>
      </c>
      <c r="H14" s="466"/>
      <c r="I14" s="466"/>
      <c r="J14" s="466"/>
      <c r="K14" s="466"/>
      <c r="L14" s="466"/>
      <c r="M14" s="466"/>
      <c r="N14" s="467">
        <f>SUM(E14:M14)</f>
        <v>11835</v>
      </c>
    </row>
    <row r="15" spans="1:14" s="108" customFormat="1" ht="15" customHeight="1">
      <c r="A15" s="110"/>
      <c r="B15" s="110"/>
      <c r="C15" s="111" t="s">
        <v>1674</v>
      </c>
      <c r="D15" s="469">
        <f aca="true" t="shared" si="2" ref="D15:N15">SUM(D13:D14)</f>
        <v>0</v>
      </c>
      <c r="E15" s="469">
        <f t="shared" si="2"/>
        <v>0</v>
      </c>
      <c r="F15" s="469">
        <f t="shared" si="2"/>
        <v>0</v>
      </c>
      <c r="G15" s="469">
        <f t="shared" si="2"/>
        <v>11835</v>
      </c>
      <c r="H15" s="469">
        <f t="shared" si="2"/>
        <v>0</v>
      </c>
      <c r="I15" s="469">
        <f t="shared" si="2"/>
        <v>0</v>
      </c>
      <c r="J15" s="469">
        <f t="shared" si="2"/>
        <v>0</v>
      </c>
      <c r="K15" s="469">
        <f t="shared" si="2"/>
        <v>0</v>
      </c>
      <c r="L15" s="469">
        <f t="shared" si="2"/>
        <v>0</v>
      </c>
      <c r="M15" s="469">
        <f t="shared" si="2"/>
        <v>0</v>
      </c>
      <c r="N15" s="469">
        <f t="shared" si="2"/>
        <v>11835</v>
      </c>
    </row>
    <row r="16" spans="1:14" s="108" customFormat="1" ht="15" customHeight="1">
      <c r="A16" s="1192">
        <v>1</v>
      </c>
      <c r="B16" s="1192">
        <v>16</v>
      </c>
      <c r="C16" s="463" t="s">
        <v>1493</v>
      </c>
      <c r="D16" s="466"/>
      <c r="E16" s="466"/>
      <c r="F16" s="466"/>
      <c r="G16" s="466"/>
      <c r="H16" s="466"/>
      <c r="I16" s="466"/>
      <c r="J16" s="466"/>
      <c r="K16" s="466"/>
      <c r="L16" s="466"/>
      <c r="M16" s="466"/>
      <c r="N16" s="467"/>
    </row>
    <row r="17" spans="1:14" s="108" customFormat="1" ht="15" customHeight="1">
      <c r="A17" s="1"/>
      <c r="B17" s="1"/>
      <c r="C17" s="1198"/>
      <c r="D17" s="470"/>
      <c r="E17" s="466"/>
      <c r="F17" s="466"/>
      <c r="G17" s="466"/>
      <c r="H17" s="466"/>
      <c r="I17" s="466"/>
      <c r="J17" s="466"/>
      <c r="K17" s="466"/>
      <c r="L17" s="466"/>
      <c r="M17" s="466"/>
      <c r="N17" s="467">
        <f>SUM(D17:M17)</f>
        <v>0</v>
      </c>
    </row>
    <row r="18" spans="1:14" s="108" customFormat="1" ht="15" customHeight="1">
      <c r="A18" s="2"/>
      <c r="B18" s="2"/>
      <c r="C18" s="111" t="s">
        <v>1496</v>
      </c>
      <c r="D18" s="469"/>
      <c r="E18" s="469">
        <f>SUM(E17:E17)</f>
        <v>0</v>
      </c>
      <c r="F18" s="469"/>
      <c r="G18" s="469">
        <f>SUM(G17:G17)</f>
        <v>0</v>
      </c>
      <c r="H18" s="469"/>
      <c r="I18" s="469"/>
      <c r="J18" s="469"/>
      <c r="K18" s="469"/>
      <c r="L18" s="469"/>
      <c r="M18" s="469"/>
      <c r="N18" s="469">
        <f>SUM(N17:N17)</f>
        <v>0</v>
      </c>
    </row>
    <row r="19" spans="1:14" s="108" customFormat="1" ht="15" customHeight="1">
      <c r="A19" s="1192">
        <v>1</v>
      </c>
      <c r="B19" s="1192">
        <v>17</v>
      </c>
      <c r="C19" s="463" t="s">
        <v>52</v>
      </c>
      <c r="D19" s="466"/>
      <c r="E19" s="466"/>
      <c r="F19" s="466"/>
      <c r="G19" s="466"/>
      <c r="H19" s="466"/>
      <c r="I19" s="466"/>
      <c r="J19" s="466"/>
      <c r="K19" s="466"/>
      <c r="L19" s="466"/>
      <c r="M19" s="466"/>
      <c r="N19" s="467"/>
    </row>
    <row r="20" spans="1:14" s="108" customFormat="1" ht="24.75" customHeight="1">
      <c r="A20" s="1"/>
      <c r="B20" s="1"/>
      <c r="C20" s="145" t="s">
        <v>1565</v>
      </c>
      <c r="D20" s="466"/>
      <c r="E20" s="466"/>
      <c r="F20" s="466"/>
      <c r="G20" s="466"/>
      <c r="H20" s="466"/>
      <c r="I20" s="466"/>
      <c r="J20" s="466"/>
      <c r="K20" s="466"/>
      <c r="L20" s="466"/>
      <c r="M20" s="466"/>
      <c r="N20" s="467"/>
    </row>
    <row r="21" spans="1:14" s="108" customFormat="1" ht="16.5" customHeight="1">
      <c r="A21" s="1"/>
      <c r="B21" s="1"/>
      <c r="C21" s="5" t="s">
        <v>329</v>
      </c>
      <c r="D21" s="466"/>
      <c r="E21" s="466"/>
      <c r="F21" s="466"/>
      <c r="G21" s="466"/>
      <c r="H21" s="466">
        <v>1200</v>
      </c>
      <c r="I21" s="466"/>
      <c r="J21" s="466"/>
      <c r="K21" s="466"/>
      <c r="L21" s="466"/>
      <c r="M21" s="466"/>
      <c r="N21" s="467">
        <f>SUM(D21:M21)</f>
        <v>1200</v>
      </c>
    </row>
    <row r="22" spans="1:14" s="108" customFormat="1" ht="24.75" customHeight="1">
      <c r="A22" s="1"/>
      <c r="B22" s="1"/>
      <c r="C22" s="316" t="s">
        <v>1809</v>
      </c>
      <c r="D22" s="466"/>
      <c r="E22" s="466"/>
      <c r="F22" s="466"/>
      <c r="G22" s="466"/>
      <c r="H22" s="466"/>
      <c r="I22" s="466"/>
      <c r="J22" s="466"/>
      <c r="K22" s="466"/>
      <c r="L22" s="466"/>
      <c r="M22" s="466"/>
      <c r="N22" s="467"/>
    </row>
    <row r="23" spans="1:14" s="108" customFormat="1" ht="24.75" customHeight="1">
      <c r="A23" s="1"/>
      <c r="B23" s="1"/>
      <c r="C23" s="1576" t="s">
        <v>1053</v>
      </c>
      <c r="D23" s="466"/>
      <c r="E23" s="466"/>
      <c r="F23" s="466"/>
      <c r="G23" s="466"/>
      <c r="H23" s="466"/>
      <c r="I23" s="466"/>
      <c r="J23" s="466"/>
      <c r="K23" s="466"/>
      <c r="L23" s="466">
        <v>-40321</v>
      </c>
      <c r="M23" s="466">
        <v>40321</v>
      </c>
      <c r="N23" s="467">
        <f>SUM(G23:M23)</f>
        <v>0</v>
      </c>
    </row>
    <row r="24" spans="1:14" s="108" customFormat="1" ht="16.5" customHeight="1">
      <c r="A24" s="110"/>
      <c r="B24" s="110"/>
      <c r="C24" s="111" t="s">
        <v>1672</v>
      </c>
      <c r="D24" s="469">
        <f aca="true" t="shared" si="3" ref="D24:N24">SUM(D20:D23)</f>
        <v>0</v>
      </c>
      <c r="E24" s="469">
        <f t="shared" si="3"/>
        <v>0</v>
      </c>
      <c r="F24" s="469">
        <f t="shared" si="3"/>
        <v>0</v>
      </c>
      <c r="G24" s="469">
        <f t="shared" si="3"/>
        <v>0</v>
      </c>
      <c r="H24" s="469">
        <f t="shared" si="3"/>
        <v>1200</v>
      </c>
      <c r="I24" s="469">
        <f t="shared" si="3"/>
        <v>0</v>
      </c>
      <c r="J24" s="469">
        <f t="shared" si="3"/>
        <v>0</v>
      </c>
      <c r="K24" s="469">
        <f t="shared" si="3"/>
        <v>0</v>
      </c>
      <c r="L24" s="469">
        <f t="shared" si="3"/>
        <v>-40321</v>
      </c>
      <c r="M24" s="469">
        <f t="shared" si="3"/>
        <v>40321</v>
      </c>
      <c r="N24" s="469">
        <f t="shared" si="3"/>
        <v>1200</v>
      </c>
    </row>
    <row r="25" spans="1:14" s="108" customFormat="1" ht="12.75" customHeight="1">
      <c r="A25" s="1192">
        <v>1</v>
      </c>
      <c r="B25" s="1192">
        <v>18</v>
      </c>
      <c r="C25" s="463" t="s">
        <v>879</v>
      </c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467"/>
    </row>
    <row r="26" spans="1:14" s="108" customFormat="1" ht="24" customHeight="1">
      <c r="A26" s="1192"/>
      <c r="B26" s="1192"/>
      <c r="C26" s="145" t="s">
        <v>1565</v>
      </c>
      <c r="D26" s="466"/>
      <c r="E26" s="466"/>
      <c r="F26" s="466"/>
      <c r="G26" s="466"/>
      <c r="H26" s="466"/>
      <c r="I26" s="466"/>
      <c r="J26" s="466"/>
      <c r="K26" s="466"/>
      <c r="L26" s="466"/>
      <c r="M26" s="466"/>
      <c r="N26" s="467"/>
    </row>
    <row r="27" spans="1:14" s="108" customFormat="1" ht="12.75" customHeight="1">
      <c r="A27" s="1192"/>
      <c r="B27" s="1192"/>
      <c r="C27" s="160" t="s">
        <v>1173</v>
      </c>
      <c r="D27" s="466"/>
      <c r="E27" s="466"/>
      <c r="F27" s="466"/>
      <c r="G27" s="466">
        <v>1605</v>
      </c>
      <c r="H27" s="466"/>
      <c r="I27" s="466"/>
      <c r="J27" s="466"/>
      <c r="K27" s="466"/>
      <c r="L27" s="466"/>
      <c r="M27" s="466"/>
      <c r="N27" s="467">
        <f>SUM(D27:M27)</f>
        <v>1605</v>
      </c>
    </row>
    <row r="28" spans="1:14" s="108" customFormat="1" ht="18.75" customHeight="1">
      <c r="A28" s="2"/>
      <c r="B28" s="2"/>
      <c r="C28" s="111" t="s">
        <v>667</v>
      </c>
      <c r="D28" s="469">
        <v>0</v>
      </c>
      <c r="E28" s="469">
        <f aca="true" t="shared" si="4" ref="E28:N28">SUM(E27:E27)</f>
        <v>0</v>
      </c>
      <c r="F28" s="469">
        <f t="shared" si="4"/>
        <v>0</v>
      </c>
      <c r="G28" s="469">
        <f t="shared" si="4"/>
        <v>1605</v>
      </c>
      <c r="H28" s="469">
        <f t="shared" si="4"/>
        <v>0</v>
      </c>
      <c r="I28" s="469">
        <f t="shared" si="4"/>
        <v>0</v>
      </c>
      <c r="J28" s="469">
        <f t="shared" si="4"/>
        <v>0</v>
      </c>
      <c r="K28" s="469">
        <f t="shared" si="4"/>
        <v>0</v>
      </c>
      <c r="L28" s="469">
        <f t="shared" si="4"/>
        <v>0</v>
      </c>
      <c r="M28" s="469">
        <f t="shared" si="4"/>
        <v>0</v>
      </c>
      <c r="N28" s="469">
        <f t="shared" si="4"/>
        <v>1605</v>
      </c>
    </row>
    <row r="29" spans="1:14" s="108" customFormat="1" ht="15" customHeight="1">
      <c r="A29" s="1">
        <v>1</v>
      </c>
      <c r="B29" s="1">
        <v>19</v>
      </c>
      <c r="C29" s="463" t="s">
        <v>893</v>
      </c>
      <c r="D29" s="466"/>
      <c r="E29" s="466"/>
      <c r="F29" s="466"/>
      <c r="G29" s="466"/>
      <c r="H29" s="466"/>
      <c r="I29" s="466"/>
      <c r="J29" s="466"/>
      <c r="K29" s="466"/>
      <c r="L29" s="466"/>
      <c r="M29" s="466"/>
      <c r="N29" s="467"/>
    </row>
    <row r="30" spans="1:14" s="108" customFormat="1" ht="24.75" customHeight="1">
      <c r="A30" s="1"/>
      <c r="B30" s="1"/>
      <c r="C30" s="5" t="s">
        <v>1702</v>
      </c>
      <c r="D30" s="466"/>
      <c r="E30" s="466"/>
      <c r="F30" s="466"/>
      <c r="G30" s="466"/>
      <c r="H30" s="466"/>
      <c r="I30" s="466"/>
      <c r="J30" s="466"/>
      <c r="K30" s="466"/>
      <c r="L30" s="466"/>
      <c r="M30" s="466"/>
      <c r="N30" s="467"/>
    </row>
    <row r="31" spans="1:14" s="108" customFormat="1" ht="15.75" customHeight="1">
      <c r="A31" s="1"/>
      <c r="B31" s="1"/>
      <c r="C31" s="3" t="s">
        <v>330</v>
      </c>
      <c r="D31" s="470">
        <v>1</v>
      </c>
      <c r="E31" s="466"/>
      <c r="F31" s="466"/>
      <c r="G31" s="466"/>
      <c r="H31" s="466"/>
      <c r="I31" s="466"/>
      <c r="J31" s="466"/>
      <c r="K31" s="466"/>
      <c r="L31" s="466"/>
      <c r="M31" s="466"/>
      <c r="N31" s="467">
        <v>1</v>
      </c>
    </row>
    <row r="32" spans="1:14" s="108" customFormat="1" ht="17.25" customHeight="1">
      <c r="A32" s="1"/>
      <c r="B32" s="1"/>
      <c r="C32" s="5" t="s">
        <v>331</v>
      </c>
      <c r="D32" s="470">
        <v>-1</v>
      </c>
      <c r="E32" s="466"/>
      <c r="F32" s="466"/>
      <c r="G32" s="466"/>
      <c r="H32" s="466"/>
      <c r="I32" s="466"/>
      <c r="J32" s="466"/>
      <c r="K32" s="466"/>
      <c r="L32" s="466"/>
      <c r="M32" s="466"/>
      <c r="N32" s="467">
        <v>-1</v>
      </c>
    </row>
    <row r="33" spans="1:14" s="108" customFormat="1" ht="15" customHeight="1">
      <c r="A33" s="1"/>
      <c r="B33" s="1"/>
      <c r="C33" s="109" t="s">
        <v>332</v>
      </c>
      <c r="D33" s="470">
        <v>1</v>
      </c>
      <c r="E33" s="466">
        <v>800000</v>
      </c>
      <c r="F33" s="466"/>
      <c r="G33" s="466"/>
      <c r="H33" s="466"/>
      <c r="I33" s="466"/>
      <c r="J33" s="466"/>
      <c r="K33" s="466"/>
      <c r="L33" s="466"/>
      <c r="M33" s="466"/>
      <c r="N33" s="467">
        <f>SUM(D33:M33)</f>
        <v>800001</v>
      </c>
    </row>
    <row r="34" spans="1:14" s="108" customFormat="1" ht="24" customHeight="1">
      <c r="A34" s="1"/>
      <c r="B34" s="1"/>
      <c r="C34" s="170" t="s">
        <v>1810</v>
      </c>
      <c r="D34" s="470"/>
      <c r="E34" s="466"/>
      <c r="F34" s="466"/>
      <c r="G34" s="466"/>
      <c r="H34" s="466"/>
      <c r="I34" s="466"/>
      <c r="J34" s="466"/>
      <c r="K34" s="466"/>
      <c r="L34" s="466"/>
      <c r="M34" s="466"/>
      <c r="N34" s="467"/>
    </row>
    <row r="35" spans="1:14" s="108" customFormat="1" ht="15" customHeight="1">
      <c r="A35" s="1"/>
      <c r="B35" s="1"/>
      <c r="C35" s="3" t="s">
        <v>1085</v>
      </c>
      <c r="D35" s="470"/>
      <c r="E35" s="466"/>
      <c r="F35" s="466">
        <v>-25000</v>
      </c>
      <c r="G35" s="466"/>
      <c r="H35" s="466"/>
      <c r="I35" s="466"/>
      <c r="J35" s="466"/>
      <c r="K35" s="466"/>
      <c r="L35" s="466"/>
      <c r="M35" s="466"/>
      <c r="N35" s="467">
        <f>SUM(D35:M35)</f>
        <v>-25000</v>
      </c>
    </row>
    <row r="36" spans="1:14" s="108" customFormat="1" ht="24.75" customHeight="1">
      <c r="A36" s="1"/>
      <c r="B36" s="1"/>
      <c r="C36" s="480" t="s">
        <v>1809</v>
      </c>
      <c r="D36" s="470"/>
      <c r="E36" s="466"/>
      <c r="F36" s="466"/>
      <c r="G36" s="466"/>
      <c r="H36" s="466"/>
      <c r="I36" s="466"/>
      <c r="J36" s="466"/>
      <c r="K36" s="466"/>
      <c r="L36" s="466"/>
      <c r="M36" s="466"/>
      <c r="N36" s="467"/>
    </row>
    <row r="37" spans="1:14" s="108" customFormat="1" ht="15" customHeight="1">
      <c r="A37" s="1"/>
      <c r="B37" s="1"/>
      <c r="C37" s="171" t="s">
        <v>570</v>
      </c>
      <c r="D37" s="470"/>
      <c r="E37" s="466"/>
      <c r="F37" s="466"/>
      <c r="G37" s="466"/>
      <c r="H37" s="466"/>
      <c r="I37" s="466"/>
      <c r="J37" s="466"/>
      <c r="K37" s="466"/>
      <c r="L37" s="466">
        <v>-165857</v>
      </c>
      <c r="M37" s="466">
        <v>165857</v>
      </c>
      <c r="N37" s="467">
        <f>SUM(D37:M37)</f>
        <v>0</v>
      </c>
    </row>
    <row r="38" spans="1:14" s="108" customFormat="1" ht="12.75" customHeight="1">
      <c r="A38" s="2"/>
      <c r="B38" s="110"/>
      <c r="C38" s="111" t="s">
        <v>895</v>
      </c>
      <c r="D38" s="469">
        <f aca="true" t="shared" si="5" ref="D38:N38">SUM(D29:D37)</f>
        <v>1</v>
      </c>
      <c r="E38" s="469">
        <f t="shared" si="5"/>
        <v>800000</v>
      </c>
      <c r="F38" s="469">
        <f t="shared" si="5"/>
        <v>-25000</v>
      </c>
      <c r="G38" s="469">
        <f t="shared" si="5"/>
        <v>0</v>
      </c>
      <c r="H38" s="469">
        <f t="shared" si="5"/>
        <v>0</v>
      </c>
      <c r="I38" s="469">
        <f t="shared" si="5"/>
        <v>0</v>
      </c>
      <c r="J38" s="469">
        <f t="shared" si="5"/>
        <v>0</v>
      </c>
      <c r="K38" s="469">
        <f t="shared" si="5"/>
        <v>0</v>
      </c>
      <c r="L38" s="469">
        <f t="shared" si="5"/>
        <v>-165857</v>
      </c>
      <c r="M38" s="469">
        <f t="shared" si="5"/>
        <v>165857</v>
      </c>
      <c r="N38" s="469">
        <f t="shared" si="5"/>
        <v>775001</v>
      </c>
    </row>
    <row r="39" spans="1:14" s="108" customFormat="1" ht="12.75" customHeight="1">
      <c r="A39" s="116">
        <v>1</v>
      </c>
      <c r="B39" s="116">
        <v>20</v>
      </c>
      <c r="C39" s="117" t="s">
        <v>1886</v>
      </c>
      <c r="D39" s="482"/>
      <c r="E39" s="482"/>
      <c r="F39" s="482"/>
      <c r="G39" s="482"/>
      <c r="H39" s="482"/>
      <c r="I39" s="482"/>
      <c r="J39" s="482"/>
      <c r="K39" s="482"/>
      <c r="L39" s="482"/>
      <c r="M39" s="482"/>
      <c r="N39" s="482"/>
    </row>
    <row r="40" spans="1:14" s="108" customFormat="1" ht="18" customHeight="1">
      <c r="A40" s="116"/>
      <c r="B40" s="116"/>
      <c r="C40" s="5"/>
      <c r="D40" s="482"/>
      <c r="E40" s="482"/>
      <c r="F40" s="482"/>
      <c r="G40" s="482"/>
      <c r="H40" s="482"/>
      <c r="I40" s="482"/>
      <c r="J40" s="482"/>
      <c r="K40" s="482"/>
      <c r="L40" s="482"/>
      <c r="M40" s="482"/>
      <c r="N40" s="482"/>
    </row>
    <row r="41" spans="1:14" s="108" customFormat="1" ht="12.75" customHeight="1">
      <c r="A41" s="2"/>
      <c r="B41" s="110"/>
      <c r="C41" s="111" t="s">
        <v>677</v>
      </c>
      <c r="D41" s="469">
        <f aca="true" t="shared" si="6" ref="D41:N41">SUM(D39:D40)</f>
        <v>0</v>
      </c>
      <c r="E41" s="469">
        <f t="shared" si="6"/>
        <v>0</v>
      </c>
      <c r="F41" s="469">
        <f t="shared" si="6"/>
        <v>0</v>
      </c>
      <c r="G41" s="469">
        <f t="shared" si="6"/>
        <v>0</v>
      </c>
      <c r="H41" s="469">
        <f t="shared" si="6"/>
        <v>0</v>
      </c>
      <c r="I41" s="469">
        <f t="shared" si="6"/>
        <v>0</v>
      </c>
      <c r="J41" s="469">
        <f t="shared" si="6"/>
        <v>0</v>
      </c>
      <c r="K41" s="469">
        <f t="shared" si="6"/>
        <v>0</v>
      </c>
      <c r="L41" s="469">
        <f t="shared" si="6"/>
        <v>0</v>
      </c>
      <c r="M41" s="469">
        <f t="shared" si="6"/>
        <v>0</v>
      </c>
      <c r="N41" s="469">
        <f t="shared" si="6"/>
        <v>0</v>
      </c>
    </row>
    <row r="42" spans="1:14" s="108" customFormat="1" ht="12.75" customHeight="1">
      <c r="A42" s="116">
        <v>1</v>
      </c>
      <c r="B42" s="116">
        <v>22</v>
      </c>
      <c r="C42" s="117" t="s">
        <v>1090</v>
      </c>
      <c r="D42" s="482"/>
      <c r="E42" s="482"/>
      <c r="F42" s="482"/>
      <c r="G42" s="482"/>
      <c r="H42" s="482"/>
      <c r="I42" s="482"/>
      <c r="J42" s="482"/>
      <c r="K42" s="482"/>
      <c r="L42" s="482"/>
      <c r="M42" s="482"/>
      <c r="N42" s="482"/>
    </row>
    <row r="43" spans="1:14" s="108" customFormat="1" ht="12.75" customHeight="1">
      <c r="A43" s="116"/>
      <c r="B43" s="116"/>
      <c r="C43" s="1202"/>
      <c r="D43" s="482"/>
      <c r="E43" s="482"/>
      <c r="F43" s="482"/>
      <c r="G43" s="475"/>
      <c r="H43" s="475"/>
      <c r="I43" s="475"/>
      <c r="J43" s="475"/>
      <c r="K43" s="482"/>
      <c r="L43" s="482"/>
      <c r="M43" s="482"/>
      <c r="N43" s="475">
        <f>SUM(D43:M43)</f>
        <v>0</v>
      </c>
    </row>
    <row r="44" spans="1:14" s="108" customFormat="1" ht="12.75" customHeight="1">
      <c r="A44" s="2"/>
      <c r="B44" s="110"/>
      <c r="C44" s="111" t="s">
        <v>1092</v>
      </c>
      <c r="D44" s="469">
        <f aca="true" t="shared" si="7" ref="D44:N44">SUM(D43:D43)</f>
        <v>0</v>
      </c>
      <c r="E44" s="469">
        <f t="shared" si="7"/>
        <v>0</v>
      </c>
      <c r="F44" s="469">
        <f t="shared" si="7"/>
        <v>0</v>
      </c>
      <c r="G44" s="469">
        <f t="shared" si="7"/>
        <v>0</v>
      </c>
      <c r="H44" s="469">
        <f t="shared" si="7"/>
        <v>0</v>
      </c>
      <c r="I44" s="469">
        <f t="shared" si="7"/>
        <v>0</v>
      </c>
      <c r="J44" s="469">
        <f t="shared" si="7"/>
        <v>0</v>
      </c>
      <c r="K44" s="469">
        <f t="shared" si="7"/>
        <v>0</v>
      </c>
      <c r="L44" s="469">
        <f t="shared" si="7"/>
        <v>0</v>
      </c>
      <c r="M44" s="469">
        <f t="shared" si="7"/>
        <v>0</v>
      </c>
      <c r="N44" s="469">
        <f t="shared" si="7"/>
        <v>0</v>
      </c>
    </row>
    <row r="45" spans="1:14" s="108" customFormat="1" ht="25.5" customHeight="1">
      <c r="A45" s="110"/>
      <c r="B45" s="110"/>
      <c r="C45" s="484" t="s">
        <v>602</v>
      </c>
      <c r="D45" s="469">
        <f aca="true" t="shared" si="8" ref="D45:N45">SUM(D7+D11+D15+D18+D24+D28+D38+D41+D44)</f>
        <v>1</v>
      </c>
      <c r="E45" s="469">
        <f t="shared" si="8"/>
        <v>800000</v>
      </c>
      <c r="F45" s="469">
        <f t="shared" si="8"/>
        <v>-25000</v>
      </c>
      <c r="G45" s="469">
        <f t="shared" si="8"/>
        <v>13440</v>
      </c>
      <c r="H45" s="469">
        <f t="shared" si="8"/>
        <v>1200</v>
      </c>
      <c r="I45" s="469">
        <f t="shared" si="8"/>
        <v>0</v>
      </c>
      <c r="J45" s="469">
        <f t="shared" si="8"/>
        <v>0</v>
      </c>
      <c r="K45" s="469">
        <f t="shared" si="8"/>
        <v>0</v>
      </c>
      <c r="L45" s="469">
        <f t="shared" si="8"/>
        <v>-206178</v>
      </c>
      <c r="M45" s="469">
        <f t="shared" si="8"/>
        <v>206178</v>
      </c>
      <c r="N45" s="469">
        <f t="shared" si="8"/>
        <v>789641</v>
      </c>
    </row>
    <row r="46" spans="1:14" s="108" customFormat="1" ht="15" customHeight="1">
      <c r="A46" s="114">
        <v>2</v>
      </c>
      <c r="B46" s="116"/>
      <c r="C46" s="113" t="s">
        <v>398</v>
      </c>
      <c r="D46" s="475">
        <f>'[5]táj.1.'!C20</f>
        <v>0</v>
      </c>
      <c r="E46" s="475">
        <f>'[5]táj.1.'!D20</f>
        <v>91</v>
      </c>
      <c r="F46" s="475">
        <f>'[5]táj.1.'!E20</f>
        <v>0</v>
      </c>
      <c r="G46" s="475">
        <f>'[5]táj.1.'!F20</f>
        <v>8317</v>
      </c>
      <c r="H46" s="475">
        <f>'[5]táj.1.'!G20</f>
        <v>0</v>
      </c>
      <c r="I46" s="475">
        <f>'[5]táj.1.'!H20</f>
        <v>0</v>
      </c>
      <c r="J46" s="475">
        <f>'[5]táj.1.'!I20</f>
        <v>0</v>
      </c>
      <c r="K46" s="475"/>
      <c r="L46" s="475">
        <f>'[5]táj.1.'!J20</f>
        <v>0</v>
      </c>
      <c r="M46" s="475">
        <f>'[5]táj.1.'!L20</f>
        <v>0</v>
      </c>
      <c r="N46" s="475">
        <f>SUM(D46:M46)</f>
        <v>8408</v>
      </c>
    </row>
    <row r="47" spans="1:14" s="108" customFormat="1" ht="15" customHeight="1">
      <c r="A47" s="110"/>
      <c r="B47" s="110"/>
      <c r="C47" s="111" t="s">
        <v>376</v>
      </c>
      <c r="D47" s="469">
        <f aca="true" t="shared" si="9" ref="D47:N47">SUM(D45:D46)</f>
        <v>1</v>
      </c>
      <c r="E47" s="469">
        <f t="shared" si="9"/>
        <v>800091</v>
      </c>
      <c r="F47" s="469">
        <f t="shared" si="9"/>
        <v>-25000</v>
      </c>
      <c r="G47" s="469">
        <f t="shared" si="9"/>
        <v>21757</v>
      </c>
      <c r="H47" s="469">
        <f t="shared" si="9"/>
        <v>1200</v>
      </c>
      <c r="I47" s="469">
        <f t="shared" si="9"/>
        <v>0</v>
      </c>
      <c r="J47" s="469">
        <f t="shared" si="9"/>
        <v>0</v>
      </c>
      <c r="K47" s="469">
        <f t="shared" si="9"/>
        <v>0</v>
      </c>
      <c r="L47" s="469">
        <f t="shared" si="9"/>
        <v>-206178</v>
      </c>
      <c r="M47" s="469">
        <f t="shared" si="9"/>
        <v>206178</v>
      </c>
      <c r="N47" s="469">
        <f t="shared" si="9"/>
        <v>798049</v>
      </c>
    </row>
    <row r="48" spans="1:14" s="108" customFormat="1" ht="13.5" customHeight="1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</row>
    <row r="49" spans="1:14" ht="12.75">
      <c r="A49" s="129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</row>
    <row r="50" spans="1:14" ht="12.75">
      <c r="A50" s="129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</row>
    <row r="51" spans="1:14" ht="12.75">
      <c r="A51" s="129"/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50"/>
    </row>
    <row r="52" spans="1:14" ht="12.75">
      <c r="A52" s="129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</row>
    <row r="53" spans="1:14" ht="12.75">
      <c r="A53" s="129"/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</row>
    <row r="54" spans="1:14" ht="12.75">
      <c r="A54" s="129"/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</row>
    <row r="55" spans="1:14" ht="12.75">
      <c r="A55" s="129"/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</row>
    <row r="56" spans="1:14" ht="12.75">
      <c r="A56" s="129"/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</row>
    <row r="57" spans="3:14" ht="12.75"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</row>
    <row r="58" spans="3:14" ht="12.75"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</row>
    <row r="59" spans="3:14" ht="12.75"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</row>
    <row r="60" spans="3:14" ht="12.75"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</row>
    <row r="61" spans="3:14" ht="12.75"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</row>
    <row r="62" spans="3:14" ht="12.75"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</row>
    <row r="63" spans="3:14" ht="12.75"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</row>
    <row r="64" spans="3:14" ht="12.75"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</row>
    <row r="65" spans="3:14" ht="12.75"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</row>
    <row r="66" spans="3:14" ht="12.75"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</row>
    <row r="67" spans="3:14" ht="12.75"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</row>
    <row r="68" spans="3:14" ht="12.75"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</row>
    <row r="69" spans="3:14" ht="12.75"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</row>
    <row r="70" spans="3:14" ht="12.75"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</row>
    <row r="71" spans="3:14" ht="12.75"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</row>
    <row r="72" spans="3:14" ht="12.75"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</row>
    <row r="73" spans="3:14" ht="12.75"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</row>
  </sheetData>
  <sheetProtection/>
  <mergeCells count="4">
    <mergeCell ref="D1:J1"/>
    <mergeCell ref="K1:M1"/>
    <mergeCell ref="N1:N2"/>
    <mergeCell ref="C13:D13"/>
  </mergeCells>
  <printOptions horizontalCentered="1" verticalCentered="1"/>
  <pageMargins left="0.11811023622047245" right="0.11811023622047245" top="1.1811023622047245" bottom="0.7086614173228347" header="0.5905511811023623" footer="0.5118110236220472"/>
  <pageSetup horizontalDpi="600" verticalDpi="600" orientation="landscape" paperSize="9" scale="90" r:id="rId1"/>
  <headerFooter alignWithMargins="0">
    <oddHeader>&amp;C&amp;"Times New Roman,Normál"ZALAEGERSZEG MEGYEI JOGÚ VÁROS ÖNKORMÁNYZATA
2014. ÉVI BEVÉTELI ELŐIRÁNYZATAINAK  MÓDOSÍTÁSA &amp;R&amp;"Times New Roman,Normál"5.a  melléklet mód.
Adatok: ezer Ft-ban</oddHeader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28"/>
  <sheetViews>
    <sheetView zoomScale="120" zoomScaleNormal="120" workbookViewId="0" topLeftCell="A1">
      <pane ySplit="2" topLeftCell="BM3" activePane="bottomLeft" state="frozen"/>
      <selection pane="topLeft" activeCell="B1" sqref="B1"/>
      <selection pane="bottomLeft" activeCell="L17" sqref="L17:M17"/>
    </sheetView>
  </sheetViews>
  <sheetFormatPr defaultColWidth="9.00390625" defaultRowHeight="12.75"/>
  <cols>
    <col min="1" max="1" width="6.875" style="24" customWidth="1"/>
    <col min="2" max="2" width="7.00390625" style="24" customWidth="1"/>
    <col min="3" max="3" width="28.00390625" style="24" customWidth="1"/>
    <col min="4" max="4" width="10.00390625" style="24" customWidth="1"/>
    <col min="5" max="5" width="11.875" style="24" customWidth="1"/>
    <col min="6" max="6" width="9.875" style="24" customWidth="1"/>
    <col min="7" max="7" width="9.625" style="24" customWidth="1"/>
    <col min="8" max="8" width="10.50390625" style="24" customWidth="1"/>
    <col min="9" max="9" width="10.125" style="24" bestFit="1" customWidth="1"/>
    <col min="10" max="10" width="9.875" style="24" bestFit="1" customWidth="1"/>
    <col min="11" max="11" width="9.50390625" style="24" customWidth="1"/>
    <col min="12" max="12" width="11.00390625" style="24" customWidth="1"/>
    <col min="13" max="13" width="11.625" style="37" customWidth="1"/>
    <col min="14" max="14" width="10.875" style="37" customWidth="1"/>
    <col min="15" max="16384" width="9.375" style="24" customWidth="1"/>
  </cols>
  <sheetData>
    <row r="1" spans="1:14" s="447" customFormat="1" ht="12.75">
      <c r="A1" s="830"/>
      <c r="B1" s="831"/>
      <c r="C1" s="831"/>
      <c r="D1" s="1282" t="s">
        <v>60</v>
      </c>
      <c r="E1" s="1283"/>
      <c r="F1" s="1283"/>
      <c r="G1" s="1283"/>
      <c r="H1" s="1283"/>
      <c r="I1" s="1283"/>
      <c r="J1" s="1283"/>
      <c r="K1" s="1284"/>
      <c r="L1" s="1285" t="s">
        <v>59</v>
      </c>
      <c r="M1" s="1286"/>
      <c r="N1" s="832"/>
    </row>
    <row r="2" spans="1:14" s="33" customFormat="1" ht="60" customHeight="1" thickBot="1">
      <c r="A2" s="833" t="s">
        <v>896</v>
      </c>
      <c r="B2" s="834" t="s">
        <v>897</v>
      </c>
      <c r="C2" s="834" t="s">
        <v>46</v>
      </c>
      <c r="D2" s="204" t="s">
        <v>280</v>
      </c>
      <c r="E2" s="204" t="s">
        <v>603</v>
      </c>
      <c r="F2" s="204" t="s">
        <v>423</v>
      </c>
      <c r="G2" s="204" t="s">
        <v>992</v>
      </c>
      <c r="H2" s="204" t="s">
        <v>1238</v>
      </c>
      <c r="I2" s="204" t="s">
        <v>1222</v>
      </c>
      <c r="J2" s="204" t="s">
        <v>1221</v>
      </c>
      <c r="K2" s="204" t="s">
        <v>1368</v>
      </c>
      <c r="L2" s="204" t="s">
        <v>604</v>
      </c>
      <c r="M2" s="204" t="s">
        <v>69</v>
      </c>
      <c r="N2" s="835" t="s">
        <v>390</v>
      </c>
    </row>
    <row r="3" spans="1:14" s="33" customFormat="1" ht="15" customHeight="1">
      <c r="A3" s="8">
        <v>1</v>
      </c>
      <c r="B3" s="8"/>
      <c r="C3" s="836" t="s">
        <v>396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33" customFormat="1" ht="15" customHeight="1">
      <c r="A4" s="8">
        <v>1</v>
      </c>
      <c r="B4" s="8">
        <v>1</v>
      </c>
      <c r="C4" s="448" t="s">
        <v>1885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s="34" customFormat="1" ht="13.5" customHeight="1">
      <c r="A5" s="837"/>
      <c r="B5" s="837">
        <v>12</v>
      </c>
      <c r="C5" s="836" t="s">
        <v>249</v>
      </c>
      <c r="D5" s="838" t="e">
        <f>0+#REF!</f>
        <v>#REF!</v>
      </c>
      <c r="E5" s="838" t="e">
        <f>2500+#REF!</f>
        <v>#REF!</v>
      </c>
      <c r="F5" s="838" t="e">
        <f>21955+#REF!</f>
        <v>#REF!</v>
      </c>
      <c r="G5" s="838" t="e">
        <f>394242+#REF!</f>
        <v>#REF!</v>
      </c>
      <c r="H5" s="838" t="e">
        <f>24800+#REF!</f>
        <v>#REF!</v>
      </c>
      <c r="I5" s="838" t="e">
        <f>0+#REF!</f>
        <v>#REF!</v>
      </c>
      <c r="J5" s="838" t="e">
        <f>0+#REF!</f>
        <v>#REF!</v>
      </c>
      <c r="K5" s="838" t="e">
        <f>36924+#REF!</f>
        <v>#REF!</v>
      </c>
      <c r="L5" s="838" t="e">
        <f>0+#REF!</f>
        <v>#REF!</v>
      </c>
      <c r="M5" s="838" t="e">
        <f>0+#REF!</f>
        <v>#REF!</v>
      </c>
      <c r="N5" s="838" t="e">
        <f aca="true" t="shared" si="0" ref="N5:N14">SUM(D5:M5)</f>
        <v>#REF!</v>
      </c>
    </row>
    <row r="6" spans="1:14" s="44" customFormat="1" ht="13.5" customHeight="1">
      <c r="A6" s="10"/>
      <c r="B6" s="10">
        <v>13</v>
      </c>
      <c r="C6" s="839" t="s">
        <v>250</v>
      </c>
      <c r="D6" s="61" t="e">
        <f>10398+#REF!</f>
        <v>#REF!</v>
      </c>
      <c r="E6" s="61" t="e">
        <f>3128+#REF!</f>
        <v>#REF!</v>
      </c>
      <c r="F6" s="61" t="e">
        <f>214004+#REF!</f>
        <v>#REF!</v>
      </c>
      <c r="G6" s="61" t="e">
        <f>18205+#REF!</f>
        <v>#REF!</v>
      </c>
      <c r="H6" s="61" t="e">
        <f>489095+#REF!</f>
        <v>#REF!</v>
      </c>
      <c r="I6" s="61" t="e">
        <f>284814+#REF!</f>
        <v>#REF!</v>
      </c>
      <c r="J6" s="61" t="e">
        <f>201563+#REF!</f>
        <v>#REF!</v>
      </c>
      <c r="K6" s="61" t="e">
        <f>139493+#REF!</f>
        <v>#REF!</v>
      </c>
      <c r="L6" s="61" t="e">
        <f>0+#REF!</f>
        <v>#REF!</v>
      </c>
      <c r="M6" s="61" t="e">
        <f>0+#REF!</f>
        <v>#REF!</v>
      </c>
      <c r="N6" s="61" t="e">
        <f t="shared" si="0"/>
        <v>#REF!</v>
      </c>
    </row>
    <row r="7" spans="1:14" s="34" customFormat="1" ht="13.5" customHeight="1">
      <c r="A7" s="837"/>
      <c r="B7" s="837">
        <v>15</v>
      </c>
      <c r="C7" s="840" t="s">
        <v>51</v>
      </c>
      <c r="D7" s="838" t="e">
        <f>2696+#REF!</f>
        <v>#REF!</v>
      </c>
      <c r="E7" s="838" t="e">
        <f>615+#REF!</f>
        <v>#REF!</v>
      </c>
      <c r="F7" s="838" t="e">
        <f>1310379+#REF!</f>
        <v>#REF!</v>
      </c>
      <c r="G7" s="838" t="e">
        <f>0+#REF!</f>
        <v>#REF!</v>
      </c>
      <c r="H7" s="838" t="e">
        <f>39644+#REF!</f>
        <v>#REF!</v>
      </c>
      <c r="I7" s="838" t="e">
        <f>253282+#REF!</f>
        <v>#REF!</v>
      </c>
      <c r="J7" s="838" t="e">
        <f>656159+#REF!</f>
        <v>#REF!</v>
      </c>
      <c r="K7" s="838" t="e">
        <f>640049+#REF!</f>
        <v>#REF!</v>
      </c>
      <c r="L7" s="838" t="e">
        <f>0+#REF!</f>
        <v>#REF!</v>
      </c>
      <c r="M7" s="838" t="e">
        <f>0+#REF!</f>
        <v>#REF!</v>
      </c>
      <c r="N7" s="838" t="e">
        <f t="shared" si="0"/>
        <v>#REF!</v>
      </c>
    </row>
    <row r="8" spans="1:15" s="34" customFormat="1" ht="13.5" customHeight="1">
      <c r="A8" s="837"/>
      <c r="B8" s="837">
        <v>16</v>
      </c>
      <c r="C8" s="840" t="s">
        <v>1493</v>
      </c>
      <c r="D8" s="838" t="e">
        <f>0+#REF!</f>
        <v>#REF!</v>
      </c>
      <c r="E8" s="838" t="e">
        <f>0+#REF!</f>
        <v>#REF!</v>
      </c>
      <c r="F8" s="838" t="e">
        <f>138393+#REF!</f>
        <v>#REF!</v>
      </c>
      <c r="G8" s="838" t="e">
        <f>0+#REF!</f>
        <v>#REF!</v>
      </c>
      <c r="H8" s="838" t="e">
        <f>42208+#REF!</f>
        <v>#REF!</v>
      </c>
      <c r="I8" s="838" t="e">
        <f>5398396+#REF!</f>
        <v>#REF!</v>
      </c>
      <c r="J8" s="838" t="e">
        <f>333960+#REF!</f>
        <v>#REF!</v>
      </c>
      <c r="K8" s="838" t="e">
        <f>47323+#REF!</f>
        <v>#REF!</v>
      </c>
      <c r="L8" s="838" t="e">
        <f>0+#REF!</f>
        <v>#REF!</v>
      </c>
      <c r="M8" s="838" t="e">
        <f>0+#REF!</f>
        <v>#REF!</v>
      </c>
      <c r="N8" s="838" t="e">
        <f t="shared" si="0"/>
        <v>#REF!</v>
      </c>
      <c r="O8" s="35"/>
    </row>
    <row r="9" spans="1:14" s="34" customFormat="1" ht="13.5" customHeight="1">
      <c r="A9" s="837"/>
      <c r="B9" s="837">
        <v>17</v>
      </c>
      <c r="C9" s="840" t="s">
        <v>52</v>
      </c>
      <c r="D9" s="838" t="e">
        <f>0+#REF!</f>
        <v>#REF!</v>
      </c>
      <c r="E9" s="838" t="e">
        <f>0+#REF!</f>
        <v>#REF!</v>
      </c>
      <c r="F9" s="838" t="e">
        <f>90592+#REF!</f>
        <v>#REF!</v>
      </c>
      <c r="G9" s="838" t="e">
        <f>0+#REF!</f>
        <v>#REF!</v>
      </c>
      <c r="H9" s="838" t="e">
        <f>72207+#REF!</f>
        <v>#REF!</v>
      </c>
      <c r="I9" s="838" t="e">
        <f>455342+#REF!</f>
        <v>#REF!</v>
      </c>
      <c r="J9" s="838" t="e">
        <f>31937+#REF!</f>
        <v>#REF!</v>
      </c>
      <c r="K9" s="838" t="e">
        <f>28969+#REF!</f>
        <v>#REF!</v>
      </c>
      <c r="L9" s="838" t="e">
        <f>0+#REF!</f>
        <v>#REF!</v>
      </c>
      <c r="M9" s="838" t="e">
        <f>63841+#REF!</f>
        <v>#REF!</v>
      </c>
      <c r="N9" s="838" t="e">
        <f t="shared" si="0"/>
        <v>#REF!</v>
      </c>
    </row>
    <row r="10" spans="1:14" s="34" customFormat="1" ht="13.5" customHeight="1">
      <c r="A10" s="837"/>
      <c r="B10" s="837">
        <v>18</v>
      </c>
      <c r="C10" s="840" t="s">
        <v>1694</v>
      </c>
      <c r="D10" s="838" t="e">
        <f>0+#REF!</f>
        <v>#REF!</v>
      </c>
      <c r="E10" s="838" t="e">
        <f>0+#REF!</f>
        <v>#REF!</v>
      </c>
      <c r="F10" s="838" t="e">
        <f>38174+#REF!</f>
        <v>#REF!</v>
      </c>
      <c r="G10" s="838" t="e">
        <f>0+#REF!</f>
        <v>#REF!</v>
      </c>
      <c r="H10" s="838" t="e">
        <f>1100+#REF!</f>
        <v>#REF!</v>
      </c>
      <c r="I10" s="838" t="e">
        <f>500+#REF!</f>
        <v>#REF!</v>
      </c>
      <c r="J10" s="838" t="e">
        <f>0+#REF!</f>
        <v>#REF!</v>
      </c>
      <c r="K10" s="838" t="e">
        <f>0+#REF!</f>
        <v>#REF!</v>
      </c>
      <c r="L10" s="838" t="e">
        <f>0+#REF!</f>
        <v>#REF!</v>
      </c>
      <c r="M10" s="838" t="e">
        <f>0+#REF!</f>
        <v>#REF!</v>
      </c>
      <c r="N10" s="838" t="e">
        <f t="shared" si="0"/>
        <v>#REF!</v>
      </c>
    </row>
    <row r="11" spans="1:14" s="34" customFormat="1" ht="13.5" customHeight="1">
      <c r="A11" s="837"/>
      <c r="B11" s="837">
        <v>19</v>
      </c>
      <c r="C11" s="841" t="s">
        <v>893</v>
      </c>
      <c r="D11" s="838" t="e">
        <f>0+#REF!</f>
        <v>#REF!</v>
      </c>
      <c r="E11" s="838" t="e">
        <f>0+#REF!</f>
        <v>#REF!</v>
      </c>
      <c r="F11" s="838" t="e">
        <f>498780+#REF!</f>
        <v>#REF!</v>
      </c>
      <c r="G11" s="838" t="e">
        <f>0+#REF!</f>
        <v>#REF!</v>
      </c>
      <c r="H11" s="838" t="e">
        <f>867711+#REF!</f>
        <v>#REF!</v>
      </c>
      <c r="I11" s="838" t="e">
        <f>0+#REF!</f>
        <v>#REF!</v>
      </c>
      <c r="J11" s="838" t="e">
        <f>0+#REF!</f>
        <v>#REF!</v>
      </c>
      <c r="K11" s="838" t="e">
        <f>15464+#REF!</f>
        <v>#REF!</v>
      </c>
      <c r="L11" s="838" t="e">
        <f>951340+#REF!</f>
        <v>#REF!</v>
      </c>
      <c r="M11" s="838" t="e">
        <f>388464+#REF!</f>
        <v>#REF!</v>
      </c>
      <c r="N11" s="838" t="e">
        <f t="shared" si="0"/>
        <v>#REF!</v>
      </c>
    </row>
    <row r="12" spans="1:14" s="34" customFormat="1" ht="12.75" customHeight="1">
      <c r="A12" s="837"/>
      <c r="B12" s="837">
        <v>20</v>
      </c>
      <c r="C12" s="841" t="s">
        <v>1886</v>
      </c>
      <c r="D12" s="838" t="e">
        <f>0+#REF!</f>
        <v>#REF!</v>
      </c>
      <c r="E12" s="838" t="e">
        <f>0+#REF!</f>
        <v>#REF!</v>
      </c>
      <c r="F12" s="838" t="e">
        <f>0+#REF!</f>
        <v>#REF!</v>
      </c>
      <c r="G12" s="838" t="e">
        <f>0+#REF!</f>
        <v>#REF!</v>
      </c>
      <c r="H12" s="838" t="e">
        <f>0+#REF!</f>
        <v>#REF!</v>
      </c>
      <c r="I12" s="838" t="e">
        <f>0+#REF!</f>
        <v>#REF!</v>
      </c>
      <c r="J12" s="838" t="e">
        <f>0+#REF!</f>
        <v>#REF!</v>
      </c>
      <c r="K12" s="838" t="e">
        <f>0+#REF!</f>
        <v>#REF!</v>
      </c>
      <c r="L12" s="838" t="e">
        <f>0+#REF!</f>
        <v>#REF!</v>
      </c>
      <c r="M12" s="838" t="e">
        <f>0+#REF!</f>
        <v>#REF!</v>
      </c>
      <c r="N12" s="838" t="e">
        <f t="shared" si="0"/>
        <v>#REF!</v>
      </c>
    </row>
    <row r="13" spans="1:14" s="34" customFormat="1" ht="12.75" customHeight="1">
      <c r="A13" s="837"/>
      <c r="B13" s="837">
        <v>21</v>
      </c>
      <c r="C13" s="841" t="s">
        <v>1098</v>
      </c>
      <c r="D13" s="838" t="e">
        <f>76704+#REF!</f>
        <v>#REF!</v>
      </c>
      <c r="E13" s="838" t="e">
        <f>22074+#REF!</f>
        <v>#REF!</v>
      </c>
      <c r="F13" s="838" t="e">
        <f>65827+#REF!</f>
        <v>#REF!</v>
      </c>
      <c r="G13" s="838" t="e">
        <f>0+#REF!</f>
        <v>#REF!</v>
      </c>
      <c r="H13" s="838" t="e">
        <f>103368+#REF!</f>
        <v>#REF!</v>
      </c>
      <c r="I13" s="838" t="e">
        <f>462+#REF!</f>
        <v>#REF!</v>
      </c>
      <c r="J13" s="838" t="e">
        <f>0+#REF!</f>
        <v>#REF!</v>
      </c>
      <c r="K13" s="838" t="e">
        <f>112801+#REF!</f>
        <v>#REF!</v>
      </c>
      <c r="L13" s="838" t="e">
        <f>0+#REF!</f>
        <v>#REF!</v>
      </c>
      <c r="M13" s="838" t="e">
        <f>0+#REF!</f>
        <v>#REF!</v>
      </c>
      <c r="N13" s="838" t="e">
        <f t="shared" si="0"/>
        <v>#REF!</v>
      </c>
    </row>
    <row r="14" spans="1:14" s="34" customFormat="1" ht="12.75" customHeight="1">
      <c r="A14" s="837"/>
      <c r="B14" s="837">
        <v>30</v>
      </c>
      <c r="C14" s="814" t="s">
        <v>1890</v>
      </c>
      <c r="D14" s="838" t="e">
        <f>0+#REF!</f>
        <v>#REF!</v>
      </c>
      <c r="E14" s="838" t="e">
        <f>0+#REF!</f>
        <v>#REF!</v>
      </c>
      <c r="F14" s="838" t="e">
        <f>0+#REF!</f>
        <v>#REF!</v>
      </c>
      <c r="G14" s="838" t="e">
        <f>0+#REF!</f>
        <v>#REF!</v>
      </c>
      <c r="H14" s="838" t="e">
        <f>126107+#REF!</f>
        <v>#REF!</v>
      </c>
      <c r="I14" s="838" t="e">
        <f>0+#REF!</f>
        <v>#REF!</v>
      </c>
      <c r="J14" s="838" t="e">
        <f>7751+#REF!</f>
        <v>#REF!</v>
      </c>
      <c r="K14" s="838" t="e">
        <f>0+#REF!</f>
        <v>#REF!</v>
      </c>
      <c r="L14" s="838" t="e">
        <f>0+#REF!</f>
        <v>#REF!</v>
      </c>
      <c r="M14" s="838" t="e">
        <f>0+#REF!</f>
        <v>#REF!</v>
      </c>
      <c r="N14" s="838" t="e">
        <f t="shared" si="0"/>
        <v>#REF!</v>
      </c>
    </row>
    <row r="15" spans="1:14" s="36" customFormat="1" ht="24.75" customHeight="1">
      <c r="A15" s="842"/>
      <c r="B15" s="842"/>
      <c r="C15" s="843" t="s">
        <v>123</v>
      </c>
      <c r="D15" s="844" t="e">
        <f aca="true" t="shared" si="1" ref="D15:N15">SUM(D3:D14)</f>
        <v>#REF!</v>
      </c>
      <c r="E15" s="844" t="e">
        <f t="shared" si="1"/>
        <v>#REF!</v>
      </c>
      <c r="F15" s="844" t="e">
        <f t="shared" si="1"/>
        <v>#REF!</v>
      </c>
      <c r="G15" s="844" t="e">
        <f t="shared" si="1"/>
        <v>#REF!</v>
      </c>
      <c r="H15" s="844" t="e">
        <f t="shared" si="1"/>
        <v>#REF!</v>
      </c>
      <c r="I15" s="844" t="e">
        <f t="shared" si="1"/>
        <v>#REF!</v>
      </c>
      <c r="J15" s="844" t="e">
        <f t="shared" si="1"/>
        <v>#REF!</v>
      </c>
      <c r="K15" s="844" t="e">
        <f t="shared" si="1"/>
        <v>#REF!</v>
      </c>
      <c r="L15" s="844" t="e">
        <f t="shared" si="1"/>
        <v>#REF!</v>
      </c>
      <c r="M15" s="844" t="e">
        <f t="shared" si="1"/>
        <v>#REF!</v>
      </c>
      <c r="N15" s="844" t="e">
        <f t="shared" si="1"/>
        <v>#REF!</v>
      </c>
    </row>
    <row r="16" spans="1:14" s="36" customFormat="1" ht="12.75" customHeight="1">
      <c r="A16" s="10">
        <v>2</v>
      </c>
      <c r="B16" s="845"/>
      <c r="C16" s="839" t="s">
        <v>398</v>
      </c>
      <c r="D16" s="11">
        <f>3090672+'[5]táj.2.'!C20</f>
        <v>3087172</v>
      </c>
      <c r="E16" s="11">
        <f>833929+'[5]táj.2.'!D20</f>
        <v>833749</v>
      </c>
      <c r="F16" s="11">
        <f>2621728+'[5]táj.2.'!E20</f>
        <v>2630034</v>
      </c>
      <c r="G16" s="11">
        <f>0+'[5]táj.2.'!F20</f>
        <v>0</v>
      </c>
      <c r="H16" s="11">
        <f>46137+'[5]táj.2.'!G20</f>
        <v>46719</v>
      </c>
      <c r="I16" s="11">
        <f>189547+'[5]táj.2.'!H20</f>
        <v>192747</v>
      </c>
      <c r="J16" s="11">
        <f>125808+'[5]táj.2.'!I20</f>
        <v>125808</v>
      </c>
      <c r="K16" s="11">
        <f>0+'[5]táj.2.'!J20</f>
        <v>0</v>
      </c>
      <c r="L16" s="11">
        <f>0+'[5]táj.2.'!K20</f>
        <v>0</v>
      </c>
      <c r="M16" s="11">
        <f>0+'[5]táj.2.'!J20</f>
        <v>0</v>
      </c>
      <c r="N16" s="11">
        <f>SUM(D16:M16)</f>
        <v>6916229</v>
      </c>
    </row>
    <row r="17" spans="1:14" s="36" customFormat="1" ht="12.75" customHeight="1">
      <c r="A17" s="842"/>
      <c r="B17" s="842"/>
      <c r="C17" s="846" t="s">
        <v>376</v>
      </c>
      <c r="D17" s="844" t="e">
        <f aca="true" t="shared" si="2" ref="D17:N17">SUM(D15:D16)</f>
        <v>#REF!</v>
      </c>
      <c r="E17" s="844" t="e">
        <f t="shared" si="2"/>
        <v>#REF!</v>
      </c>
      <c r="F17" s="844" t="e">
        <f t="shared" si="2"/>
        <v>#REF!</v>
      </c>
      <c r="G17" s="844" t="e">
        <f t="shared" si="2"/>
        <v>#REF!</v>
      </c>
      <c r="H17" s="844" t="e">
        <f t="shared" si="2"/>
        <v>#REF!</v>
      </c>
      <c r="I17" s="844" t="e">
        <f t="shared" si="2"/>
        <v>#REF!</v>
      </c>
      <c r="J17" s="844" t="e">
        <f t="shared" si="2"/>
        <v>#REF!</v>
      </c>
      <c r="K17" s="844" t="e">
        <f t="shared" si="2"/>
        <v>#REF!</v>
      </c>
      <c r="L17" s="844" t="e">
        <f t="shared" si="2"/>
        <v>#REF!</v>
      </c>
      <c r="M17" s="844" t="e">
        <f t="shared" si="2"/>
        <v>#REF!</v>
      </c>
      <c r="N17" s="844" t="e">
        <f t="shared" si="2"/>
        <v>#REF!</v>
      </c>
    </row>
    <row r="18" spans="13:14" s="7" customFormat="1" ht="12">
      <c r="M18" s="25"/>
      <c r="N18" s="25"/>
    </row>
    <row r="19" spans="13:14" s="7" customFormat="1" ht="12">
      <c r="M19" s="25"/>
      <c r="N19" s="449"/>
    </row>
    <row r="20" spans="13:14" s="7" customFormat="1" ht="12">
      <c r="M20" s="25"/>
      <c r="N20" s="25"/>
    </row>
    <row r="21" spans="13:14" s="7" customFormat="1" ht="12">
      <c r="M21" s="25"/>
      <c r="N21" s="25"/>
    </row>
    <row r="22" spans="13:14" s="7" customFormat="1" ht="12">
      <c r="M22" s="25"/>
      <c r="N22" s="25"/>
    </row>
    <row r="23" spans="13:14" s="7" customFormat="1" ht="12">
      <c r="M23" s="25"/>
      <c r="N23" s="25"/>
    </row>
    <row r="24" spans="13:14" s="7" customFormat="1" ht="12">
      <c r="M24" s="25"/>
      <c r="N24" s="25"/>
    </row>
    <row r="25" spans="13:14" s="7" customFormat="1" ht="12">
      <c r="M25" s="25"/>
      <c r="N25" s="25"/>
    </row>
    <row r="26" spans="13:14" s="7" customFormat="1" ht="12">
      <c r="M26" s="25"/>
      <c r="N26" s="25"/>
    </row>
    <row r="27" spans="13:14" s="7" customFormat="1" ht="12">
      <c r="M27" s="25"/>
      <c r="N27" s="25"/>
    </row>
    <row r="28" spans="13:14" s="7" customFormat="1" ht="12">
      <c r="M28" s="25"/>
      <c r="N28" s="25"/>
    </row>
  </sheetData>
  <sheetProtection/>
  <mergeCells count="2">
    <mergeCell ref="D1:K1"/>
    <mergeCell ref="L1:M1"/>
  </mergeCells>
  <printOptions horizontalCentered="1" verticalCentered="1"/>
  <pageMargins left="0.2362204724409449" right="0.35433070866141736" top="1.6929133858267718" bottom="0.7874015748031497" header="0.6299212598425197" footer="0.5118110236220472"/>
  <pageSetup horizontalDpi="300" verticalDpi="300" orientation="landscape" paperSize="9" r:id="rId1"/>
  <headerFooter alignWithMargins="0">
    <oddHeader>&amp;C&amp;"Times New Roman CE,Félkövér dőlt"ZALAEGERSZEG MEGYEI JOGÚ VÁROS ÖNKORMÁNYZATÁNAK
2014.  ÉVI KIADÁSI ELŐIRÁNYZATAI
CÍMENKÉNTI BONTÁSBAN&amp;R&amp;"Times New Roman CE,Félkövér dőlt"6. melléklet
Adatok: ezer Ft-ban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V375"/>
  <sheetViews>
    <sheetView zoomScaleSheetLayoutView="120" zoomScalePageLayoutView="0" workbookViewId="0" topLeftCell="B1">
      <pane ySplit="2" topLeftCell="BM113" activePane="bottomLeft" state="frozen"/>
      <selection pane="topLeft" activeCell="A1" sqref="A1"/>
      <selection pane="bottomLeft" activeCell="C123" sqref="C123:D123"/>
    </sheetView>
  </sheetViews>
  <sheetFormatPr defaultColWidth="9.00390625" defaultRowHeight="12.75"/>
  <cols>
    <col min="1" max="1" width="6.625" style="7" customWidth="1"/>
    <col min="2" max="2" width="5.875" style="7" customWidth="1"/>
    <col min="3" max="3" width="9.375" style="7" customWidth="1"/>
    <col min="4" max="4" width="42.625" style="7" customWidth="1"/>
    <col min="5" max="5" width="7.125" style="7" customWidth="1"/>
    <col min="6" max="7" width="11.00390625" style="7" bestFit="1" customWidth="1"/>
    <col min="8" max="8" width="10.50390625" style="7" customWidth="1"/>
    <col min="9" max="10" width="11.00390625" style="7" customWidth="1"/>
    <col min="11" max="11" width="10.125" style="7" bestFit="1" customWidth="1"/>
    <col min="12" max="12" width="11.00390625" style="7" customWidth="1"/>
    <col min="13" max="13" width="11.00390625" style="7" bestFit="1" customWidth="1"/>
    <col min="14" max="14" width="11.00390625" style="7" customWidth="1"/>
    <col min="15" max="15" width="9.375" style="7" customWidth="1"/>
    <col min="16" max="16" width="12.375" style="7" customWidth="1"/>
    <col min="17" max="16384" width="9.375" style="7" customWidth="1"/>
  </cols>
  <sheetData>
    <row r="1" spans="1:16" ht="36.75" customHeight="1" thickBot="1">
      <c r="A1" s="1255" t="s">
        <v>896</v>
      </c>
      <c r="B1" s="1255" t="s">
        <v>897</v>
      </c>
      <c r="C1" s="1257" t="s">
        <v>46</v>
      </c>
      <c r="D1" s="1258"/>
      <c r="E1" s="1255" t="s">
        <v>415</v>
      </c>
      <c r="F1" s="1268" t="s">
        <v>60</v>
      </c>
      <c r="G1" s="1269"/>
      <c r="H1" s="1269"/>
      <c r="I1" s="1269"/>
      <c r="J1" s="1269"/>
      <c r="K1" s="1269"/>
      <c r="L1" s="1269"/>
      <c r="M1" s="1269"/>
      <c r="N1" s="1270" t="s">
        <v>994</v>
      </c>
      <c r="O1" s="1254"/>
      <c r="P1" s="272" t="s">
        <v>49</v>
      </c>
    </row>
    <row r="2" spans="1:16" ht="57.75" customHeight="1" thickBot="1">
      <c r="A2" s="1256"/>
      <c r="B2" s="1256"/>
      <c r="C2" s="1259"/>
      <c r="D2" s="1260"/>
      <c r="E2" s="1256"/>
      <c r="F2" s="270" t="s">
        <v>280</v>
      </c>
      <c r="G2" s="204" t="s">
        <v>991</v>
      </c>
      <c r="H2" s="204" t="s">
        <v>423</v>
      </c>
      <c r="I2" s="204" t="s">
        <v>992</v>
      </c>
      <c r="J2" s="204" t="s">
        <v>1238</v>
      </c>
      <c r="K2" s="204" t="s">
        <v>1222</v>
      </c>
      <c r="L2" s="204" t="s">
        <v>1221</v>
      </c>
      <c r="M2" s="204" t="s">
        <v>993</v>
      </c>
      <c r="N2" s="324" t="s">
        <v>64</v>
      </c>
      <c r="O2" s="325" t="s">
        <v>69</v>
      </c>
      <c r="P2" s="273"/>
    </row>
    <row r="3" spans="1:16" ht="16.5" customHeight="1">
      <c r="A3" s="269">
        <v>1</v>
      </c>
      <c r="B3" s="8"/>
      <c r="C3" s="58" t="s">
        <v>397</v>
      </c>
      <c r="D3" s="59"/>
      <c r="E3" s="271"/>
      <c r="F3" s="9"/>
      <c r="G3" s="9"/>
      <c r="H3" s="9"/>
      <c r="I3" s="9"/>
      <c r="J3" s="9"/>
      <c r="K3" s="9"/>
      <c r="L3" s="9"/>
      <c r="M3" s="9"/>
      <c r="N3" s="9"/>
      <c r="O3" s="9"/>
      <c r="P3" s="60"/>
    </row>
    <row r="4" spans="1:16" ht="12.75" customHeight="1">
      <c r="A4" s="8">
        <v>1</v>
      </c>
      <c r="B4" s="8">
        <v>1</v>
      </c>
      <c r="C4" s="58" t="s">
        <v>1885</v>
      </c>
      <c r="D4" s="59"/>
      <c r="E4" s="16"/>
      <c r="F4" s="9"/>
      <c r="G4" s="9"/>
      <c r="H4" s="9"/>
      <c r="I4" s="9"/>
      <c r="J4" s="9"/>
      <c r="K4" s="9"/>
      <c r="L4" s="9"/>
      <c r="M4" s="9"/>
      <c r="N4" s="9"/>
      <c r="O4" s="9"/>
      <c r="P4" s="60"/>
    </row>
    <row r="5" spans="1:16" ht="12">
      <c r="A5" s="10">
        <v>1</v>
      </c>
      <c r="B5" s="10">
        <v>12</v>
      </c>
      <c r="C5" s="46" t="s">
        <v>249</v>
      </c>
      <c r="D5" s="62"/>
      <c r="E5" s="62"/>
      <c r="F5" s="61"/>
      <c r="G5" s="61"/>
      <c r="H5" s="61"/>
      <c r="I5" s="61"/>
      <c r="J5" s="61"/>
      <c r="K5" s="61"/>
      <c r="L5" s="61"/>
      <c r="M5" s="61"/>
      <c r="N5" s="61"/>
      <c r="O5" s="61"/>
      <c r="P5" s="11"/>
    </row>
    <row r="6" spans="1:16" ht="14.25" customHeight="1">
      <c r="A6" s="10"/>
      <c r="B6" s="10"/>
      <c r="C6" s="1216" t="s">
        <v>1549</v>
      </c>
      <c r="D6" s="1217"/>
      <c r="E6" s="224"/>
      <c r="F6" s="61"/>
      <c r="G6" s="61"/>
      <c r="H6" s="61"/>
      <c r="I6" s="61"/>
      <c r="J6" s="61"/>
      <c r="K6" s="131"/>
      <c r="L6" s="131"/>
      <c r="M6" s="131"/>
      <c r="N6" s="131"/>
      <c r="O6" s="131"/>
      <c r="P6" s="11"/>
    </row>
    <row r="7" spans="1:16" ht="14.25" customHeight="1">
      <c r="A7" s="10"/>
      <c r="B7" s="10"/>
      <c r="C7" s="320" t="s">
        <v>103</v>
      </c>
      <c r="D7" s="321"/>
      <c r="E7" s="224">
        <v>1</v>
      </c>
      <c r="F7" s="61"/>
      <c r="G7" s="61"/>
      <c r="H7" s="61"/>
      <c r="I7" s="61">
        <v>6000</v>
      </c>
      <c r="J7" s="61"/>
      <c r="K7" s="131"/>
      <c r="L7" s="131"/>
      <c r="M7" s="131"/>
      <c r="N7" s="131"/>
      <c r="O7" s="131"/>
      <c r="P7" s="11">
        <f>SUM(F7:O7)</f>
        <v>6000</v>
      </c>
    </row>
    <row r="8" spans="1:16" ht="14.25" customHeight="1">
      <c r="A8" s="10"/>
      <c r="B8" s="10"/>
      <c r="C8" s="12" t="s">
        <v>274</v>
      </c>
      <c r="D8" s="140"/>
      <c r="E8" s="140">
        <v>1</v>
      </c>
      <c r="F8" s="61"/>
      <c r="G8" s="61"/>
      <c r="H8" s="61"/>
      <c r="I8" s="61">
        <v>36500</v>
      </c>
      <c r="J8" s="61"/>
      <c r="K8" s="131"/>
      <c r="L8" s="131"/>
      <c r="M8" s="131"/>
      <c r="N8" s="131"/>
      <c r="O8" s="131"/>
      <c r="P8" s="11">
        <f>SUM(F8:O8)</f>
        <v>36500</v>
      </c>
    </row>
    <row r="9" spans="1:16" ht="14.25" customHeight="1">
      <c r="A9" s="10"/>
      <c r="B9" s="10"/>
      <c r="C9" s="1218" t="s">
        <v>1550</v>
      </c>
      <c r="D9" s="1219"/>
      <c r="E9" s="140"/>
      <c r="F9" s="61"/>
      <c r="G9" s="61"/>
      <c r="H9" s="61"/>
      <c r="I9" s="61"/>
      <c r="J9" s="61"/>
      <c r="K9" s="131"/>
      <c r="L9" s="131"/>
      <c r="M9" s="131"/>
      <c r="N9" s="131"/>
      <c r="O9" s="131"/>
      <c r="P9" s="11"/>
    </row>
    <row r="10" spans="1:16" ht="14.25" customHeight="1">
      <c r="A10" s="10"/>
      <c r="B10" s="10"/>
      <c r="C10" s="12" t="s">
        <v>102</v>
      </c>
      <c r="D10" s="328"/>
      <c r="E10" s="140">
        <v>1</v>
      </c>
      <c r="F10" s="61"/>
      <c r="G10" s="61"/>
      <c r="H10" s="61"/>
      <c r="I10" s="61">
        <v>6600</v>
      </c>
      <c r="J10" s="61"/>
      <c r="K10" s="131"/>
      <c r="L10" s="131"/>
      <c r="M10" s="131"/>
      <c r="N10" s="131"/>
      <c r="O10" s="131"/>
      <c r="P10" s="11">
        <f>SUM(F10:O10)</f>
        <v>6600</v>
      </c>
    </row>
    <row r="11" spans="1:16" ht="14.25" customHeight="1">
      <c r="A11" s="10"/>
      <c r="B11" s="10"/>
      <c r="C11" s="12" t="s">
        <v>1082</v>
      </c>
      <c r="D11" s="140"/>
      <c r="E11" s="140">
        <v>1</v>
      </c>
      <c r="F11" s="61"/>
      <c r="G11" s="61"/>
      <c r="H11" s="61"/>
      <c r="I11" s="61">
        <v>200</v>
      </c>
      <c r="J11" s="61"/>
      <c r="K11" s="131"/>
      <c r="L11" s="131"/>
      <c r="M11" s="131"/>
      <c r="N11" s="131"/>
      <c r="O11" s="131"/>
      <c r="P11" s="11">
        <f>SUM(F11:O11)</f>
        <v>200</v>
      </c>
    </row>
    <row r="12" spans="1:16" ht="14.25" customHeight="1">
      <c r="A12" s="10"/>
      <c r="B12" s="10"/>
      <c r="C12" s="1218" t="s">
        <v>840</v>
      </c>
      <c r="D12" s="1219"/>
      <c r="E12" s="140"/>
      <c r="F12" s="61"/>
      <c r="G12" s="61"/>
      <c r="H12" s="61"/>
      <c r="I12" s="61"/>
      <c r="J12" s="61"/>
      <c r="K12" s="131"/>
      <c r="L12" s="131"/>
      <c r="M12" s="131"/>
      <c r="N12" s="131"/>
      <c r="O12" s="131"/>
      <c r="P12" s="11"/>
    </row>
    <row r="13" spans="1:16" ht="14.25" customHeight="1">
      <c r="A13" s="10"/>
      <c r="B13" s="10"/>
      <c r="C13" s="12" t="s">
        <v>104</v>
      </c>
      <c r="D13" s="328"/>
      <c r="E13" s="140">
        <v>2</v>
      </c>
      <c r="F13" s="61"/>
      <c r="G13" s="61"/>
      <c r="H13" s="61"/>
      <c r="I13" s="61">
        <v>30152</v>
      </c>
      <c r="J13" s="61"/>
      <c r="K13" s="131"/>
      <c r="L13" s="131"/>
      <c r="M13" s="131"/>
      <c r="N13" s="131"/>
      <c r="O13" s="131"/>
      <c r="P13" s="11">
        <f>SUM(F13:O13)</f>
        <v>30152</v>
      </c>
    </row>
    <row r="14" spans="1:16" ht="14.25" customHeight="1">
      <c r="A14" s="10"/>
      <c r="B14" s="10"/>
      <c r="C14" s="12" t="s">
        <v>55</v>
      </c>
      <c r="D14" s="140"/>
      <c r="E14" s="140">
        <v>2</v>
      </c>
      <c r="F14" s="61"/>
      <c r="G14" s="61"/>
      <c r="H14" s="61"/>
      <c r="I14" s="61">
        <v>13500</v>
      </c>
      <c r="J14" s="61"/>
      <c r="K14" s="131"/>
      <c r="L14" s="131"/>
      <c r="M14" s="131"/>
      <c r="N14" s="131"/>
      <c r="O14" s="131"/>
      <c r="P14" s="11">
        <f>SUM(F14:O14)</f>
        <v>13500</v>
      </c>
    </row>
    <row r="15" spans="1:16" ht="14.25" customHeight="1">
      <c r="A15" s="10"/>
      <c r="B15" s="10"/>
      <c r="C15" s="12" t="s">
        <v>1263</v>
      </c>
      <c r="D15" s="140"/>
      <c r="E15" s="140"/>
      <c r="F15" s="61"/>
      <c r="G15" s="61"/>
      <c r="H15" s="61"/>
      <c r="I15" s="61"/>
      <c r="J15" s="61"/>
      <c r="K15" s="131"/>
      <c r="L15" s="131"/>
      <c r="M15" s="131"/>
      <c r="N15" s="131"/>
      <c r="O15" s="131"/>
      <c r="P15" s="11"/>
    </row>
    <row r="16" spans="1:16" ht="14.25" customHeight="1">
      <c r="A16" s="10"/>
      <c r="B16" s="10"/>
      <c r="C16" s="1218" t="s">
        <v>105</v>
      </c>
      <c r="D16" s="1219"/>
      <c r="E16" s="140">
        <v>1</v>
      </c>
      <c r="F16" s="61"/>
      <c r="G16" s="61"/>
      <c r="H16" s="61"/>
      <c r="I16" s="61">
        <v>8328</v>
      </c>
      <c r="J16" s="61"/>
      <c r="K16" s="131"/>
      <c r="L16" s="131"/>
      <c r="M16" s="131"/>
      <c r="N16" s="131"/>
      <c r="O16" s="131"/>
      <c r="P16" s="11">
        <f>SUM(F16:O16)</f>
        <v>8328</v>
      </c>
    </row>
    <row r="17" spans="1:16" ht="14.25" customHeight="1">
      <c r="A17" s="10"/>
      <c r="B17" s="10"/>
      <c r="C17" s="1218" t="s">
        <v>1550</v>
      </c>
      <c r="D17" s="1219"/>
      <c r="E17" s="140"/>
      <c r="F17" s="61"/>
      <c r="G17" s="61"/>
      <c r="H17" s="61"/>
      <c r="I17" s="61"/>
      <c r="J17" s="61"/>
      <c r="K17" s="131"/>
      <c r="L17" s="131"/>
      <c r="M17" s="131"/>
      <c r="N17" s="131"/>
      <c r="O17" s="131"/>
      <c r="P17" s="11"/>
    </row>
    <row r="18" spans="1:16" ht="14.25" customHeight="1">
      <c r="A18" s="10"/>
      <c r="B18" s="10"/>
      <c r="C18" s="12" t="s">
        <v>106</v>
      </c>
      <c r="D18" s="328"/>
      <c r="E18" s="140">
        <v>1</v>
      </c>
      <c r="F18" s="61"/>
      <c r="G18" s="61"/>
      <c r="H18" s="61"/>
      <c r="I18" s="61">
        <v>2000</v>
      </c>
      <c r="J18" s="61"/>
      <c r="K18" s="131"/>
      <c r="L18" s="131"/>
      <c r="M18" s="131"/>
      <c r="N18" s="131"/>
      <c r="O18" s="131"/>
      <c r="P18" s="11">
        <f>SUM(F18:O18)</f>
        <v>2000</v>
      </c>
    </row>
    <row r="19" spans="1:16" ht="14.25" customHeight="1">
      <c r="A19" s="10"/>
      <c r="B19" s="10"/>
      <c r="C19" s="1218" t="s">
        <v>840</v>
      </c>
      <c r="D19" s="1219"/>
      <c r="E19" s="140"/>
      <c r="F19" s="61"/>
      <c r="G19" s="61"/>
      <c r="H19" s="61"/>
      <c r="I19" s="61"/>
      <c r="J19" s="61"/>
      <c r="K19" s="131"/>
      <c r="L19" s="131"/>
      <c r="M19" s="131"/>
      <c r="N19" s="131"/>
      <c r="O19" s="131"/>
      <c r="P19" s="11"/>
    </row>
    <row r="20" spans="1:16" ht="14.25" customHeight="1">
      <c r="A20" s="10"/>
      <c r="B20" s="10"/>
      <c r="C20" s="12" t="s">
        <v>56</v>
      </c>
      <c r="D20" s="140"/>
      <c r="E20" s="140">
        <v>1</v>
      </c>
      <c r="F20" s="61"/>
      <c r="G20" s="61"/>
      <c r="H20" s="61"/>
      <c r="I20" s="61">
        <v>7000</v>
      </c>
      <c r="J20" s="61"/>
      <c r="K20" s="131"/>
      <c r="L20" s="131"/>
      <c r="M20" s="131"/>
      <c r="N20" s="131"/>
      <c r="O20" s="131"/>
      <c r="P20" s="11">
        <f>SUM(F20:O20)</f>
        <v>7000</v>
      </c>
    </row>
    <row r="21" spans="1:16" ht="14.25" customHeight="1">
      <c r="A21" s="10"/>
      <c r="B21" s="10"/>
      <c r="C21" s="64" t="s">
        <v>107</v>
      </c>
      <c r="D21" s="136"/>
      <c r="E21" s="140">
        <v>1</v>
      </c>
      <c r="F21" s="61"/>
      <c r="G21" s="61"/>
      <c r="H21" s="61">
        <v>2770</v>
      </c>
      <c r="I21" s="61"/>
      <c r="J21" s="61"/>
      <c r="K21" s="131"/>
      <c r="L21" s="131"/>
      <c r="M21" s="131"/>
      <c r="N21" s="131"/>
      <c r="O21" s="131"/>
      <c r="P21" s="11">
        <f>SUM(F21:O21)</f>
        <v>2770</v>
      </c>
    </row>
    <row r="22" spans="1:16" ht="14.25" customHeight="1">
      <c r="A22" s="10"/>
      <c r="B22" s="10"/>
      <c r="C22" s="1214" t="s">
        <v>1458</v>
      </c>
      <c r="D22" s="1215"/>
      <c r="E22" s="144"/>
      <c r="F22" s="11"/>
      <c r="G22" s="11"/>
      <c r="H22" s="11"/>
      <c r="I22" s="11"/>
      <c r="J22" s="61"/>
      <c r="K22" s="133"/>
      <c r="L22" s="133"/>
      <c r="M22" s="133"/>
      <c r="N22" s="133"/>
      <c r="O22" s="132"/>
      <c r="P22" s="11"/>
    </row>
    <row r="23" spans="1:16" ht="14.25" customHeight="1">
      <c r="A23" s="10"/>
      <c r="B23" s="10"/>
      <c r="C23" s="64" t="s">
        <v>1695</v>
      </c>
      <c r="D23" s="140"/>
      <c r="E23" s="140">
        <v>2</v>
      </c>
      <c r="F23" s="11"/>
      <c r="G23" s="11"/>
      <c r="H23" s="11"/>
      <c r="I23" s="11"/>
      <c r="J23" s="61">
        <v>18150</v>
      </c>
      <c r="K23" s="133"/>
      <c r="L23" s="133"/>
      <c r="M23" s="133"/>
      <c r="N23" s="133"/>
      <c r="O23" s="132"/>
      <c r="P23" s="11">
        <f>SUM(F23:O23)</f>
        <v>18150</v>
      </c>
    </row>
    <row r="24" spans="1:16" ht="14.25" customHeight="1">
      <c r="A24" s="10"/>
      <c r="B24" s="10"/>
      <c r="C24" s="732" t="s">
        <v>1459</v>
      </c>
      <c r="D24" s="733"/>
      <c r="E24" s="140"/>
      <c r="F24" s="13"/>
      <c r="G24" s="13"/>
      <c r="H24" s="11"/>
      <c r="I24" s="11"/>
      <c r="J24" s="61"/>
      <c r="K24" s="133"/>
      <c r="L24" s="133"/>
      <c r="M24" s="133"/>
      <c r="N24" s="133"/>
      <c r="O24" s="132"/>
      <c r="P24" s="11"/>
    </row>
    <row r="25" spans="1:16" ht="14.25" customHeight="1">
      <c r="A25" s="10"/>
      <c r="B25" s="10"/>
      <c r="C25" s="12" t="s">
        <v>53</v>
      </c>
      <c r="D25" s="140"/>
      <c r="E25" s="140">
        <v>2</v>
      </c>
      <c r="F25" s="61"/>
      <c r="G25" s="61"/>
      <c r="H25" s="61"/>
      <c r="I25" s="11">
        <v>7000</v>
      </c>
      <c r="J25" s="61"/>
      <c r="K25" s="133"/>
      <c r="L25" s="133"/>
      <c r="M25" s="133"/>
      <c r="N25" s="133"/>
      <c r="O25" s="132"/>
      <c r="P25" s="11">
        <f>SUM(F25:O25)</f>
        <v>7000</v>
      </c>
    </row>
    <row r="26" spans="1:16" ht="14.25" customHeight="1">
      <c r="A26" s="10"/>
      <c r="B26" s="10"/>
      <c r="C26" s="1218" t="s">
        <v>1551</v>
      </c>
      <c r="D26" s="1219"/>
      <c r="E26" s="140"/>
      <c r="F26" s="11"/>
      <c r="G26" s="11"/>
      <c r="H26" s="11"/>
      <c r="I26" s="133"/>
      <c r="J26" s="61"/>
      <c r="K26" s="133"/>
      <c r="L26" s="133"/>
      <c r="M26" s="133"/>
      <c r="N26" s="133"/>
      <c r="O26" s="132"/>
      <c r="P26" s="11"/>
    </row>
    <row r="27" spans="1:16" ht="12" customHeight="1">
      <c r="A27" s="63"/>
      <c r="B27" s="66"/>
      <c r="C27" s="67" t="s">
        <v>57</v>
      </c>
      <c r="D27" s="65"/>
      <c r="E27" s="140">
        <v>1</v>
      </c>
      <c r="F27" s="13"/>
      <c r="G27" s="13"/>
      <c r="H27" s="13">
        <v>100</v>
      </c>
      <c r="I27" s="134"/>
      <c r="J27" s="13"/>
      <c r="K27" s="134"/>
      <c r="L27" s="134"/>
      <c r="M27" s="134"/>
      <c r="N27" s="134"/>
      <c r="O27" s="134"/>
      <c r="P27" s="11">
        <f>SUM(F27:O27)</f>
        <v>100</v>
      </c>
    </row>
    <row r="28" spans="1:16" ht="12" customHeight="1">
      <c r="A28" s="63"/>
      <c r="B28" s="66"/>
      <c r="C28" s="67" t="s">
        <v>1552</v>
      </c>
      <c r="D28" s="65"/>
      <c r="E28" s="65"/>
      <c r="F28" s="13"/>
      <c r="G28" s="13"/>
      <c r="H28" s="13"/>
      <c r="I28" s="134"/>
      <c r="J28" s="13"/>
      <c r="K28" s="134"/>
      <c r="L28" s="134"/>
      <c r="M28" s="134"/>
      <c r="N28" s="134"/>
      <c r="O28" s="134"/>
      <c r="P28" s="11"/>
    </row>
    <row r="29" spans="1:16" ht="12" customHeight="1">
      <c r="A29" s="63"/>
      <c r="B29" s="63"/>
      <c r="C29" s="14" t="s">
        <v>58</v>
      </c>
      <c r="D29" s="65"/>
      <c r="E29" s="65">
        <v>1</v>
      </c>
      <c r="F29" s="13"/>
      <c r="G29" s="13"/>
      <c r="H29" s="13"/>
      <c r="I29" s="13"/>
      <c r="J29" s="13">
        <v>2000</v>
      </c>
      <c r="K29" s="13"/>
      <c r="L29" s="134"/>
      <c r="M29" s="134"/>
      <c r="N29" s="134"/>
      <c r="O29" s="134"/>
      <c r="P29" s="11">
        <f>SUM(F29:O29)</f>
        <v>2000</v>
      </c>
    </row>
    <row r="30" spans="1:16" ht="12" customHeight="1">
      <c r="A30" s="63"/>
      <c r="B30" s="63"/>
      <c r="C30" s="1251" t="s">
        <v>1553</v>
      </c>
      <c r="D30" s="1252"/>
      <c r="E30" s="140"/>
      <c r="F30" s="13"/>
      <c r="G30" s="13"/>
      <c r="H30" s="13"/>
      <c r="I30" s="134"/>
      <c r="J30" s="13"/>
      <c r="K30" s="134"/>
      <c r="L30" s="134"/>
      <c r="M30" s="134"/>
      <c r="N30" s="134"/>
      <c r="O30" s="13"/>
      <c r="P30" s="11"/>
    </row>
    <row r="31" spans="1:16" ht="12" customHeight="1">
      <c r="A31" s="63"/>
      <c r="B31" s="63"/>
      <c r="C31" s="91" t="s">
        <v>921</v>
      </c>
      <c r="D31" s="94"/>
      <c r="E31" s="140">
        <v>2</v>
      </c>
      <c r="F31" s="13"/>
      <c r="G31" s="13"/>
      <c r="H31" s="13">
        <v>24440</v>
      </c>
      <c r="I31" s="134"/>
      <c r="J31" s="13"/>
      <c r="K31" s="134"/>
      <c r="L31" s="134"/>
      <c r="M31" s="134"/>
      <c r="N31" s="134"/>
      <c r="O31" s="13"/>
      <c r="P31" s="11">
        <f>SUM(F31:O31)</f>
        <v>24440</v>
      </c>
    </row>
    <row r="32" spans="1:16" ht="12" customHeight="1">
      <c r="A32" s="63"/>
      <c r="B32" s="63"/>
      <c r="C32" s="1312" t="s">
        <v>922</v>
      </c>
      <c r="D32" s="1313"/>
      <c r="E32" s="140">
        <v>2</v>
      </c>
      <c r="F32" s="13"/>
      <c r="G32" s="13">
        <v>1500</v>
      </c>
      <c r="H32" s="13">
        <v>1300</v>
      </c>
      <c r="I32" s="13">
        <v>6700</v>
      </c>
      <c r="J32" s="13"/>
      <c r="K32" s="134"/>
      <c r="L32" s="134"/>
      <c r="M32" s="134"/>
      <c r="N32" s="134"/>
      <c r="O32" s="13"/>
      <c r="P32" s="11">
        <f>SUM(F32:O32)</f>
        <v>9500</v>
      </c>
    </row>
    <row r="33" spans="1:16" ht="13.5" customHeight="1">
      <c r="A33" s="63"/>
      <c r="B33" s="63"/>
      <c r="C33" s="728" t="s">
        <v>1460</v>
      </c>
      <c r="D33" s="729"/>
      <c r="E33" s="140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1">
        <f>SUM(F33:O33)</f>
        <v>0</v>
      </c>
    </row>
    <row r="34" spans="1:16" ht="13.5" customHeight="1">
      <c r="A34" s="63"/>
      <c r="B34" s="63"/>
      <c r="C34" s="15" t="s">
        <v>358</v>
      </c>
      <c r="D34" s="79"/>
      <c r="E34" s="140">
        <v>1</v>
      </c>
      <c r="F34" s="16"/>
      <c r="G34" s="16"/>
      <c r="H34" s="16">
        <v>200</v>
      </c>
      <c r="I34" s="16">
        <v>800</v>
      </c>
      <c r="J34" s="16"/>
      <c r="K34" s="16"/>
      <c r="L34" s="16"/>
      <c r="M34" s="16"/>
      <c r="N34" s="16"/>
      <c r="O34" s="16"/>
      <c r="P34" s="16">
        <f>SUM(F34:O34)</f>
        <v>1000</v>
      </c>
    </row>
    <row r="35" spans="1:16" ht="13.5">
      <c r="A35" s="68"/>
      <c r="B35" s="68"/>
      <c r="C35" s="71" t="s">
        <v>254</v>
      </c>
      <c r="D35" s="72"/>
      <c r="E35" s="72"/>
      <c r="F35" s="69">
        <f aca="true" t="shared" si="0" ref="F35:K35">SUM(F5:F34)</f>
        <v>0</v>
      </c>
      <c r="G35" s="69">
        <f t="shared" si="0"/>
        <v>1500</v>
      </c>
      <c r="H35" s="69">
        <f t="shared" si="0"/>
        <v>28810</v>
      </c>
      <c r="I35" s="69">
        <f t="shared" si="0"/>
        <v>124780</v>
      </c>
      <c r="J35" s="69">
        <f t="shared" si="0"/>
        <v>20150</v>
      </c>
      <c r="K35" s="69">
        <f t="shared" si="0"/>
        <v>0</v>
      </c>
      <c r="L35" s="69"/>
      <c r="M35" s="69">
        <f>SUM(M5:M34)</f>
        <v>0</v>
      </c>
      <c r="N35" s="69"/>
      <c r="O35" s="69">
        <f>SUM(O5:O34)</f>
        <v>0</v>
      </c>
      <c r="P35" s="69">
        <f>SUM(P5:P34)</f>
        <v>175240</v>
      </c>
    </row>
    <row r="36" spans="1:16" ht="12">
      <c r="A36" s="63"/>
      <c r="B36" s="63"/>
      <c r="C36" s="14" t="s">
        <v>1874</v>
      </c>
      <c r="D36" s="65"/>
      <c r="E36" s="65"/>
      <c r="F36" s="13"/>
      <c r="G36" s="13"/>
      <c r="H36" s="13"/>
      <c r="I36" s="13"/>
      <c r="J36" s="13"/>
      <c r="K36" s="13"/>
      <c r="L36" s="13"/>
      <c r="M36" s="70"/>
      <c r="N36" s="70"/>
      <c r="O36" s="70"/>
      <c r="P36" s="13">
        <f>SUM(F36:O36)</f>
        <v>0</v>
      </c>
    </row>
    <row r="37" spans="1:16" ht="12">
      <c r="A37" s="63"/>
      <c r="B37" s="63"/>
      <c r="C37" s="14" t="s">
        <v>1875</v>
      </c>
      <c r="D37" s="65"/>
      <c r="E37" s="65"/>
      <c r="F37" s="13"/>
      <c r="G37" s="13"/>
      <c r="H37" s="13"/>
      <c r="I37" s="13"/>
      <c r="J37" s="13"/>
      <c r="K37" s="70"/>
      <c r="L37" s="70"/>
      <c r="M37" s="13">
        <v>42519</v>
      </c>
      <c r="N37" s="13"/>
      <c r="O37" s="70"/>
      <c r="P37" s="13">
        <f>SUM(F37:O37)</f>
        <v>42519</v>
      </c>
    </row>
    <row r="38" spans="1:16" ht="13.5">
      <c r="A38" s="68"/>
      <c r="B38" s="68"/>
      <c r="C38" s="71" t="s">
        <v>253</v>
      </c>
      <c r="D38" s="72"/>
      <c r="E38" s="72"/>
      <c r="F38" s="73">
        <f aca="true" t="shared" si="1" ref="F38:O38">SUM(F35:F37)</f>
        <v>0</v>
      </c>
      <c r="G38" s="73">
        <f t="shared" si="1"/>
        <v>1500</v>
      </c>
      <c r="H38" s="73">
        <f t="shared" si="1"/>
        <v>28810</v>
      </c>
      <c r="I38" s="73">
        <f t="shared" si="1"/>
        <v>124780</v>
      </c>
      <c r="J38" s="73">
        <f t="shared" si="1"/>
        <v>20150</v>
      </c>
      <c r="K38" s="73">
        <f t="shared" si="1"/>
        <v>0</v>
      </c>
      <c r="L38" s="73">
        <f t="shared" si="1"/>
        <v>0</v>
      </c>
      <c r="M38" s="73">
        <f t="shared" si="1"/>
        <v>42519</v>
      </c>
      <c r="N38" s="73"/>
      <c r="O38" s="73">
        <f t="shared" si="1"/>
        <v>0</v>
      </c>
      <c r="P38" s="73">
        <f>SUM(P35:P37)</f>
        <v>217759</v>
      </c>
    </row>
    <row r="39" spans="1:16" ht="12">
      <c r="A39" s="63">
        <v>1</v>
      </c>
      <c r="B39" s="63">
        <v>13</v>
      </c>
      <c r="C39" s="46" t="s">
        <v>250</v>
      </c>
      <c r="D39" s="74"/>
      <c r="E39" s="74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</row>
    <row r="40" spans="1:16" ht="12">
      <c r="A40" s="63"/>
      <c r="B40" s="63"/>
      <c r="C40" s="189" t="s">
        <v>1234</v>
      </c>
      <c r="D40" s="74"/>
      <c r="E40" s="74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</row>
    <row r="41" spans="1:16" ht="12">
      <c r="A41" s="63"/>
      <c r="B41" s="63"/>
      <c r="C41" s="1214" t="s">
        <v>1461</v>
      </c>
      <c r="D41" s="1215"/>
      <c r="E41" s="140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6" ht="15" customHeight="1">
      <c r="A42" s="63"/>
      <c r="B42" s="63"/>
      <c r="C42" s="14" t="s">
        <v>891</v>
      </c>
      <c r="D42" s="65"/>
      <c r="E42" s="65">
        <v>2</v>
      </c>
      <c r="F42" s="13"/>
      <c r="G42" s="13"/>
      <c r="H42" s="13"/>
      <c r="I42" s="13">
        <v>4000</v>
      </c>
      <c r="J42" s="13"/>
      <c r="K42" s="13"/>
      <c r="L42" s="13"/>
      <c r="M42" s="13"/>
      <c r="N42" s="13"/>
      <c r="O42" s="13"/>
      <c r="P42" s="13">
        <f aca="true" t="shared" si="2" ref="P42:P51">SUM(F42:O42)</f>
        <v>4000</v>
      </c>
    </row>
    <row r="43" spans="1:16" ht="15" customHeight="1">
      <c r="A43" s="63"/>
      <c r="B43" s="63"/>
      <c r="C43" s="1266" t="s">
        <v>281</v>
      </c>
      <c r="D43" s="1267"/>
      <c r="E43" s="65">
        <v>2</v>
      </c>
      <c r="F43" s="13"/>
      <c r="G43" s="13"/>
      <c r="H43" s="13">
        <v>2500</v>
      </c>
      <c r="I43" s="13"/>
      <c r="J43" s="13">
        <v>2500</v>
      </c>
      <c r="K43" s="13"/>
      <c r="L43" s="13"/>
      <c r="M43" s="13"/>
      <c r="N43" s="13"/>
      <c r="O43" s="13"/>
      <c r="P43" s="13">
        <f t="shared" si="2"/>
        <v>5000</v>
      </c>
    </row>
    <row r="44" spans="1:16" ht="15" customHeight="1">
      <c r="A44" s="63"/>
      <c r="B44" s="63"/>
      <c r="C44" s="1266" t="s">
        <v>1462</v>
      </c>
      <c r="D44" s="1267"/>
      <c r="E44" s="65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 ht="24.75" customHeight="1">
      <c r="A45" s="63"/>
      <c r="B45" s="63"/>
      <c r="C45" s="1266" t="s">
        <v>1105</v>
      </c>
      <c r="D45" s="1267"/>
      <c r="E45" s="65">
        <v>2</v>
      </c>
      <c r="F45" s="13"/>
      <c r="G45" s="13"/>
      <c r="H45" s="13"/>
      <c r="I45" s="13"/>
      <c r="J45" s="13">
        <v>5000</v>
      </c>
      <c r="K45" s="13"/>
      <c r="L45" s="13"/>
      <c r="M45" s="13"/>
      <c r="N45" s="13"/>
      <c r="O45" s="13"/>
      <c r="P45" s="13">
        <f t="shared" si="2"/>
        <v>5000</v>
      </c>
    </row>
    <row r="46" spans="1:16" ht="12" customHeight="1">
      <c r="A46" s="63"/>
      <c r="B46" s="63"/>
      <c r="C46" s="1266" t="s">
        <v>1461</v>
      </c>
      <c r="D46" s="1267"/>
      <c r="E46" s="65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ht="15" customHeight="1">
      <c r="A47" s="63"/>
      <c r="B47" s="63"/>
      <c r="C47" s="1266" t="s">
        <v>489</v>
      </c>
      <c r="D47" s="1267"/>
      <c r="E47" s="65">
        <v>2</v>
      </c>
      <c r="F47" s="13"/>
      <c r="G47" s="13"/>
      <c r="H47" s="13"/>
      <c r="I47" s="13"/>
      <c r="J47" s="13">
        <v>6500</v>
      </c>
      <c r="K47" s="13"/>
      <c r="L47" s="13"/>
      <c r="M47" s="13"/>
      <c r="N47" s="13"/>
      <c r="O47" s="13"/>
      <c r="P47" s="13">
        <f t="shared" si="2"/>
        <v>6500</v>
      </c>
    </row>
    <row r="48" spans="1:16" ht="14.25" customHeight="1">
      <c r="A48" s="63"/>
      <c r="B48" s="63"/>
      <c r="C48" s="15" t="s">
        <v>950</v>
      </c>
      <c r="D48" s="79"/>
      <c r="E48" s="65">
        <v>2</v>
      </c>
      <c r="F48" s="16"/>
      <c r="G48" s="16"/>
      <c r="H48" s="16"/>
      <c r="I48" s="16"/>
      <c r="J48" s="16">
        <v>80000</v>
      </c>
      <c r="K48" s="16"/>
      <c r="L48" s="16"/>
      <c r="M48" s="16"/>
      <c r="N48" s="16"/>
      <c r="O48" s="16"/>
      <c r="P48" s="16">
        <f t="shared" si="2"/>
        <v>80000</v>
      </c>
    </row>
    <row r="49" spans="1:16" ht="14.25" customHeight="1">
      <c r="A49" s="63"/>
      <c r="B49" s="63"/>
      <c r="C49" s="1263" t="s">
        <v>313</v>
      </c>
      <c r="D49" s="1265"/>
      <c r="E49" s="65">
        <v>2</v>
      </c>
      <c r="F49" s="16"/>
      <c r="G49" s="16"/>
      <c r="H49" s="16"/>
      <c r="I49" s="16"/>
      <c r="J49" s="16">
        <v>825</v>
      </c>
      <c r="K49" s="16"/>
      <c r="L49" s="16"/>
      <c r="M49" s="16"/>
      <c r="N49" s="16"/>
      <c r="O49" s="16"/>
      <c r="P49" s="16">
        <v>825</v>
      </c>
    </row>
    <row r="50" spans="1:16" ht="14.25" customHeight="1">
      <c r="A50" s="63"/>
      <c r="B50" s="63"/>
      <c r="C50" s="15" t="s">
        <v>1459</v>
      </c>
      <c r="D50" s="79"/>
      <c r="E50" s="6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ht="24.75" customHeight="1">
      <c r="A51" s="63"/>
      <c r="B51" s="63"/>
      <c r="C51" s="1249" t="s">
        <v>364</v>
      </c>
      <c r="D51" s="1250"/>
      <c r="E51" s="65">
        <v>2</v>
      </c>
      <c r="F51" s="16"/>
      <c r="G51" s="16"/>
      <c r="H51" s="16"/>
      <c r="I51" s="13"/>
      <c r="J51" s="13">
        <v>1875</v>
      </c>
      <c r="K51" s="16"/>
      <c r="L51" s="16"/>
      <c r="M51" s="16"/>
      <c r="N51" s="16"/>
      <c r="O51" s="16"/>
      <c r="P51" s="16">
        <f t="shared" si="2"/>
        <v>1875</v>
      </c>
    </row>
    <row r="52" spans="1:16" ht="15" customHeight="1">
      <c r="A52" s="63"/>
      <c r="B52" s="63"/>
      <c r="C52" s="735" t="s">
        <v>1235</v>
      </c>
      <c r="D52" s="1311"/>
      <c r="E52" s="209"/>
      <c r="F52" s="16"/>
      <c r="G52" s="16"/>
      <c r="H52" s="16"/>
      <c r="I52" s="13"/>
      <c r="J52" s="13"/>
      <c r="K52" s="16"/>
      <c r="L52" s="16"/>
      <c r="M52" s="16"/>
      <c r="N52" s="16"/>
      <c r="O52" s="16"/>
      <c r="P52" s="16"/>
    </row>
    <row r="53" spans="1:16" ht="24.75" customHeight="1">
      <c r="A53" s="63"/>
      <c r="B53" s="63"/>
      <c r="C53" s="1266" t="s">
        <v>1463</v>
      </c>
      <c r="D53" s="1267"/>
      <c r="E53" s="210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1:16" ht="12" customHeight="1">
      <c r="A54" s="63"/>
      <c r="B54" s="63"/>
      <c r="C54" s="14" t="s">
        <v>1877</v>
      </c>
      <c r="D54" s="65"/>
      <c r="E54" s="65">
        <v>2</v>
      </c>
      <c r="F54" s="13"/>
      <c r="G54" s="13"/>
      <c r="H54" s="13">
        <v>700</v>
      </c>
      <c r="I54" s="13"/>
      <c r="J54" s="13">
        <v>800</v>
      </c>
      <c r="K54" s="13"/>
      <c r="L54" s="13"/>
      <c r="M54" s="13"/>
      <c r="N54" s="13"/>
      <c r="O54" s="13"/>
      <c r="P54" s="13">
        <f aca="true" t="shared" si="3" ref="P54:P64">SUM(F54:O54)</f>
        <v>1500</v>
      </c>
    </row>
    <row r="55" spans="1:16" ht="12" customHeight="1">
      <c r="A55" s="63"/>
      <c r="B55" s="63"/>
      <c r="C55" s="14" t="s">
        <v>1878</v>
      </c>
      <c r="D55" s="65"/>
      <c r="E55" s="65">
        <v>2</v>
      </c>
      <c r="F55" s="13"/>
      <c r="G55" s="13"/>
      <c r="H55" s="13">
        <v>400</v>
      </c>
      <c r="I55" s="13"/>
      <c r="J55" s="13"/>
      <c r="K55" s="13"/>
      <c r="L55" s="13"/>
      <c r="M55" s="13"/>
      <c r="N55" s="13"/>
      <c r="O55" s="13"/>
      <c r="P55" s="13">
        <f t="shared" si="3"/>
        <v>400</v>
      </c>
    </row>
    <row r="56" spans="1:16" ht="12" customHeight="1">
      <c r="A56" s="63"/>
      <c r="B56" s="63"/>
      <c r="C56" s="14" t="s">
        <v>1106</v>
      </c>
      <c r="D56" s="65"/>
      <c r="E56" s="65">
        <v>2</v>
      </c>
      <c r="F56" s="13"/>
      <c r="G56" s="13"/>
      <c r="H56" s="13">
        <v>1000</v>
      </c>
      <c r="I56" s="13"/>
      <c r="J56" s="13"/>
      <c r="K56" s="13"/>
      <c r="L56" s="13"/>
      <c r="M56" s="13"/>
      <c r="N56" s="13"/>
      <c r="O56" s="13"/>
      <c r="P56" s="13">
        <f t="shared" si="3"/>
        <v>1000</v>
      </c>
    </row>
    <row r="57" spans="1:16" ht="12" customHeight="1">
      <c r="A57" s="63"/>
      <c r="B57" s="63"/>
      <c r="C57" s="14" t="s">
        <v>1107</v>
      </c>
      <c r="D57" s="65"/>
      <c r="E57" s="65">
        <v>2</v>
      </c>
      <c r="F57" s="13"/>
      <c r="G57" s="13"/>
      <c r="H57" s="13">
        <v>1000</v>
      </c>
      <c r="I57" s="13"/>
      <c r="J57" s="13"/>
      <c r="K57" s="13"/>
      <c r="L57" s="13"/>
      <c r="M57" s="13"/>
      <c r="N57" s="13"/>
      <c r="O57" s="13"/>
      <c r="P57" s="13">
        <f t="shared" si="3"/>
        <v>1000</v>
      </c>
    </row>
    <row r="58" spans="1:16" ht="12" customHeight="1">
      <c r="A58" s="63"/>
      <c r="B58" s="63"/>
      <c r="C58" s="14" t="s">
        <v>1108</v>
      </c>
      <c r="D58" s="65"/>
      <c r="E58" s="65">
        <v>2</v>
      </c>
      <c r="F58" s="13"/>
      <c r="G58" s="13"/>
      <c r="H58" s="13">
        <v>1000</v>
      </c>
      <c r="I58" s="13"/>
      <c r="J58" s="13"/>
      <c r="K58" s="13"/>
      <c r="L58" s="13"/>
      <c r="M58" s="13"/>
      <c r="N58" s="13"/>
      <c r="O58" s="13"/>
      <c r="P58" s="13">
        <f t="shared" si="3"/>
        <v>1000</v>
      </c>
    </row>
    <row r="59" spans="1:16" ht="12" customHeight="1">
      <c r="A59" s="63"/>
      <c r="B59" s="63"/>
      <c r="C59" s="14" t="s">
        <v>490</v>
      </c>
      <c r="D59" s="65"/>
      <c r="E59" s="65">
        <v>2</v>
      </c>
      <c r="F59" s="13"/>
      <c r="G59" s="13"/>
      <c r="H59" s="13"/>
      <c r="I59" s="13"/>
      <c r="J59" s="13">
        <v>500</v>
      </c>
      <c r="K59" s="13"/>
      <c r="L59" s="13"/>
      <c r="M59" s="13"/>
      <c r="N59" s="13"/>
      <c r="O59" s="13"/>
      <c r="P59" s="13">
        <f t="shared" si="3"/>
        <v>500</v>
      </c>
    </row>
    <row r="60" spans="1:16" ht="12" customHeight="1">
      <c r="A60" s="63"/>
      <c r="B60" s="63"/>
      <c r="C60" s="1214" t="s">
        <v>491</v>
      </c>
      <c r="D60" s="1215"/>
      <c r="E60" s="65"/>
      <c r="F60" s="13"/>
      <c r="G60" s="13"/>
      <c r="H60" s="13"/>
      <c r="I60" s="13"/>
      <c r="J60" s="13">
        <v>1000</v>
      </c>
      <c r="K60" s="13"/>
      <c r="L60" s="13"/>
      <c r="M60" s="13"/>
      <c r="N60" s="13"/>
      <c r="O60" s="13"/>
      <c r="P60" s="13">
        <v>1000</v>
      </c>
    </row>
    <row r="61" spans="1:16" ht="12" customHeight="1">
      <c r="A61" s="63"/>
      <c r="B61" s="63"/>
      <c r="C61" s="14" t="s">
        <v>1459</v>
      </c>
      <c r="D61" s="65"/>
      <c r="E61" s="65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6" ht="12" customHeight="1">
      <c r="A62" s="63"/>
      <c r="B62" s="63"/>
      <c r="C62" s="64" t="s">
        <v>392</v>
      </c>
      <c r="D62" s="65"/>
      <c r="E62" s="65">
        <v>2</v>
      </c>
      <c r="F62" s="13"/>
      <c r="G62" s="13"/>
      <c r="H62" s="13"/>
      <c r="I62" s="13">
        <v>14000</v>
      </c>
      <c r="J62" s="13"/>
      <c r="K62" s="13"/>
      <c r="L62" s="13"/>
      <c r="M62" s="13"/>
      <c r="N62" s="13"/>
      <c r="O62" s="13"/>
      <c r="P62" s="13">
        <f t="shared" si="3"/>
        <v>14000</v>
      </c>
    </row>
    <row r="63" spans="1:16" ht="12" customHeight="1">
      <c r="A63" s="63"/>
      <c r="B63" s="63"/>
      <c r="C63" s="64" t="s">
        <v>1464</v>
      </c>
      <c r="D63" s="65"/>
      <c r="E63" s="65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6" ht="12" customHeight="1">
      <c r="A64" s="63"/>
      <c r="B64" s="63"/>
      <c r="C64" s="14" t="s">
        <v>492</v>
      </c>
      <c r="D64" s="65"/>
      <c r="E64" s="65">
        <v>2</v>
      </c>
      <c r="F64" s="13"/>
      <c r="G64" s="13"/>
      <c r="H64" s="13">
        <v>60</v>
      </c>
      <c r="I64" s="13"/>
      <c r="J64" s="13"/>
      <c r="K64" s="13"/>
      <c r="L64" s="13"/>
      <c r="M64" s="13"/>
      <c r="N64" s="13"/>
      <c r="O64" s="13"/>
      <c r="P64" s="13">
        <f t="shared" si="3"/>
        <v>60</v>
      </c>
    </row>
    <row r="65" spans="1:16" ht="12" customHeight="1">
      <c r="A65" s="63"/>
      <c r="B65" s="63"/>
      <c r="C65" s="732" t="s">
        <v>1465</v>
      </c>
      <c r="D65" s="733"/>
      <c r="E65" s="140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1:16" ht="12" customHeight="1">
      <c r="A66" s="63"/>
      <c r="B66" s="63"/>
      <c r="C66" s="14" t="s">
        <v>725</v>
      </c>
      <c r="D66" s="65"/>
      <c r="E66" s="65">
        <v>1</v>
      </c>
      <c r="F66" s="13"/>
      <c r="G66" s="13"/>
      <c r="H66" s="13">
        <v>2300</v>
      </c>
      <c r="I66" s="13"/>
      <c r="J66" s="13">
        <v>2000</v>
      </c>
      <c r="K66" s="13"/>
      <c r="L66" s="13"/>
      <c r="M66" s="13"/>
      <c r="N66" s="13"/>
      <c r="O66" s="13"/>
      <c r="P66" s="13">
        <f aca="true" t="shared" si="4" ref="P66:P80">SUM(F66:O66)</f>
        <v>4300</v>
      </c>
    </row>
    <row r="67" spans="1:16" ht="12" customHeight="1">
      <c r="A67" s="63"/>
      <c r="B67" s="63"/>
      <c r="C67" s="14" t="s">
        <v>880</v>
      </c>
      <c r="D67" s="65"/>
      <c r="E67" s="65">
        <v>2</v>
      </c>
      <c r="F67" s="13"/>
      <c r="G67" s="13"/>
      <c r="H67" s="13"/>
      <c r="I67" s="13"/>
      <c r="J67" s="13">
        <v>400</v>
      </c>
      <c r="K67" s="13"/>
      <c r="L67" s="13"/>
      <c r="M67" s="13"/>
      <c r="N67" s="13"/>
      <c r="O67" s="13"/>
      <c r="P67" s="13">
        <f t="shared" si="4"/>
        <v>400</v>
      </c>
    </row>
    <row r="68" spans="1:16" ht="12" customHeight="1">
      <c r="A68" s="63"/>
      <c r="B68" s="63"/>
      <c r="C68" s="14" t="s">
        <v>493</v>
      </c>
      <c r="D68" s="65"/>
      <c r="E68" s="65">
        <v>2</v>
      </c>
      <c r="F68" s="13"/>
      <c r="G68" s="13"/>
      <c r="H68" s="13"/>
      <c r="I68" s="13"/>
      <c r="J68" s="13">
        <v>1000</v>
      </c>
      <c r="K68" s="13"/>
      <c r="L68" s="13"/>
      <c r="M68" s="13"/>
      <c r="N68" s="13"/>
      <c r="O68" s="13"/>
      <c r="P68" s="13">
        <f t="shared" si="4"/>
        <v>1000</v>
      </c>
    </row>
    <row r="69" spans="1:16" ht="13.5" customHeight="1">
      <c r="A69" s="63"/>
      <c r="B69" s="63"/>
      <c r="C69" s="1263" t="s">
        <v>1684</v>
      </c>
      <c r="D69" s="1264"/>
      <c r="E69" s="65">
        <v>2</v>
      </c>
      <c r="F69" s="13"/>
      <c r="G69" s="13"/>
      <c r="H69" s="13">
        <v>500</v>
      </c>
      <c r="I69" s="13"/>
      <c r="J69" s="13"/>
      <c r="K69" s="13"/>
      <c r="L69" s="13"/>
      <c r="M69" s="13"/>
      <c r="N69" s="13"/>
      <c r="O69" s="13"/>
      <c r="P69" s="13">
        <f t="shared" si="4"/>
        <v>500</v>
      </c>
    </row>
    <row r="70" spans="1:16" ht="12" customHeight="1">
      <c r="A70" s="63"/>
      <c r="B70" s="63"/>
      <c r="C70" s="14" t="s">
        <v>881</v>
      </c>
      <c r="D70" s="65"/>
      <c r="E70" s="65">
        <v>2</v>
      </c>
      <c r="F70" s="13"/>
      <c r="G70" s="13"/>
      <c r="H70" s="13"/>
      <c r="I70" s="13"/>
      <c r="J70" s="13">
        <v>600</v>
      </c>
      <c r="K70" s="13"/>
      <c r="L70" s="13"/>
      <c r="M70" s="13"/>
      <c r="N70" s="13"/>
      <c r="O70" s="13"/>
      <c r="P70" s="13">
        <f t="shared" si="4"/>
        <v>600</v>
      </c>
    </row>
    <row r="71" spans="1:16" ht="12" customHeight="1">
      <c r="A71" s="63"/>
      <c r="B71" s="63"/>
      <c r="C71" s="1263" t="s">
        <v>431</v>
      </c>
      <c r="D71" s="1264"/>
      <c r="E71" s="65">
        <v>2</v>
      </c>
      <c r="F71" s="13"/>
      <c r="G71" s="13"/>
      <c r="H71" s="13"/>
      <c r="I71" s="13"/>
      <c r="J71" s="13">
        <v>35760</v>
      </c>
      <c r="K71" s="13"/>
      <c r="L71" s="13"/>
      <c r="M71" s="13"/>
      <c r="N71" s="13"/>
      <c r="O71" s="13"/>
      <c r="P71" s="13">
        <f t="shared" si="4"/>
        <v>35760</v>
      </c>
    </row>
    <row r="72" spans="1:16" ht="24.75" customHeight="1">
      <c r="A72" s="63"/>
      <c r="B72" s="63"/>
      <c r="C72" s="1263" t="s">
        <v>497</v>
      </c>
      <c r="D72" s="1264"/>
      <c r="E72" s="65">
        <v>2</v>
      </c>
      <c r="F72" s="13"/>
      <c r="G72" s="13"/>
      <c r="H72" s="13"/>
      <c r="I72" s="13"/>
      <c r="J72" s="13">
        <v>1500</v>
      </c>
      <c r="K72" s="13"/>
      <c r="L72" s="13"/>
      <c r="M72" s="13"/>
      <c r="N72" s="13"/>
      <c r="O72" s="13"/>
      <c r="P72" s="13">
        <f t="shared" si="4"/>
        <v>1500</v>
      </c>
    </row>
    <row r="73" spans="1:16" ht="12" customHeight="1">
      <c r="A73" s="63"/>
      <c r="B73" s="63"/>
      <c r="C73" s="1266" t="s">
        <v>495</v>
      </c>
      <c r="D73" s="1267"/>
      <c r="E73" s="65">
        <v>2</v>
      </c>
      <c r="F73" s="13"/>
      <c r="G73" s="13"/>
      <c r="H73" s="13"/>
      <c r="I73" s="13"/>
      <c r="J73" s="13">
        <v>100</v>
      </c>
      <c r="K73" s="13"/>
      <c r="L73" s="13"/>
      <c r="M73" s="13"/>
      <c r="N73" s="13"/>
      <c r="O73" s="13"/>
      <c r="P73" s="13">
        <f t="shared" si="4"/>
        <v>100</v>
      </c>
    </row>
    <row r="74" spans="1:16" ht="12" customHeight="1">
      <c r="A74" s="63"/>
      <c r="B74" s="63"/>
      <c r="C74" s="1266" t="s">
        <v>1109</v>
      </c>
      <c r="D74" s="1267"/>
      <c r="E74" s="65">
        <v>2</v>
      </c>
      <c r="F74" s="13"/>
      <c r="G74" s="13"/>
      <c r="H74" s="13"/>
      <c r="I74" s="13"/>
      <c r="J74" s="13">
        <v>800</v>
      </c>
      <c r="K74" s="13"/>
      <c r="L74" s="13"/>
      <c r="M74" s="13"/>
      <c r="N74" s="13"/>
      <c r="O74" s="13"/>
      <c r="P74" s="13">
        <f t="shared" si="4"/>
        <v>800</v>
      </c>
    </row>
    <row r="75" spans="1:16" ht="12" customHeight="1">
      <c r="A75" s="63"/>
      <c r="B75" s="63"/>
      <c r="C75" s="1263" t="s">
        <v>494</v>
      </c>
      <c r="D75" s="1264"/>
      <c r="E75" s="65">
        <v>1</v>
      </c>
      <c r="F75" s="13"/>
      <c r="G75" s="13"/>
      <c r="H75" s="13">
        <v>74</v>
      </c>
      <c r="I75" s="13"/>
      <c r="J75" s="13"/>
      <c r="K75" s="13"/>
      <c r="L75" s="13"/>
      <c r="M75" s="13"/>
      <c r="N75" s="13"/>
      <c r="O75" s="13"/>
      <c r="P75" s="13">
        <f t="shared" si="4"/>
        <v>74</v>
      </c>
    </row>
    <row r="76" spans="1:16" ht="12" customHeight="1">
      <c r="A76" s="63"/>
      <c r="B76" s="63"/>
      <c r="C76" s="1263" t="s">
        <v>119</v>
      </c>
      <c r="D76" s="1264"/>
      <c r="E76" s="65">
        <v>2</v>
      </c>
      <c r="F76" s="13"/>
      <c r="G76" s="13"/>
      <c r="H76" s="13"/>
      <c r="I76" s="13"/>
      <c r="J76" s="13">
        <v>500</v>
      </c>
      <c r="K76" s="13"/>
      <c r="L76" s="13"/>
      <c r="M76" s="13"/>
      <c r="N76" s="13"/>
      <c r="O76" s="13"/>
      <c r="P76" s="13">
        <f t="shared" si="4"/>
        <v>500</v>
      </c>
    </row>
    <row r="77" spans="1:16" ht="12" customHeight="1">
      <c r="A77" s="63"/>
      <c r="B77" s="63"/>
      <c r="C77" s="1263" t="s">
        <v>882</v>
      </c>
      <c r="D77" s="1264"/>
      <c r="E77" s="65">
        <v>2</v>
      </c>
      <c r="F77" s="13">
        <v>98</v>
      </c>
      <c r="G77" s="13">
        <v>27</v>
      </c>
      <c r="H77" s="13"/>
      <c r="I77" s="13"/>
      <c r="J77" s="13"/>
      <c r="K77" s="13"/>
      <c r="L77" s="13"/>
      <c r="M77" s="13"/>
      <c r="N77" s="13"/>
      <c r="O77" s="13"/>
      <c r="P77" s="13">
        <f t="shared" si="4"/>
        <v>125</v>
      </c>
    </row>
    <row r="78" spans="1:16" ht="12" customHeight="1">
      <c r="A78" s="63"/>
      <c r="B78" s="63"/>
      <c r="C78" s="1266" t="s">
        <v>496</v>
      </c>
      <c r="D78" s="1267"/>
      <c r="E78" s="65">
        <v>2</v>
      </c>
      <c r="F78" s="13"/>
      <c r="G78" s="13"/>
      <c r="H78" s="13"/>
      <c r="I78" s="13"/>
      <c r="J78" s="13">
        <v>2000</v>
      </c>
      <c r="K78" s="13"/>
      <c r="L78" s="13"/>
      <c r="M78" s="13"/>
      <c r="N78" s="13"/>
      <c r="O78" s="13"/>
      <c r="P78" s="13">
        <f t="shared" si="4"/>
        <v>2000</v>
      </c>
    </row>
    <row r="79" spans="1:16" ht="12" customHeight="1">
      <c r="A79" s="63"/>
      <c r="B79" s="63"/>
      <c r="C79" s="1266" t="s">
        <v>1873</v>
      </c>
      <c r="D79" s="1267"/>
      <c r="E79" s="65">
        <v>2</v>
      </c>
      <c r="F79" s="13"/>
      <c r="G79" s="13"/>
      <c r="H79" s="13"/>
      <c r="I79" s="13"/>
      <c r="J79" s="13">
        <v>3000</v>
      </c>
      <c r="K79" s="13"/>
      <c r="L79" s="13"/>
      <c r="M79" s="13"/>
      <c r="N79" s="13"/>
      <c r="O79" s="13"/>
      <c r="P79" s="13">
        <f t="shared" si="4"/>
        <v>3000</v>
      </c>
    </row>
    <row r="80" spans="1:16" ht="12" customHeight="1">
      <c r="A80" s="63"/>
      <c r="B80" s="63"/>
      <c r="C80" s="1266" t="s">
        <v>1295</v>
      </c>
      <c r="D80" s="1267"/>
      <c r="E80" s="65">
        <v>2</v>
      </c>
      <c r="F80" s="13"/>
      <c r="G80" s="13"/>
      <c r="H80" s="13"/>
      <c r="I80" s="13"/>
      <c r="J80" s="13">
        <v>2000</v>
      </c>
      <c r="K80" s="13"/>
      <c r="L80" s="13"/>
      <c r="M80" s="13"/>
      <c r="N80" s="13"/>
      <c r="O80" s="13"/>
      <c r="P80" s="13">
        <f t="shared" si="4"/>
        <v>2000</v>
      </c>
    </row>
    <row r="81" spans="1:16" ht="12" customHeight="1">
      <c r="A81" s="63"/>
      <c r="B81" s="63"/>
      <c r="C81" s="732" t="s">
        <v>1554</v>
      </c>
      <c r="D81" s="733"/>
      <c r="E81" s="140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ht="24.75" customHeight="1">
      <c r="A82" s="63"/>
      <c r="B82" s="63"/>
      <c r="C82" s="1263" t="s">
        <v>883</v>
      </c>
      <c r="D82" s="1264"/>
      <c r="E82" s="140">
        <v>2</v>
      </c>
      <c r="F82" s="13"/>
      <c r="G82" s="13"/>
      <c r="H82" s="13"/>
      <c r="I82" s="13"/>
      <c r="J82" s="13">
        <v>2500</v>
      </c>
      <c r="K82" s="13"/>
      <c r="L82" s="13"/>
      <c r="M82" s="13"/>
      <c r="N82" s="13"/>
      <c r="O82" s="13"/>
      <c r="P82" s="13">
        <f>SUM(F82:O82)</f>
        <v>2500</v>
      </c>
    </row>
    <row r="83" spans="1:16" ht="12" customHeight="1">
      <c r="A83" s="63"/>
      <c r="B83" s="63"/>
      <c r="C83" s="75" t="s">
        <v>884</v>
      </c>
      <c r="D83" s="140"/>
      <c r="E83" s="140">
        <v>2</v>
      </c>
      <c r="F83" s="13"/>
      <c r="G83" s="13"/>
      <c r="H83" s="13"/>
      <c r="I83" s="13"/>
      <c r="J83" s="13">
        <v>4450</v>
      </c>
      <c r="K83" s="13"/>
      <c r="L83" s="13"/>
      <c r="M83" s="13"/>
      <c r="N83" s="13"/>
      <c r="O83" s="13"/>
      <c r="P83" s="13">
        <f>SUM(F83:O83)</f>
        <v>4450</v>
      </c>
    </row>
    <row r="84" spans="1:16" ht="12" customHeight="1">
      <c r="A84" s="63"/>
      <c r="B84" s="63"/>
      <c r="C84" s="14" t="s">
        <v>1879</v>
      </c>
      <c r="D84" s="65"/>
      <c r="E84" s="140">
        <v>2</v>
      </c>
      <c r="F84" s="13"/>
      <c r="G84" s="13"/>
      <c r="H84" s="13"/>
      <c r="I84" s="13"/>
      <c r="J84" s="13">
        <v>10000</v>
      </c>
      <c r="K84" s="13"/>
      <c r="L84" s="13"/>
      <c r="M84" s="13"/>
      <c r="N84" s="13"/>
      <c r="O84" s="13"/>
      <c r="P84" s="13">
        <f>SUM(F84:O84)</f>
        <v>10000</v>
      </c>
    </row>
    <row r="85" spans="1:16" ht="12" customHeight="1">
      <c r="A85" s="63"/>
      <c r="B85" s="63"/>
      <c r="C85" s="14" t="s">
        <v>1880</v>
      </c>
      <c r="D85" s="65"/>
      <c r="E85" s="140">
        <v>2</v>
      </c>
      <c r="F85" s="13"/>
      <c r="G85" s="13"/>
      <c r="H85" s="13"/>
      <c r="I85" s="13"/>
      <c r="J85" s="13">
        <v>5500</v>
      </c>
      <c r="K85" s="13"/>
      <c r="L85" s="13"/>
      <c r="M85" s="13"/>
      <c r="N85" s="13"/>
      <c r="O85" s="13"/>
      <c r="P85" s="13">
        <f>SUM(F85:O85)</f>
        <v>5500</v>
      </c>
    </row>
    <row r="86" spans="1:16" ht="12" customHeight="1">
      <c r="A86" s="63"/>
      <c r="B86" s="63"/>
      <c r="C86" s="14" t="s">
        <v>923</v>
      </c>
      <c r="D86" s="65"/>
      <c r="E86" s="140">
        <v>2</v>
      </c>
      <c r="F86" s="13"/>
      <c r="G86" s="13"/>
      <c r="H86" s="13"/>
      <c r="I86" s="13"/>
      <c r="J86" s="13">
        <v>3000</v>
      </c>
      <c r="K86" s="13"/>
      <c r="L86" s="13"/>
      <c r="M86" s="13"/>
      <c r="N86" s="13"/>
      <c r="O86" s="13"/>
      <c r="P86" s="13">
        <f>SUM(F86:O86)</f>
        <v>3000</v>
      </c>
    </row>
    <row r="87" spans="1:16" ht="24" customHeight="1">
      <c r="A87" s="63"/>
      <c r="B87" s="63"/>
      <c r="C87" s="1266" t="s">
        <v>1100</v>
      </c>
      <c r="D87" s="1267"/>
      <c r="E87" s="210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 ht="15" customHeight="1">
      <c r="A88" s="63"/>
      <c r="B88" s="63"/>
      <c r="C88" s="1266" t="s">
        <v>1466</v>
      </c>
      <c r="D88" s="1267"/>
      <c r="E88" s="210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 ht="15" customHeight="1">
      <c r="A89" s="63"/>
      <c r="B89" s="63"/>
      <c r="C89" s="1266" t="s">
        <v>1881</v>
      </c>
      <c r="D89" s="1267"/>
      <c r="E89" s="225">
        <v>2</v>
      </c>
      <c r="F89" s="13"/>
      <c r="G89" s="13"/>
      <c r="H89" s="13"/>
      <c r="I89" s="13">
        <v>500</v>
      </c>
      <c r="J89" s="13"/>
      <c r="K89" s="13"/>
      <c r="L89" s="13"/>
      <c r="M89" s="13"/>
      <c r="N89" s="13"/>
      <c r="O89" s="13"/>
      <c r="P89" s="13">
        <f>SUM(F89:O89)</f>
        <v>500</v>
      </c>
    </row>
    <row r="90" spans="1:16" ht="15" customHeight="1">
      <c r="A90" s="63"/>
      <c r="B90" s="63"/>
      <c r="C90" s="1324" t="s">
        <v>365</v>
      </c>
      <c r="D90" s="1325"/>
      <c r="E90" s="2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1:16" ht="15" customHeight="1">
      <c r="A91" s="63"/>
      <c r="B91" s="63"/>
      <c r="C91" s="732" t="s">
        <v>1555</v>
      </c>
      <c r="D91" s="733"/>
      <c r="E91" s="140"/>
      <c r="F91" s="13"/>
      <c r="G91" s="13"/>
      <c r="H91" s="13"/>
      <c r="I91" s="134"/>
      <c r="J91" s="13"/>
      <c r="K91" s="134"/>
      <c r="L91" s="134"/>
      <c r="M91" s="134"/>
      <c r="N91" s="134"/>
      <c r="O91" s="134"/>
      <c r="P91" s="11"/>
    </row>
    <row r="92" spans="1:16" ht="15" customHeight="1">
      <c r="A92" s="63"/>
      <c r="B92" s="63"/>
      <c r="C92" s="14" t="s">
        <v>1101</v>
      </c>
      <c r="D92" s="65"/>
      <c r="E92" s="65">
        <v>2</v>
      </c>
      <c r="F92" s="13"/>
      <c r="G92" s="13"/>
      <c r="H92" s="13">
        <v>500</v>
      </c>
      <c r="I92" s="134"/>
      <c r="J92" s="13"/>
      <c r="K92" s="134"/>
      <c r="L92" s="134"/>
      <c r="M92" s="134"/>
      <c r="N92" s="134"/>
      <c r="O92" s="134"/>
      <c r="P92" s="11">
        <f>SUM(F92:O92)</f>
        <v>500</v>
      </c>
    </row>
    <row r="93" spans="1:16" ht="15" customHeight="1">
      <c r="A93" s="63"/>
      <c r="B93" s="63"/>
      <c r="C93" s="1322" t="s">
        <v>1467</v>
      </c>
      <c r="D93" s="1323"/>
      <c r="E93" s="214"/>
      <c r="F93" s="13"/>
      <c r="G93" s="13"/>
      <c r="H93" s="13"/>
      <c r="I93" s="134"/>
      <c r="J93" s="13"/>
      <c r="K93" s="134"/>
      <c r="L93" s="134"/>
      <c r="M93" s="134"/>
      <c r="N93" s="134"/>
      <c r="O93" s="134"/>
      <c r="P93" s="11"/>
    </row>
    <row r="94" spans="1:16" ht="15" customHeight="1">
      <c r="A94" s="63"/>
      <c r="B94" s="63"/>
      <c r="C94" s="1263" t="s">
        <v>391</v>
      </c>
      <c r="D94" s="1264"/>
      <c r="E94" s="215">
        <v>2</v>
      </c>
      <c r="F94" s="13"/>
      <c r="G94" s="13"/>
      <c r="H94" s="13">
        <v>9000</v>
      </c>
      <c r="I94" s="134"/>
      <c r="J94" s="13"/>
      <c r="K94" s="134"/>
      <c r="L94" s="134"/>
      <c r="M94" s="134"/>
      <c r="N94" s="134"/>
      <c r="O94" s="134"/>
      <c r="P94" s="11">
        <f>SUM(F94:O94)</f>
        <v>9000</v>
      </c>
    </row>
    <row r="95" spans="1:16" ht="15" customHeight="1">
      <c r="A95" s="63"/>
      <c r="B95" s="63"/>
      <c r="C95" s="12" t="s">
        <v>1556</v>
      </c>
      <c r="D95" s="140"/>
      <c r="E95" s="140"/>
      <c r="F95" s="13"/>
      <c r="G95" s="13"/>
      <c r="H95" s="13"/>
      <c r="I95" s="134"/>
      <c r="J95" s="13"/>
      <c r="K95" s="134"/>
      <c r="L95" s="134"/>
      <c r="M95" s="134"/>
      <c r="N95" s="134"/>
      <c r="O95" s="134"/>
      <c r="P95" s="11"/>
    </row>
    <row r="96" spans="1:16" ht="15" customHeight="1">
      <c r="A96" s="63"/>
      <c r="B96" s="63"/>
      <c r="C96" s="12" t="s">
        <v>275</v>
      </c>
      <c r="D96" s="140"/>
      <c r="E96" s="140">
        <v>1</v>
      </c>
      <c r="F96" s="13"/>
      <c r="G96" s="13"/>
      <c r="H96" s="13">
        <v>21106</v>
      </c>
      <c r="I96" s="134"/>
      <c r="J96" s="13"/>
      <c r="K96" s="134"/>
      <c r="L96" s="134"/>
      <c r="M96" s="134"/>
      <c r="N96" s="134"/>
      <c r="O96" s="134"/>
      <c r="P96" s="11">
        <f>SUM(F96:O96)</f>
        <v>21106</v>
      </c>
    </row>
    <row r="97" spans="1:16" ht="15" customHeight="1">
      <c r="A97" s="63"/>
      <c r="B97" s="63"/>
      <c r="C97" s="14" t="s">
        <v>1557</v>
      </c>
      <c r="D97" s="65"/>
      <c r="E97" s="65"/>
      <c r="F97" s="13"/>
      <c r="G97" s="13"/>
      <c r="H97" s="13"/>
      <c r="I97" s="134"/>
      <c r="J97" s="13"/>
      <c r="K97" s="134"/>
      <c r="L97" s="134"/>
      <c r="M97" s="134"/>
      <c r="N97" s="134"/>
      <c r="O97" s="134"/>
      <c r="P97" s="11"/>
    </row>
    <row r="98" spans="1:16" ht="15" customHeight="1">
      <c r="A98" s="63"/>
      <c r="B98" s="63"/>
      <c r="C98" s="14" t="s">
        <v>1102</v>
      </c>
      <c r="D98" s="65"/>
      <c r="E98" s="65">
        <v>1</v>
      </c>
      <c r="F98" s="13"/>
      <c r="G98" s="13"/>
      <c r="H98" s="13">
        <v>2346</v>
      </c>
      <c r="I98" s="134"/>
      <c r="J98" s="13"/>
      <c r="K98" s="134"/>
      <c r="L98" s="134"/>
      <c r="M98" s="134"/>
      <c r="N98" s="134"/>
      <c r="O98" s="134"/>
      <c r="P98" s="11">
        <f>SUM(F98:O98)</f>
        <v>2346</v>
      </c>
    </row>
    <row r="99" spans="1:16" ht="15" customHeight="1">
      <c r="A99" s="63"/>
      <c r="B99" s="63"/>
      <c r="C99" s="730" t="s">
        <v>1558</v>
      </c>
      <c r="D99" s="731"/>
      <c r="E99" s="210"/>
      <c r="F99" s="11"/>
      <c r="G99" s="11"/>
      <c r="H99" s="11"/>
      <c r="I99" s="11"/>
      <c r="J99" s="61"/>
      <c r="K99" s="133"/>
      <c r="L99" s="133"/>
      <c r="M99" s="133"/>
      <c r="N99" s="133"/>
      <c r="O99" s="132"/>
      <c r="P99" s="11"/>
    </row>
    <row r="100" spans="1:16" ht="15" customHeight="1">
      <c r="A100" s="63"/>
      <c r="B100" s="63"/>
      <c r="C100" s="14" t="s">
        <v>1103</v>
      </c>
      <c r="D100" s="65"/>
      <c r="E100" s="65">
        <v>1</v>
      </c>
      <c r="F100" s="13"/>
      <c r="G100" s="13"/>
      <c r="H100" s="11"/>
      <c r="I100" s="11"/>
      <c r="J100" s="61">
        <v>30000</v>
      </c>
      <c r="K100" s="133"/>
      <c r="L100" s="133"/>
      <c r="M100" s="133"/>
      <c r="N100" s="133"/>
      <c r="O100" s="132"/>
      <c r="P100" s="11">
        <f>SUM(F100:O100)</f>
        <v>30000</v>
      </c>
    </row>
    <row r="101" spans="1:16" ht="27" customHeight="1">
      <c r="A101" s="63"/>
      <c r="B101" s="63"/>
      <c r="C101" s="1207" t="s">
        <v>1806</v>
      </c>
      <c r="D101" s="1208"/>
      <c r="E101" s="65"/>
      <c r="F101" s="13"/>
      <c r="G101" s="13"/>
      <c r="H101" s="11"/>
      <c r="I101" s="11"/>
      <c r="J101" s="61"/>
      <c r="K101" s="133"/>
      <c r="L101" s="133"/>
      <c r="M101" s="133"/>
      <c r="N101" s="133"/>
      <c r="O101" s="132"/>
      <c r="P101" s="11"/>
    </row>
    <row r="102" spans="1:16" ht="24.75" customHeight="1">
      <c r="A102" s="63"/>
      <c r="B102" s="63"/>
      <c r="C102" s="1207" t="s">
        <v>101</v>
      </c>
      <c r="D102" s="734"/>
      <c r="E102" s="65">
        <v>2</v>
      </c>
      <c r="F102" s="13">
        <v>1708</v>
      </c>
      <c r="G102" s="13">
        <v>423</v>
      </c>
      <c r="H102" s="11">
        <v>15997</v>
      </c>
      <c r="I102" s="11"/>
      <c r="J102" s="61"/>
      <c r="K102" s="133"/>
      <c r="L102" s="133"/>
      <c r="M102" s="133"/>
      <c r="N102" s="133"/>
      <c r="O102" s="132"/>
      <c r="P102" s="11">
        <f>SUM(F102:O102)</f>
        <v>18128</v>
      </c>
    </row>
    <row r="103" spans="1:16" ht="15" customHeight="1">
      <c r="A103" s="63"/>
      <c r="B103" s="63"/>
      <c r="C103" s="14" t="s">
        <v>1559</v>
      </c>
      <c r="D103" s="65"/>
      <c r="E103" s="65"/>
      <c r="F103" s="13"/>
      <c r="G103" s="13"/>
      <c r="H103" s="11"/>
      <c r="I103" s="11"/>
      <c r="J103" s="61"/>
      <c r="K103" s="133"/>
      <c r="L103" s="133"/>
      <c r="M103" s="133"/>
      <c r="N103" s="133"/>
      <c r="O103" s="132"/>
      <c r="P103" s="11"/>
    </row>
    <row r="104" spans="1:16" ht="15" customHeight="1">
      <c r="A104" s="63"/>
      <c r="B104" s="63"/>
      <c r="C104" s="14" t="s">
        <v>499</v>
      </c>
      <c r="D104" s="65"/>
      <c r="E104" s="65"/>
      <c r="F104" s="13"/>
      <c r="G104" s="13"/>
      <c r="H104" s="11"/>
      <c r="I104" s="11"/>
      <c r="J104" s="61">
        <v>11500</v>
      </c>
      <c r="K104" s="133"/>
      <c r="L104" s="133"/>
      <c r="M104" s="133"/>
      <c r="N104" s="133"/>
      <c r="O104" s="132"/>
      <c r="P104" s="11">
        <v>11500</v>
      </c>
    </row>
    <row r="105" spans="1:16" ht="24.75" customHeight="1">
      <c r="A105" s="63"/>
      <c r="B105" s="63"/>
      <c r="C105" s="1263" t="s">
        <v>1468</v>
      </c>
      <c r="D105" s="1264"/>
      <c r="E105" s="212"/>
      <c r="F105" s="13"/>
      <c r="G105" s="13"/>
      <c r="H105" s="13"/>
      <c r="I105" s="134"/>
      <c r="J105" s="13"/>
      <c r="K105" s="134"/>
      <c r="L105" s="134"/>
      <c r="M105" s="134"/>
      <c r="N105" s="134"/>
      <c r="O105" s="13"/>
      <c r="P105" s="11">
        <f>SUM(F105:O105)</f>
        <v>0</v>
      </c>
    </row>
    <row r="106" spans="1:16" ht="15" customHeight="1">
      <c r="A106" s="63"/>
      <c r="B106" s="63"/>
      <c r="C106" s="732" t="s">
        <v>1872</v>
      </c>
      <c r="D106" s="733"/>
      <c r="E106" s="205">
        <v>2</v>
      </c>
      <c r="F106" s="13"/>
      <c r="G106" s="13"/>
      <c r="H106" s="13">
        <v>1000</v>
      </c>
      <c r="I106" s="134"/>
      <c r="J106" s="13"/>
      <c r="K106" s="134"/>
      <c r="L106" s="134"/>
      <c r="M106" s="134"/>
      <c r="N106" s="134"/>
      <c r="O106" s="13"/>
      <c r="P106" s="11">
        <f>SUM(F106:O106)</f>
        <v>1000</v>
      </c>
    </row>
    <row r="107" spans="1:16" ht="15" customHeight="1">
      <c r="A107" s="63"/>
      <c r="B107" s="63"/>
      <c r="C107" s="190" t="s">
        <v>1686</v>
      </c>
      <c r="D107" s="65"/>
      <c r="E107" s="65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1:16" ht="15" customHeight="1">
      <c r="A108" s="63"/>
      <c r="B108" s="63"/>
      <c r="C108" s="1214" t="s">
        <v>1560</v>
      </c>
      <c r="D108" s="1215"/>
      <c r="E108" s="140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1:16" ht="15" customHeight="1">
      <c r="A109" s="63"/>
      <c r="B109" s="63"/>
      <c r="C109" s="14" t="s">
        <v>1687</v>
      </c>
      <c r="D109" s="65"/>
      <c r="E109" s="65">
        <v>2</v>
      </c>
      <c r="F109" s="13"/>
      <c r="G109" s="13"/>
      <c r="H109" s="13"/>
      <c r="I109" s="13"/>
      <c r="J109" s="13">
        <v>15000</v>
      </c>
      <c r="K109" s="13"/>
      <c r="L109" s="13"/>
      <c r="M109" s="13"/>
      <c r="N109" s="13"/>
      <c r="O109" s="13"/>
      <c r="P109" s="13">
        <f aca="true" t="shared" si="5" ref="P109:P114">SUM(F109:O109)</f>
        <v>15000</v>
      </c>
    </row>
    <row r="110" spans="1:16" ht="15" customHeight="1">
      <c r="A110" s="63"/>
      <c r="B110" s="63"/>
      <c r="C110" s="14" t="s">
        <v>394</v>
      </c>
      <c r="D110" s="65"/>
      <c r="E110" s="65">
        <v>2</v>
      </c>
      <c r="F110" s="13"/>
      <c r="G110" s="13"/>
      <c r="H110" s="13"/>
      <c r="I110" s="13"/>
      <c r="J110" s="13">
        <v>70000</v>
      </c>
      <c r="K110" s="13"/>
      <c r="L110" s="13"/>
      <c r="M110" s="13"/>
      <c r="N110" s="13"/>
      <c r="O110" s="13"/>
      <c r="P110" s="13">
        <f t="shared" si="5"/>
        <v>70000</v>
      </c>
    </row>
    <row r="111" spans="1:16" ht="15" customHeight="1">
      <c r="A111" s="63"/>
      <c r="B111" s="63"/>
      <c r="C111" s="14" t="s">
        <v>393</v>
      </c>
      <c r="D111" s="65"/>
      <c r="E111" s="65">
        <v>2</v>
      </c>
      <c r="F111" s="13"/>
      <c r="G111" s="13"/>
      <c r="H111" s="13"/>
      <c r="I111" s="13"/>
      <c r="J111" s="13">
        <v>57029</v>
      </c>
      <c r="K111" s="13"/>
      <c r="L111" s="13"/>
      <c r="M111" s="13"/>
      <c r="N111" s="13"/>
      <c r="O111" s="13"/>
      <c r="P111" s="13">
        <f t="shared" si="5"/>
        <v>57029</v>
      </c>
    </row>
    <row r="112" spans="1:16" ht="15" customHeight="1">
      <c r="A112" s="63"/>
      <c r="B112" s="63"/>
      <c r="C112" s="14" t="s">
        <v>1688</v>
      </c>
      <c r="D112" s="65"/>
      <c r="E112" s="65">
        <v>2</v>
      </c>
      <c r="F112" s="13"/>
      <c r="G112" s="13"/>
      <c r="H112" s="13"/>
      <c r="I112" s="13"/>
      <c r="J112" s="13">
        <v>8000</v>
      </c>
      <c r="K112" s="13"/>
      <c r="L112" s="13"/>
      <c r="M112" s="13"/>
      <c r="N112" s="13"/>
      <c r="O112" s="13"/>
      <c r="P112" s="13">
        <f t="shared" si="5"/>
        <v>8000</v>
      </c>
    </row>
    <row r="113" spans="1:16" ht="15" customHeight="1">
      <c r="A113" s="63"/>
      <c r="B113" s="63"/>
      <c r="C113" s="14" t="s">
        <v>395</v>
      </c>
      <c r="D113" s="65"/>
      <c r="E113" s="65">
        <v>2</v>
      </c>
      <c r="F113" s="13"/>
      <c r="G113" s="13"/>
      <c r="H113" s="13"/>
      <c r="I113" s="13"/>
      <c r="J113" s="13">
        <v>4000</v>
      </c>
      <c r="K113" s="13"/>
      <c r="L113" s="13"/>
      <c r="M113" s="13"/>
      <c r="N113" s="13"/>
      <c r="O113" s="13"/>
      <c r="P113" s="13">
        <f t="shared" si="5"/>
        <v>4000</v>
      </c>
    </row>
    <row r="114" spans="1:16" ht="15" customHeight="1">
      <c r="A114" s="63"/>
      <c r="B114" s="63"/>
      <c r="C114" s="1214" t="s">
        <v>1223</v>
      </c>
      <c r="D114" s="1215"/>
      <c r="E114" s="140">
        <v>1</v>
      </c>
      <c r="F114" s="13"/>
      <c r="G114" s="13"/>
      <c r="H114" s="13"/>
      <c r="I114" s="13"/>
      <c r="J114" s="13">
        <v>13000</v>
      </c>
      <c r="K114" s="13"/>
      <c r="L114" s="13"/>
      <c r="M114" s="13"/>
      <c r="N114" s="13"/>
      <c r="O114" s="13"/>
      <c r="P114" s="13">
        <f t="shared" si="5"/>
        <v>13000</v>
      </c>
    </row>
    <row r="115" spans="1:16" ht="15" customHeight="1">
      <c r="A115" s="63"/>
      <c r="B115" s="63"/>
      <c r="C115" s="1214" t="s">
        <v>1561</v>
      </c>
      <c r="D115" s="1215"/>
      <c r="E115" s="140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1:16" ht="15" customHeight="1">
      <c r="A116" s="63"/>
      <c r="B116" s="63"/>
      <c r="C116" s="1261" t="s">
        <v>1689</v>
      </c>
      <c r="D116" s="1262"/>
      <c r="E116" s="140">
        <v>1</v>
      </c>
      <c r="F116" s="16"/>
      <c r="G116" s="16"/>
      <c r="H116" s="16"/>
      <c r="I116" s="16"/>
      <c r="J116" s="16">
        <v>2000</v>
      </c>
      <c r="K116" s="16"/>
      <c r="L116" s="16"/>
      <c r="M116" s="16"/>
      <c r="N116" s="16"/>
      <c r="O116" s="16"/>
      <c r="P116" s="13">
        <f>SUM(F116:O116)</f>
        <v>2000</v>
      </c>
    </row>
    <row r="117" spans="1:16" ht="15" customHeight="1">
      <c r="A117" s="63"/>
      <c r="B117" s="63"/>
      <c r="C117" s="15" t="s">
        <v>1501</v>
      </c>
      <c r="D117" s="79"/>
      <c r="E117" s="79">
        <v>1</v>
      </c>
      <c r="F117" s="16"/>
      <c r="G117" s="16"/>
      <c r="H117" s="16"/>
      <c r="I117" s="16"/>
      <c r="J117" s="16">
        <v>1800</v>
      </c>
      <c r="K117" s="16"/>
      <c r="L117" s="16"/>
      <c r="M117" s="16"/>
      <c r="N117" s="16"/>
      <c r="O117" s="16"/>
      <c r="P117" s="13">
        <f>SUM(F117:O117)</f>
        <v>1800</v>
      </c>
    </row>
    <row r="118" spans="1:16" ht="15" customHeight="1">
      <c r="A118" s="63"/>
      <c r="B118" s="63"/>
      <c r="C118" s="1261" t="s">
        <v>910</v>
      </c>
      <c r="D118" s="1262"/>
      <c r="E118" s="140">
        <v>1</v>
      </c>
      <c r="F118" s="16"/>
      <c r="G118" s="16"/>
      <c r="H118" s="16">
        <v>500</v>
      </c>
      <c r="I118" s="16"/>
      <c r="J118" s="16"/>
      <c r="K118" s="16"/>
      <c r="L118" s="16"/>
      <c r="M118" s="16"/>
      <c r="N118" s="16"/>
      <c r="O118" s="16"/>
      <c r="P118" s="13">
        <f>SUM(F118:O118)</f>
        <v>500</v>
      </c>
    </row>
    <row r="119" spans="1:16" ht="15" customHeight="1">
      <c r="A119" s="63"/>
      <c r="B119" s="63"/>
      <c r="C119" s="15" t="s">
        <v>1529</v>
      </c>
      <c r="D119" s="79"/>
      <c r="E119" s="140">
        <v>1</v>
      </c>
      <c r="F119" s="16"/>
      <c r="G119" s="16"/>
      <c r="H119" s="16"/>
      <c r="I119" s="16"/>
      <c r="J119" s="16">
        <v>4000</v>
      </c>
      <c r="K119" s="16"/>
      <c r="L119" s="16"/>
      <c r="M119" s="16"/>
      <c r="N119" s="16"/>
      <c r="O119" s="16"/>
      <c r="P119" s="13">
        <f>SUM(F119:O119)</f>
        <v>4000</v>
      </c>
    </row>
    <row r="120" spans="1:16" ht="15" customHeight="1">
      <c r="A120" s="63"/>
      <c r="B120" s="63"/>
      <c r="C120" s="766" t="s">
        <v>1562</v>
      </c>
      <c r="D120" s="727"/>
      <c r="E120" s="140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3"/>
    </row>
    <row r="121" spans="1:16" ht="15" customHeight="1">
      <c r="A121" s="63"/>
      <c r="B121" s="63"/>
      <c r="C121" s="15" t="s">
        <v>1502</v>
      </c>
      <c r="D121" s="79"/>
      <c r="E121" s="79">
        <v>1</v>
      </c>
      <c r="F121" s="16"/>
      <c r="G121" s="16"/>
      <c r="H121" s="16"/>
      <c r="I121" s="16"/>
      <c r="J121" s="16">
        <v>12000</v>
      </c>
      <c r="K121" s="16"/>
      <c r="L121" s="16"/>
      <c r="M121" s="16"/>
      <c r="N121" s="16"/>
      <c r="O121" s="16"/>
      <c r="P121" s="13">
        <f>SUM(F121:O121)</f>
        <v>12000</v>
      </c>
    </row>
    <row r="122" spans="1:16" ht="15" customHeight="1">
      <c r="A122" s="63"/>
      <c r="B122" s="63"/>
      <c r="C122" s="15" t="s">
        <v>1504</v>
      </c>
      <c r="D122" s="79"/>
      <c r="E122" s="79">
        <v>1</v>
      </c>
      <c r="F122" s="16"/>
      <c r="G122" s="16"/>
      <c r="H122" s="16"/>
      <c r="I122" s="16"/>
      <c r="J122" s="16">
        <v>3700</v>
      </c>
      <c r="K122" s="16"/>
      <c r="L122" s="16"/>
      <c r="M122" s="16"/>
      <c r="N122" s="16"/>
      <c r="O122" s="16"/>
      <c r="P122" s="13">
        <f aca="true" t="shared" si="6" ref="P122:P138">SUM(F122:O122)</f>
        <v>3700</v>
      </c>
    </row>
    <row r="123" spans="1:16" ht="15" customHeight="1">
      <c r="A123" s="63"/>
      <c r="B123" s="63"/>
      <c r="C123" s="1261" t="s">
        <v>352</v>
      </c>
      <c r="D123" s="1262"/>
      <c r="E123" s="79">
        <v>1</v>
      </c>
      <c r="F123" s="16"/>
      <c r="G123" s="16"/>
      <c r="H123" s="16"/>
      <c r="I123" s="16"/>
      <c r="J123" s="16">
        <v>2000</v>
      </c>
      <c r="K123" s="16"/>
      <c r="L123" s="16"/>
      <c r="M123" s="16"/>
      <c r="N123" s="16"/>
      <c r="O123" s="16"/>
      <c r="P123" s="13">
        <f t="shared" si="6"/>
        <v>2000</v>
      </c>
    </row>
    <row r="124" spans="1:16" ht="15" customHeight="1">
      <c r="A124" s="63"/>
      <c r="B124" s="63"/>
      <c r="C124" s="1261" t="s">
        <v>1084</v>
      </c>
      <c r="D124" s="1262"/>
      <c r="E124" s="79">
        <v>1</v>
      </c>
      <c r="F124" s="16"/>
      <c r="G124" s="16"/>
      <c r="H124" s="16"/>
      <c r="I124" s="16"/>
      <c r="J124" s="16">
        <v>300</v>
      </c>
      <c r="K124" s="16"/>
      <c r="L124" s="16"/>
      <c r="M124" s="16"/>
      <c r="N124" s="16"/>
      <c r="O124" s="16"/>
      <c r="P124" s="13">
        <f t="shared" si="6"/>
        <v>300</v>
      </c>
    </row>
    <row r="125" spans="1:16" ht="15" customHeight="1">
      <c r="A125" s="63"/>
      <c r="B125" s="63"/>
      <c r="C125" s="15" t="s">
        <v>737</v>
      </c>
      <c r="D125" s="79"/>
      <c r="E125" s="79">
        <v>1</v>
      </c>
      <c r="F125" s="16"/>
      <c r="G125" s="16"/>
      <c r="H125" s="16"/>
      <c r="I125" s="16"/>
      <c r="J125" s="16">
        <v>1000</v>
      </c>
      <c r="K125" s="16"/>
      <c r="L125" s="16"/>
      <c r="M125" s="16"/>
      <c r="N125" s="16"/>
      <c r="O125" s="16"/>
      <c r="P125" s="13">
        <f t="shared" si="6"/>
        <v>1000</v>
      </c>
    </row>
    <row r="126" spans="1:16" ht="15" customHeight="1">
      <c r="A126" s="63"/>
      <c r="B126" s="63"/>
      <c r="C126" s="15" t="s">
        <v>735</v>
      </c>
      <c r="D126" s="79"/>
      <c r="E126" s="79">
        <v>1</v>
      </c>
      <c r="F126" s="16"/>
      <c r="G126" s="16"/>
      <c r="H126" s="16"/>
      <c r="I126" s="16"/>
      <c r="J126" s="16">
        <v>1200</v>
      </c>
      <c r="K126" s="16"/>
      <c r="L126" s="16"/>
      <c r="M126" s="16"/>
      <c r="N126" s="16"/>
      <c r="O126" s="16"/>
      <c r="P126" s="13">
        <f t="shared" si="6"/>
        <v>1200</v>
      </c>
    </row>
    <row r="127" spans="1:16" ht="15" customHeight="1">
      <c r="A127" s="63"/>
      <c r="B127" s="63"/>
      <c r="C127" s="15" t="s">
        <v>736</v>
      </c>
      <c r="D127" s="79"/>
      <c r="E127" s="79">
        <v>1</v>
      </c>
      <c r="F127" s="16"/>
      <c r="G127" s="16"/>
      <c r="H127" s="16"/>
      <c r="I127" s="16"/>
      <c r="J127" s="16">
        <v>500</v>
      </c>
      <c r="K127" s="16"/>
      <c r="L127" s="16"/>
      <c r="M127" s="16"/>
      <c r="N127" s="16"/>
      <c r="O127" s="16"/>
      <c r="P127" s="13">
        <f t="shared" si="6"/>
        <v>500</v>
      </c>
    </row>
    <row r="128" spans="1:16" ht="15" customHeight="1">
      <c r="A128" s="63"/>
      <c r="B128" s="63"/>
      <c r="C128" s="15" t="s">
        <v>908</v>
      </c>
      <c r="D128" s="140"/>
      <c r="E128" s="79">
        <v>1</v>
      </c>
      <c r="F128" s="16"/>
      <c r="G128" s="16"/>
      <c r="H128" s="16"/>
      <c r="I128" s="16"/>
      <c r="J128" s="16">
        <v>400</v>
      </c>
      <c r="K128" s="16"/>
      <c r="L128" s="16"/>
      <c r="M128" s="16"/>
      <c r="N128" s="16"/>
      <c r="O128" s="16"/>
      <c r="P128" s="13">
        <f t="shared" si="6"/>
        <v>400</v>
      </c>
    </row>
    <row r="129" spans="1:16" ht="15" customHeight="1">
      <c r="A129" s="63"/>
      <c r="B129" s="63"/>
      <c r="C129" s="15" t="s">
        <v>1530</v>
      </c>
      <c r="D129" s="140"/>
      <c r="E129" s="79">
        <v>1</v>
      </c>
      <c r="F129" s="16"/>
      <c r="G129" s="16"/>
      <c r="H129" s="16"/>
      <c r="I129" s="16"/>
      <c r="J129" s="16">
        <v>300</v>
      </c>
      <c r="K129" s="16"/>
      <c r="L129" s="16"/>
      <c r="M129" s="16"/>
      <c r="N129" s="16"/>
      <c r="O129" s="16"/>
      <c r="P129" s="13">
        <f t="shared" si="6"/>
        <v>300</v>
      </c>
    </row>
    <row r="130" spans="1:16" ht="15" customHeight="1">
      <c r="A130" s="63"/>
      <c r="B130" s="63"/>
      <c r="C130" s="15" t="s">
        <v>911</v>
      </c>
      <c r="D130" s="140"/>
      <c r="E130" s="79">
        <v>1</v>
      </c>
      <c r="F130" s="16"/>
      <c r="G130" s="16"/>
      <c r="H130" s="16">
        <v>1500</v>
      </c>
      <c r="I130" s="16"/>
      <c r="J130" s="16"/>
      <c r="K130" s="16"/>
      <c r="L130" s="16"/>
      <c r="M130" s="16"/>
      <c r="N130" s="16"/>
      <c r="O130" s="16"/>
      <c r="P130" s="13">
        <f t="shared" si="6"/>
        <v>1500</v>
      </c>
    </row>
    <row r="131" spans="1:16" ht="15" customHeight="1">
      <c r="A131" s="63"/>
      <c r="B131" s="63"/>
      <c r="C131" s="15" t="s">
        <v>1804</v>
      </c>
      <c r="D131" s="140"/>
      <c r="E131" s="79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3"/>
    </row>
    <row r="132" spans="1:16" ht="15" customHeight="1">
      <c r="A132" s="63"/>
      <c r="B132" s="63"/>
      <c r="C132" s="1261" t="s">
        <v>733</v>
      </c>
      <c r="D132" s="1262"/>
      <c r="E132" s="140">
        <v>2</v>
      </c>
      <c r="F132" s="16"/>
      <c r="G132" s="16"/>
      <c r="H132" s="16"/>
      <c r="I132" s="16"/>
      <c r="J132" s="16">
        <v>3500</v>
      </c>
      <c r="K132" s="16"/>
      <c r="L132" s="16"/>
      <c r="M132" s="16"/>
      <c r="N132" s="16"/>
      <c r="O132" s="16"/>
      <c r="P132" s="13">
        <f t="shared" si="6"/>
        <v>3500</v>
      </c>
    </row>
    <row r="133" spans="1:16" ht="15" customHeight="1">
      <c r="A133" s="63"/>
      <c r="B133" s="63"/>
      <c r="C133" s="1261" t="s">
        <v>734</v>
      </c>
      <c r="D133" s="1262"/>
      <c r="E133" s="140">
        <v>2</v>
      </c>
      <c r="F133" s="16"/>
      <c r="G133" s="16"/>
      <c r="H133" s="16"/>
      <c r="I133" s="16"/>
      <c r="J133" s="16">
        <v>500</v>
      </c>
      <c r="K133" s="16"/>
      <c r="L133" s="16"/>
      <c r="M133" s="16"/>
      <c r="N133" s="16"/>
      <c r="O133" s="16"/>
      <c r="P133" s="13">
        <f t="shared" si="6"/>
        <v>500</v>
      </c>
    </row>
    <row r="134" spans="1:16" ht="15" customHeight="1">
      <c r="A134" s="63"/>
      <c r="B134" s="63"/>
      <c r="C134" s="1315" t="s">
        <v>282</v>
      </c>
      <c r="D134" s="1316"/>
      <c r="E134" s="219">
        <v>2</v>
      </c>
      <c r="F134" s="16"/>
      <c r="G134" s="16"/>
      <c r="H134" s="16"/>
      <c r="I134" s="16"/>
      <c r="J134" s="13">
        <v>5000</v>
      </c>
      <c r="K134" s="16"/>
      <c r="L134" s="16"/>
      <c r="M134" s="16"/>
      <c r="N134" s="16"/>
      <c r="O134" s="16"/>
      <c r="P134" s="13">
        <f t="shared" si="6"/>
        <v>5000</v>
      </c>
    </row>
    <row r="135" spans="1:16" ht="15" customHeight="1">
      <c r="A135" s="63"/>
      <c r="B135" s="63"/>
      <c r="C135" s="1315" t="s">
        <v>283</v>
      </c>
      <c r="D135" s="1316"/>
      <c r="E135" s="226">
        <v>2</v>
      </c>
      <c r="F135" s="16"/>
      <c r="G135" s="16"/>
      <c r="H135" s="16"/>
      <c r="I135" s="16"/>
      <c r="J135" s="13">
        <v>2000</v>
      </c>
      <c r="K135" s="16"/>
      <c r="L135" s="16"/>
      <c r="M135" s="16"/>
      <c r="N135" s="16"/>
      <c r="O135" s="16"/>
      <c r="P135" s="13">
        <f t="shared" si="6"/>
        <v>2000</v>
      </c>
    </row>
    <row r="136" spans="1:16" ht="15" customHeight="1">
      <c r="A136" s="63"/>
      <c r="B136" s="63"/>
      <c r="C136" s="1315" t="s">
        <v>1532</v>
      </c>
      <c r="D136" s="1316"/>
      <c r="E136" s="226">
        <v>2</v>
      </c>
      <c r="F136" s="16"/>
      <c r="G136" s="16"/>
      <c r="H136" s="16"/>
      <c r="I136" s="16"/>
      <c r="J136" s="13">
        <v>1500</v>
      </c>
      <c r="K136" s="16"/>
      <c r="L136" s="16"/>
      <c r="M136" s="16"/>
      <c r="N136" s="16"/>
      <c r="O136" s="16"/>
      <c r="P136" s="13">
        <f t="shared" si="6"/>
        <v>1500</v>
      </c>
    </row>
    <row r="137" spans="1:16" ht="15" customHeight="1">
      <c r="A137" s="63"/>
      <c r="B137" s="63"/>
      <c r="C137" s="1315" t="s">
        <v>314</v>
      </c>
      <c r="D137" s="1316"/>
      <c r="E137" s="226">
        <v>2</v>
      </c>
      <c r="F137" s="16"/>
      <c r="G137" s="16"/>
      <c r="H137" s="16"/>
      <c r="I137" s="16"/>
      <c r="J137" s="13">
        <v>1000</v>
      </c>
      <c r="K137" s="16"/>
      <c r="L137" s="16"/>
      <c r="M137" s="16"/>
      <c r="N137" s="16"/>
      <c r="O137" s="16"/>
      <c r="P137" s="13">
        <f t="shared" si="6"/>
        <v>1000</v>
      </c>
    </row>
    <row r="138" spans="1:16" ht="15" customHeight="1">
      <c r="A138" s="63"/>
      <c r="B138" s="63"/>
      <c r="C138" s="1315" t="s">
        <v>1531</v>
      </c>
      <c r="D138" s="1316"/>
      <c r="E138" s="226">
        <v>2</v>
      </c>
      <c r="F138" s="16"/>
      <c r="G138" s="16"/>
      <c r="H138" s="16"/>
      <c r="I138" s="16"/>
      <c r="J138" s="16">
        <v>1000</v>
      </c>
      <c r="K138" s="16"/>
      <c r="L138" s="16"/>
      <c r="M138" s="16"/>
      <c r="N138" s="16"/>
      <c r="O138" s="16"/>
      <c r="P138" s="13">
        <f t="shared" si="6"/>
        <v>1000</v>
      </c>
    </row>
    <row r="139" spans="1:16" ht="15" customHeight="1">
      <c r="A139" s="63"/>
      <c r="B139" s="63"/>
      <c r="C139" s="1261" t="s">
        <v>1563</v>
      </c>
      <c r="D139" s="1262"/>
      <c r="E139" s="140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3"/>
    </row>
    <row r="140" spans="1:16" ht="15" customHeight="1">
      <c r="A140" s="63"/>
      <c r="B140" s="63"/>
      <c r="C140" s="15" t="s">
        <v>66</v>
      </c>
      <c r="D140" s="140"/>
      <c r="E140" s="140">
        <v>1</v>
      </c>
      <c r="F140" s="16"/>
      <c r="G140" s="16"/>
      <c r="H140" s="16">
        <v>28724</v>
      </c>
      <c r="I140" s="16"/>
      <c r="J140" s="16"/>
      <c r="K140" s="16"/>
      <c r="L140" s="16"/>
      <c r="M140" s="16"/>
      <c r="N140" s="16"/>
      <c r="O140" s="16"/>
      <c r="P140" s="13">
        <f>SUM(F140:O140)</f>
        <v>28724</v>
      </c>
    </row>
    <row r="141" spans="1:16" ht="15" customHeight="1">
      <c r="A141" s="63"/>
      <c r="B141" s="63"/>
      <c r="C141" s="15" t="s">
        <v>1503</v>
      </c>
      <c r="D141" s="79"/>
      <c r="E141" s="79">
        <v>1</v>
      </c>
      <c r="F141" s="16"/>
      <c r="G141" s="16"/>
      <c r="H141" s="16"/>
      <c r="I141" s="16"/>
      <c r="J141" s="16">
        <v>2250</v>
      </c>
      <c r="K141" s="16"/>
      <c r="L141" s="16"/>
      <c r="M141" s="16"/>
      <c r="N141" s="16"/>
      <c r="O141" s="16"/>
      <c r="P141" s="13">
        <f>SUM(F141:O141)</f>
        <v>2250</v>
      </c>
    </row>
    <row r="142" spans="1:16" ht="12">
      <c r="A142" s="68"/>
      <c r="B142" s="68"/>
      <c r="C142" s="71" t="s">
        <v>251</v>
      </c>
      <c r="D142" s="72"/>
      <c r="E142" s="72"/>
      <c r="F142" s="76">
        <f>SUM(F41:F141)</f>
        <v>1806</v>
      </c>
      <c r="G142" s="76">
        <f aca="true" t="shared" si="7" ref="G142:P142">SUM(G41:G141)</f>
        <v>450</v>
      </c>
      <c r="H142" s="76">
        <f t="shared" si="7"/>
        <v>90207</v>
      </c>
      <c r="I142" s="76">
        <f t="shared" si="7"/>
        <v>18500</v>
      </c>
      <c r="J142" s="76">
        <f t="shared" si="7"/>
        <v>428589</v>
      </c>
      <c r="K142" s="76">
        <f t="shared" si="7"/>
        <v>0</v>
      </c>
      <c r="L142" s="76">
        <f t="shared" si="7"/>
        <v>0</v>
      </c>
      <c r="M142" s="76">
        <f t="shared" si="7"/>
        <v>0</v>
      </c>
      <c r="N142" s="76"/>
      <c r="O142" s="76">
        <f t="shared" si="7"/>
        <v>0</v>
      </c>
      <c r="P142" s="76">
        <f t="shared" si="7"/>
        <v>539552</v>
      </c>
    </row>
    <row r="143" spans="1:16" ht="12">
      <c r="A143" s="77"/>
      <c r="B143" s="77"/>
      <c r="C143" s="14" t="s">
        <v>1685</v>
      </c>
      <c r="D143" s="65"/>
      <c r="E143" s="65"/>
      <c r="F143" s="70"/>
      <c r="G143" s="70"/>
      <c r="H143" s="70"/>
      <c r="I143" s="13"/>
      <c r="J143" s="13"/>
      <c r="K143" s="70">
        <v>355595</v>
      </c>
      <c r="L143" s="70"/>
      <c r="M143" s="13">
        <v>41227</v>
      </c>
      <c r="N143" s="13"/>
      <c r="O143" s="70"/>
      <c r="P143" s="13">
        <f>SUM(F143:O143)</f>
        <v>396822</v>
      </c>
    </row>
    <row r="144" spans="1:16" ht="12">
      <c r="A144" s="77"/>
      <c r="B144" s="77"/>
      <c r="C144" s="14" t="s">
        <v>1874</v>
      </c>
      <c r="D144" s="65"/>
      <c r="E144" s="65"/>
      <c r="F144" s="70"/>
      <c r="G144" s="70"/>
      <c r="H144" s="70"/>
      <c r="I144" s="13"/>
      <c r="J144" s="13"/>
      <c r="K144" s="13"/>
      <c r="L144" s="70">
        <v>207195</v>
      </c>
      <c r="M144" s="13">
        <v>21000</v>
      </c>
      <c r="N144" s="70"/>
      <c r="O144" s="70"/>
      <c r="P144" s="13">
        <f>SUM(F144:O144)</f>
        <v>228195</v>
      </c>
    </row>
    <row r="145" spans="1:16" ht="12.75" customHeight="1">
      <c r="A145" s="68"/>
      <c r="B145" s="68"/>
      <c r="C145" s="71" t="s">
        <v>252</v>
      </c>
      <c r="D145" s="72"/>
      <c r="E145" s="72"/>
      <c r="F145" s="76">
        <f aca="true" t="shared" si="8" ref="F145:K145">SUM(F142:F144)</f>
        <v>1806</v>
      </c>
      <c r="G145" s="76">
        <f t="shared" si="8"/>
        <v>450</v>
      </c>
      <c r="H145" s="76">
        <f t="shared" si="8"/>
        <v>90207</v>
      </c>
      <c r="I145" s="76">
        <f t="shared" si="8"/>
        <v>18500</v>
      </c>
      <c r="J145" s="76">
        <f t="shared" si="8"/>
        <v>428589</v>
      </c>
      <c r="K145" s="76">
        <f t="shared" si="8"/>
        <v>355595</v>
      </c>
      <c r="L145" s="76">
        <f>SUM(L144)</f>
        <v>207195</v>
      </c>
      <c r="M145" s="76">
        <f>SUM(M142:M144)</f>
        <v>62227</v>
      </c>
      <c r="N145" s="76"/>
      <c r="O145" s="76">
        <f>SUM(O142:O144)</f>
        <v>0</v>
      </c>
      <c r="P145" s="76">
        <f>SUM(P142:P144)</f>
        <v>1164569</v>
      </c>
    </row>
    <row r="146" spans="1:16" ht="13.5" customHeight="1">
      <c r="A146" s="78">
        <v>1</v>
      </c>
      <c r="B146" s="78">
        <v>15</v>
      </c>
      <c r="C146" s="19" t="s">
        <v>1891</v>
      </c>
      <c r="D146" s="79"/>
      <c r="E146" s="79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</row>
    <row r="147" spans="1:16" ht="13.5" customHeight="1">
      <c r="A147" s="78"/>
      <c r="B147" s="78"/>
      <c r="C147" s="80" t="s">
        <v>1564</v>
      </c>
      <c r="D147" s="79" t="s">
        <v>912</v>
      </c>
      <c r="E147" s="79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</row>
    <row r="148" spans="1:16" ht="13.5" customHeight="1">
      <c r="A148" s="78"/>
      <c r="B148" s="78"/>
      <c r="C148" s="15" t="s">
        <v>1892</v>
      </c>
      <c r="D148" s="79"/>
      <c r="E148" s="79">
        <v>1</v>
      </c>
      <c r="F148" s="16"/>
      <c r="G148" s="16"/>
      <c r="H148" s="16">
        <v>25000</v>
      </c>
      <c r="I148" s="16"/>
      <c r="J148" s="16"/>
      <c r="K148" s="16"/>
      <c r="L148" s="16"/>
      <c r="M148" s="16"/>
      <c r="N148" s="16"/>
      <c r="O148" s="16"/>
      <c r="P148" s="16">
        <f aca="true" t="shared" si="9" ref="P148:P167">SUM(F148:O148)</f>
        <v>25000</v>
      </c>
    </row>
    <row r="149" spans="1:16" ht="13.5" customHeight="1">
      <c r="A149" s="78"/>
      <c r="B149" s="78"/>
      <c r="C149" s="15" t="s">
        <v>1893</v>
      </c>
      <c r="D149" s="79"/>
      <c r="E149" s="79">
        <v>1</v>
      </c>
      <c r="F149" s="16"/>
      <c r="G149" s="16"/>
      <c r="H149" s="16">
        <v>120000</v>
      </c>
      <c r="I149" s="16"/>
      <c r="J149" s="16"/>
      <c r="K149" s="16"/>
      <c r="L149" s="16"/>
      <c r="M149" s="16"/>
      <c r="N149" s="16"/>
      <c r="O149" s="16"/>
      <c r="P149" s="16">
        <f t="shared" si="9"/>
        <v>120000</v>
      </c>
    </row>
    <row r="150" spans="1:16" ht="13.5" customHeight="1">
      <c r="A150" s="78"/>
      <c r="B150" s="78"/>
      <c r="C150" s="80" t="s">
        <v>995</v>
      </c>
      <c r="D150" s="79"/>
      <c r="E150" s="79">
        <v>1</v>
      </c>
      <c r="F150" s="16"/>
      <c r="G150" s="16"/>
      <c r="H150" s="16">
        <v>10000</v>
      </c>
      <c r="I150" s="16"/>
      <c r="J150" s="16"/>
      <c r="K150" s="16"/>
      <c r="L150" s="16"/>
      <c r="M150" s="16"/>
      <c r="N150" s="16"/>
      <c r="O150" s="16"/>
      <c r="P150" s="16">
        <f t="shared" si="9"/>
        <v>10000</v>
      </c>
    </row>
    <row r="151" spans="1:16" ht="13.5" customHeight="1">
      <c r="A151" s="78"/>
      <c r="B151" s="78"/>
      <c r="C151" s="80" t="s">
        <v>414</v>
      </c>
      <c r="D151" s="79"/>
      <c r="E151" s="79">
        <v>1</v>
      </c>
      <c r="F151" s="16"/>
      <c r="G151" s="16"/>
      <c r="H151" s="16">
        <v>700</v>
      </c>
      <c r="I151" s="16"/>
      <c r="J151" s="16"/>
      <c r="K151" s="16"/>
      <c r="L151" s="16"/>
      <c r="M151" s="16"/>
      <c r="N151" s="16"/>
      <c r="O151" s="16"/>
      <c r="P151" s="16">
        <f t="shared" si="9"/>
        <v>700</v>
      </c>
    </row>
    <row r="152" spans="1:16" ht="13.5" customHeight="1">
      <c r="A152" s="78"/>
      <c r="B152" s="78"/>
      <c r="C152" s="80" t="s">
        <v>1894</v>
      </c>
      <c r="D152" s="79"/>
      <c r="E152" s="79">
        <v>2</v>
      </c>
      <c r="F152" s="16"/>
      <c r="G152" s="16"/>
      <c r="H152" s="16">
        <v>2000</v>
      </c>
      <c r="I152" s="16"/>
      <c r="J152" s="16"/>
      <c r="K152" s="16"/>
      <c r="L152" s="16"/>
      <c r="M152" s="16"/>
      <c r="N152" s="16"/>
      <c r="O152" s="16"/>
      <c r="P152" s="16">
        <f t="shared" si="9"/>
        <v>2000</v>
      </c>
    </row>
    <row r="153" spans="1:16" ht="13.5" customHeight="1">
      <c r="A153" s="78"/>
      <c r="B153" s="78"/>
      <c r="C153" s="80" t="s">
        <v>1895</v>
      </c>
      <c r="D153" s="79"/>
      <c r="E153" s="79">
        <v>2</v>
      </c>
      <c r="F153" s="16"/>
      <c r="G153" s="16"/>
      <c r="H153" s="16">
        <v>1000</v>
      </c>
      <c r="I153" s="16"/>
      <c r="J153" s="16"/>
      <c r="K153" s="16"/>
      <c r="L153" s="16"/>
      <c r="M153" s="16"/>
      <c r="N153" s="16"/>
      <c r="O153" s="16"/>
      <c r="P153" s="16">
        <f t="shared" si="9"/>
        <v>1000</v>
      </c>
    </row>
    <row r="154" spans="1:16" ht="13.5" customHeight="1">
      <c r="A154" s="78"/>
      <c r="B154" s="78"/>
      <c r="C154" s="80" t="s">
        <v>1896</v>
      </c>
      <c r="D154" s="79"/>
      <c r="E154" s="79">
        <v>2</v>
      </c>
      <c r="F154" s="16"/>
      <c r="G154" s="16"/>
      <c r="H154" s="16">
        <v>1126</v>
      </c>
      <c r="I154" s="16"/>
      <c r="J154" s="16"/>
      <c r="K154" s="16"/>
      <c r="L154" s="16"/>
      <c r="M154" s="16"/>
      <c r="N154" s="16"/>
      <c r="O154" s="16"/>
      <c r="P154" s="16">
        <f t="shared" si="9"/>
        <v>1126</v>
      </c>
    </row>
    <row r="155" spans="1:16" ht="13.5" customHeight="1">
      <c r="A155" s="78"/>
      <c r="B155" s="78"/>
      <c r="C155" s="80" t="s">
        <v>996</v>
      </c>
      <c r="D155" s="79"/>
      <c r="E155" s="79">
        <v>1</v>
      </c>
      <c r="F155" s="16"/>
      <c r="G155" s="16"/>
      <c r="H155" s="16">
        <v>2500</v>
      </c>
      <c r="I155" s="16"/>
      <c r="J155" s="16"/>
      <c r="K155" s="16"/>
      <c r="L155" s="16"/>
      <c r="M155" s="16"/>
      <c r="N155" s="16"/>
      <c r="O155" s="16"/>
      <c r="P155" s="16">
        <f t="shared" si="9"/>
        <v>2500</v>
      </c>
    </row>
    <row r="156" spans="1:16" ht="13.5" customHeight="1">
      <c r="A156" s="78"/>
      <c r="B156" s="78"/>
      <c r="C156" s="80" t="s">
        <v>1897</v>
      </c>
      <c r="D156" s="79"/>
      <c r="E156" s="79">
        <v>1</v>
      </c>
      <c r="F156" s="16"/>
      <c r="G156" s="16"/>
      <c r="H156" s="16">
        <v>1500</v>
      </c>
      <c r="I156" s="16"/>
      <c r="J156" s="16"/>
      <c r="K156" s="16"/>
      <c r="L156" s="16"/>
      <c r="M156" s="16"/>
      <c r="N156" s="16"/>
      <c r="O156" s="16"/>
      <c r="P156" s="16">
        <f t="shared" si="9"/>
        <v>1500</v>
      </c>
    </row>
    <row r="157" spans="1:16" ht="13.5" customHeight="1">
      <c r="A157" s="78"/>
      <c r="B157" s="78"/>
      <c r="C157" s="80" t="s">
        <v>0</v>
      </c>
      <c r="D157" s="79"/>
      <c r="E157" s="79">
        <v>2</v>
      </c>
      <c r="F157" s="16"/>
      <c r="G157" s="16"/>
      <c r="H157" s="16">
        <v>3675</v>
      </c>
      <c r="I157" s="16"/>
      <c r="J157" s="16"/>
      <c r="K157" s="16"/>
      <c r="L157" s="16"/>
      <c r="M157" s="16"/>
      <c r="N157" s="16"/>
      <c r="O157" s="16"/>
      <c r="P157" s="16">
        <f t="shared" si="9"/>
        <v>3675</v>
      </c>
    </row>
    <row r="158" spans="1:16" ht="13.5" customHeight="1">
      <c r="A158" s="78"/>
      <c r="B158" s="78"/>
      <c r="C158" s="766" t="s">
        <v>1</v>
      </c>
      <c r="D158" s="727"/>
      <c r="E158" s="205">
        <v>2</v>
      </c>
      <c r="F158" s="16"/>
      <c r="G158" s="16"/>
      <c r="H158" s="16">
        <v>1500</v>
      </c>
      <c r="I158" s="16"/>
      <c r="J158" s="16"/>
      <c r="K158" s="16"/>
      <c r="L158" s="16"/>
      <c r="M158" s="16"/>
      <c r="N158" s="16"/>
      <c r="O158" s="16"/>
      <c r="P158" s="16">
        <f t="shared" si="9"/>
        <v>1500</v>
      </c>
    </row>
    <row r="159" spans="1:16" ht="13.5" customHeight="1">
      <c r="A159" s="78"/>
      <c r="B159" s="78"/>
      <c r="C159" s="766" t="s">
        <v>4</v>
      </c>
      <c r="D159" s="727"/>
      <c r="E159" s="205">
        <v>2</v>
      </c>
      <c r="F159" s="16"/>
      <c r="G159" s="16"/>
      <c r="H159" s="16">
        <v>1000</v>
      </c>
      <c r="I159" s="16"/>
      <c r="J159" s="16"/>
      <c r="K159" s="16"/>
      <c r="L159" s="16"/>
      <c r="M159" s="16"/>
      <c r="N159" s="16"/>
      <c r="O159" s="16"/>
      <c r="P159" s="16">
        <f t="shared" si="9"/>
        <v>1000</v>
      </c>
    </row>
    <row r="160" spans="1:16" ht="13.5" customHeight="1">
      <c r="A160" s="78"/>
      <c r="B160" s="78"/>
      <c r="C160" s="80" t="s">
        <v>500</v>
      </c>
      <c r="D160" s="322"/>
      <c r="E160" s="205">
        <v>1</v>
      </c>
      <c r="F160" s="16"/>
      <c r="G160" s="16"/>
      <c r="H160" s="16">
        <v>10600</v>
      </c>
      <c r="I160" s="16"/>
      <c r="J160" s="16"/>
      <c r="K160" s="16"/>
      <c r="L160" s="16"/>
      <c r="M160" s="16"/>
      <c r="N160" s="16"/>
      <c r="O160" s="16"/>
      <c r="P160" s="16">
        <f t="shared" si="9"/>
        <v>10600</v>
      </c>
    </row>
    <row r="161" spans="1:16" ht="13.5" customHeight="1">
      <c r="A161" s="78"/>
      <c r="B161" s="78"/>
      <c r="C161" s="1261" t="s">
        <v>1469</v>
      </c>
      <c r="D161" s="1262"/>
      <c r="E161" s="140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>
        <f t="shared" si="9"/>
        <v>0</v>
      </c>
    </row>
    <row r="162" spans="1:16" ht="13.5" customHeight="1">
      <c r="A162" s="78"/>
      <c r="B162" s="78"/>
      <c r="C162" s="15" t="s">
        <v>1898</v>
      </c>
      <c r="D162" s="79"/>
      <c r="E162" s="79">
        <v>1</v>
      </c>
      <c r="F162" s="16"/>
      <c r="G162" s="85"/>
      <c r="H162" s="16">
        <v>90000</v>
      </c>
      <c r="I162" s="16"/>
      <c r="J162" s="16"/>
      <c r="K162" s="16"/>
      <c r="L162" s="16"/>
      <c r="M162" s="16"/>
      <c r="N162" s="16"/>
      <c r="O162" s="16"/>
      <c r="P162" s="16">
        <f t="shared" si="9"/>
        <v>90000</v>
      </c>
    </row>
    <row r="163" spans="1:16" ht="13.5" customHeight="1">
      <c r="A163" s="78"/>
      <c r="B163" s="78"/>
      <c r="C163" s="1261" t="s">
        <v>338</v>
      </c>
      <c r="D163" s="1262"/>
      <c r="E163" s="140">
        <v>1</v>
      </c>
      <c r="F163" s="16"/>
      <c r="G163" s="85"/>
      <c r="H163" s="16">
        <v>32000</v>
      </c>
      <c r="I163" s="16"/>
      <c r="J163" s="16"/>
      <c r="K163" s="16"/>
      <c r="L163" s="16"/>
      <c r="M163" s="16"/>
      <c r="N163" s="16"/>
      <c r="O163" s="16"/>
      <c r="P163" s="16">
        <f t="shared" si="9"/>
        <v>32000</v>
      </c>
    </row>
    <row r="164" spans="1:16" ht="13.5" customHeight="1">
      <c r="A164" s="78"/>
      <c r="B164" s="78"/>
      <c r="C164" s="15" t="s">
        <v>482</v>
      </c>
      <c r="D164" s="79"/>
      <c r="E164" s="140"/>
      <c r="F164" s="16"/>
      <c r="G164" s="85"/>
      <c r="H164" s="16">
        <v>1800</v>
      </c>
      <c r="I164" s="16"/>
      <c r="J164" s="16"/>
      <c r="K164" s="16"/>
      <c r="L164" s="16"/>
      <c r="M164" s="16"/>
      <c r="N164" s="16"/>
      <c r="O164" s="16"/>
      <c r="P164" s="16">
        <f t="shared" si="9"/>
        <v>1800</v>
      </c>
    </row>
    <row r="165" spans="1:16" ht="13.5" customHeight="1">
      <c r="A165" s="78"/>
      <c r="B165" s="78"/>
      <c r="C165" s="15" t="s">
        <v>483</v>
      </c>
      <c r="D165" s="79"/>
      <c r="E165" s="140"/>
      <c r="F165" s="16"/>
      <c r="G165" s="85"/>
      <c r="H165" s="16">
        <v>1000</v>
      </c>
      <c r="I165" s="16"/>
      <c r="J165" s="16"/>
      <c r="K165" s="16"/>
      <c r="L165" s="16"/>
      <c r="M165" s="16"/>
      <c r="N165" s="16"/>
      <c r="O165" s="16"/>
      <c r="P165" s="16">
        <f t="shared" si="9"/>
        <v>1000</v>
      </c>
    </row>
    <row r="166" spans="1:16" ht="13.5" customHeight="1">
      <c r="A166" s="78"/>
      <c r="B166" s="78"/>
      <c r="C166" s="1261" t="s">
        <v>933</v>
      </c>
      <c r="D166" s="1262"/>
      <c r="E166" s="140">
        <v>1</v>
      </c>
      <c r="F166" s="16"/>
      <c r="G166" s="85"/>
      <c r="H166" s="16">
        <v>2000</v>
      </c>
      <c r="I166" s="16"/>
      <c r="J166" s="16"/>
      <c r="K166" s="16"/>
      <c r="L166" s="16"/>
      <c r="M166" s="16"/>
      <c r="N166" s="16"/>
      <c r="O166" s="16"/>
      <c r="P166" s="16">
        <f t="shared" si="9"/>
        <v>2000</v>
      </c>
    </row>
    <row r="167" spans="1:16" ht="13.5" customHeight="1">
      <c r="A167" s="78"/>
      <c r="B167" s="78"/>
      <c r="C167" s="15" t="s">
        <v>726</v>
      </c>
      <c r="D167" s="140"/>
      <c r="E167" s="140">
        <v>2</v>
      </c>
      <c r="F167" s="16"/>
      <c r="G167" s="85"/>
      <c r="H167" s="16">
        <v>5000</v>
      </c>
      <c r="I167" s="16"/>
      <c r="J167" s="16"/>
      <c r="K167" s="16"/>
      <c r="L167" s="16"/>
      <c r="M167" s="16"/>
      <c r="N167" s="16"/>
      <c r="O167" s="16"/>
      <c r="P167" s="16">
        <f t="shared" si="9"/>
        <v>5000</v>
      </c>
    </row>
    <row r="168" spans="1:16" ht="13.5" customHeight="1">
      <c r="A168" s="78"/>
      <c r="B168" s="78"/>
      <c r="C168" s="766" t="s">
        <v>1423</v>
      </c>
      <c r="D168" s="727"/>
      <c r="E168" s="140"/>
      <c r="F168" s="16"/>
      <c r="G168" s="85"/>
      <c r="H168" s="16"/>
      <c r="I168" s="16"/>
      <c r="J168" s="16"/>
      <c r="K168" s="16"/>
      <c r="L168" s="16"/>
      <c r="M168" s="16"/>
      <c r="N168" s="16"/>
      <c r="O168" s="16"/>
      <c r="P168" s="16"/>
    </row>
    <row r="169" spans="1:16" ht="13.5" customHeight="1">
      <c r="A169" s="16"/>
      <c r="B169" s="16"/>
      <c r="C169" s="16" t="s">
        <v>339</v>
      </c>
      <c r="D169" s="16"/>
      <c r="E169" s="16">
        <v>1</v>
      </c>
      <c r="F169" s="16"/>
      <c r="G169" s="85"/>
      <c r="H169" s="16">
        <v>2000</v>
      </c>
      <c r="I169" s="16"/>
      <c r="J169" s="16"/>
      <c r="K169" s="16"/>
      <c r="L169" s="16"/>
      <c r="M169" s="16"/>
      <c r="N169" s="16"/>
      <c r="O169" s="16"/>
      <c r="P169" s="16">
        <f>SUM(F169:O169)</f>
        <v>2000</v>
      </c>
    </row>
    <row r="170" spans="1:16" ht="13.5" customHeight="1">
      <c r="A170" s="78"/>
      <c r="B170" s="78"/>
      <c r="C170" s="15" t="s">
        <v>340</v>
      </c>
      <c r="D170" s="79"/>
      <c r="E170" s="79">
        <v>1</v>
      </c>
      <c r="F170" s="16"/>
      <c r="G170" s="85"/>
      <c r="H170" s="16">
        <v>4000</v>
      </c>
      <c r="I170" s="16"/>
      <c r="J170" s="16"/>
      <c r="K170" s="16"/>
      <c r="L170" s="16"/>
      <c r="M170" s="16"/>
      <c r="N170" s="16"/>
      <c r="O170" s="16"/>
      <c r="P170" s="16">
        <f>SUM(F170:O170)</f>
        <v>4000</v>
      </c>
    </row>
    <row r="171" spans="1:16" ht="13.5" customHeight="1">
      <c r="A171" s="78"/>
      <c r="B171" s="78"/>
      <c r="C171" s="1261" t="s">
        <v>5</v>
      </c>
      <c r="D171" s="1262"/>
      <c r="E171" s="205">
        <v>1</v>
      </c>
      <c r="F171" s="16"/>
      <c r="G171" s="85"/>
      <c r="H171" s="16">
        <v>4000</v>
      </c>
      <c r="I171" s="16"/>
      <c r="J171" s="16"/>
      <c r="K171" s="16"/>
      <c r="L171" s="16"/>
      <c r="M171" s="16"/>
      <c r="N171" s="16"/>
      <c r="O171" s="16"/>
      <c r="P171" s="16">
        <f>SUM(F171:O171)</f>
        <v>4000</v>
      </c>
    </row>
    <row r="172" spans="1:16" ht="13.5" customHeight="1">
      <c r="A172" s="78"/>
      <c r="B172" s="78"/>
      <c r="C172" s="1261" t="s">
        <v>1424</v>
      </c>
      <c r="D172" s="1262"/>
      <c r="E172" s="140"/>
      <c r="F172" s="16"/>
      <c r="G172" s="85"/>
      <c r="H172" s="16"/>
      <c r="I172" s="16"/>
      <c r="J172" s="16"/>
      <c r="K172" s="16"/>
      <c r="L172" s="16"/>
      <c r="M172" s="16"/>
      <c r="N172" s="16"/>
      <c r="O172" s="16"/>
      <c r="P172" s="16"/>
    </row>
    <row r="173" spans="1:16" ht="13.5" customHeight="1">
      <c r="A173" s="78"/>
      <c r="B173" s="78"/>
      <c r="C173" s="80" t="s">
        <v>755</v>
      </c>
      <c r="D173" s="140"/>
      <c r="E173" s="140">
        <v>1</v>
      </c>
      <c r="F173" s="16"/>
      <c r="G173" s="85"/>
      <c r="H173" s="16">
        <v>15000</v>
      </c>
      <c r="I173" s="16"/>
      <c r="J173" s="16"/>
      <c r="K173" s="16"/>
      <c r="L173" s="16"/>
      <c r="M173" s="16"/>
      <c r="N173" s="16"/>
      <c r="O173" s="16"/>
      <c r="P173" s="16">
        <f aca="true" t="shared" si="10" ref="P173:P195">SUM(F173:O173)</f>
        <v>15000</v>
      </c>
    </row>
    <row r="174" spans="1:16" ht="25.5" customHeight="1">
      <c r="A174" s="78"/>
      <c r="B174" s="78"/>
      <c r="C174" s="1249" t="s">
        <v>727</v>
      </c>
      <c r="D174" s="1250"/>
      <c r="E174" s="140">
        <v>1</v>
      </c>
      <c r="F174" s="16"/>
      <c r="G174" s="85"/>
      <c r="H174" s="16">
        <v>35000</v>
      </c>
      <c r="I174" s="16"/>
      <c r="J174" s="16"/>
      <c r="K174" s="16"/>
      <c r="L174" s="16"/>
      <c r="M174" s="16"/>
      <c r="N174" s="16"/>
      <c r="O174" s="16"/>
      <c r="P174" s="16">
        <f t="shared" si="10"/>
        <v>35000</v>
      </c>
    </row>
    <row r="175" spans="1:16" ht="25.5" customHeight="1">
      <c r="A175" s="78"/>
      <c r="B175" s="78"/>
      <c r="C175" s="1249" t="s">
        <v>381</v>
      </c>
      <c r="D175" s="1250"/>
      <c r="E175" s="140">
        <v>1</v>
      </c>
      <c r="F175" s="16"/>
      <c r="G175" s="85"/>
      <c r="H175" s="16">
        <v>22000</v>
      </c>
      <c r="I175" s="16"/>
      <c r="J175" s="16"/>
      <c r="K175" s="16"/>
      <c r="L175" s="16"/>
      <c r="M175" s="16"/>
      <c r="N175" s="16"/>
      <c r="O175" s="16"/>
      <c r="P175" s="16">
        <f t="shared" si="10"/>
        <v>22000</v>
      </c>
    </row>
    <row r="176" spans="1:16" ht="24" customHeight="1">
      <c r="A176" s="78"/>
      <c r="B176" s="78"/>
      <c r="C176" s="1249" t="s">
        <v>273</v>
      </c>
      <c r="D176" s="1250"/>
      <c r="E176" s="140">
        <v>1</v>
      </c>
      <c r="F176" s="16"/>
      <c r="G176" s="85"/>
      <c r="H176" s="16">
        <v>2000</v>
      </c>
      <c r="I176" s="16"/>
      <c r="J176" s="16"/>
      <c r="K176" s="16"/>
      <c r="L176" s="16"/>
      <c r="M176" s="16"/>
      <c r="N176" s="16"/>
      <c r="O176" s="16"/>
      <c r="P176" s="16">
        <f t="shared" si="10"/>
        <v>2000</v>
      </c>
    </row>
    <row r="177" spans="1:16" ht="24" customHeight="1">
      <c r="A177" s="78"/>
      <c r="B177" s="78"/>
      <c r="C177" s="1249" t="s">
        <v>728</v>
      </c>
      <c r="D177" s="1250"/>
      <c r="E177" s="210">
        <v>1</v>
      </c>
      <c r="F177" s="16"/>
      <c r="G177" s="85"/>
      <c r="H177" s="16">
        <v>1800</v>
      </c>
      <c r="I177" s="16"/>
      <c r="J177" s="16"/>
      <c r="K177" s="16"/>
      <c r="L177" s="16"/>
      <c r="M177" s="16"/>
      <c r="N177" s="16"/>
      <c r="O177" s="16"/>
      <c r="P177" s="16">
        <f t="shared" si="10"/>
        <v>1800</v>
      </c>
    </row>
    <row r="178" spans="1:16" ht="12" customHeight="1">
      <c r="A178" s="78"/>
      <c r="B178" s="78"/>
      <c r="C178" s="1261" t="s">
        <v>341</v>
      </c>
      <c r="D178" s="1262"/>
      <c r="E178" s="140">
        <v>1</v>
      </c>
      <c r="F178" s="16"/>
      <c r="G178" s="85"/>
      <c r="H178" s="16">
        <v>2000</v>
      </c>
      <c r="I178" s="16"/>
      <c r="J178" s="16"/>
      <c r="K178" s="16"/>
      <c r="L178" s="16"/>
      <c r="M178" s="16"/>
      <c r="N178" s="16"/>
      <c r="O178" s="16"/>
      <c r="P178" s="16">
        <f t="shared" si="10"/>
        <v>2000</v>
      </c>
    </row>
    <row r="179" spans="1:16" ht="12" customHeight="1">
      <c r="A179" s="78"/>
      <c r="B179" s="78"/>
      <c r="C179" s="15" t="s">
        <v>8</v>
      </c>
      <c r="D179" s="140"/>
      <c r="E179" s="140">
        <v>1</v>
      </c>
      <c r="F179" s="16"/>
      <c r="G179" s="85"/>
      <c r="H179" s="16">
        <v>1000</v>
      </c>
      <c r="I179" s="16"/>
      <c r="J179" s="16"/>
      <c r="K179" s="16"/>
      <c r="L179" s="16"/>
      <c r="M179" s="16"/>
      <c r="N179" s="16"/>
      <c r="O179" s="16"/>
      <c r="P179" s="16">
        <f t="shared" si="10"/>
        <v>1000</v>
      </c>
    </row>
    <row r="180" spans="1:16" ht="24" customHeight="1">
      <c r="A180" s="78"/>
      <c r="B180" s="78"/>
      <c r="C180" s="1249" t="s">
        <v>892</v>
      </c>
      <c r="D180" s="1250"/>
      <c r="E180" s="210">
        <v>2</v>
      </c>
      <c r="F180" s="16"/>
      <c r="G180" s="85"/>
      <c r="H180" s="16">
        <v>1000</v>
      </c>
      <c r="I180" s="16"/>
      <c r="J180" s="16"/>
      <c r="K180" s="16"/>
      <c r="L180" s="16"/>
      <c r="M180" s="16"/>
      <c r="N180" s="16"/>
      <c r="O180" s="16"/>
      <c r="P180" s="16">
        <f t="shared" si="10"/>
        <v>1000</v>
      </c>
    </row>
    <row r="181" spans="1:16" ht="24.75" customHeight="1">
      <c r="A181" s="78"/>
      <c r="B181" s="78"/>
      <c r="C181" s="1249" t="s">
        <v>1425</v>
      </c>
      <c r="D181" s="1250"/>
      <c r="E181" s="210"/>
      <c r="F181" s="16"/>
      <c r="G181" s="85"/>
      <c r="H181" s="16"/>
      <c r="I181" s="16"/>
      <c r="J181" s="16"/>
      <c r="K181" s="16"/>
      <c r="L181" s="16"/>
      <c r="M181" s="16"/>
      <c r="N181" s="16"/>
      <c r="O181" s="16"/>
      <c r="P181" s="16">
        <f t="shared" si="10"/>
        <v>0</v>
      </c>
    </row>
    <row r="182" spans="1:16" ht="13.5" customHeight="1">
      <c r="A182" s="78"/>
      <c r="B182" s="78"/>
      <c r="C182" s="15" t="s">
        <v>347</v>
      </c>
      <c r="D182" s="79"/>
      <c r="E182" s="79">
        <v>1</v>
      </c>
      <c r="F182" s="16"/>
      <c r="G182" s="85"/>
      <c r="H182" s="16">
        <v>1500</v>
      </c>
      <c r="I182" s="16"/>
      <c r="J182" s="16"/>
      <c r="K182" s="16"/>
      <c r="L182" s="16"/>
      <c r="M182" s="16"/>
      <c r="N182" s="16"/>
      <c r="O182" s="16"/>
      <c r="P182" s="16">
        <f t="shared" si="10"/>
        <v>1500</v>
      </c>
    </row>
    <row r="183" spans="1:16" ht="13.5" customHeight="1">
      <c r="A183" s="78"/>
      <c r="B183" s="78"/>
      <c r="C183" s="766" t="s">
        <v>1426</v>
      </c>
      <c r="D183" s="727"/>
      <c r="E183" s="140"/>
      <c r="F183" s="16"/>
      <c r="G183" s="85"/>
      <c r="H183" s="16"/>
      <c r="I183" s="16"/>
      <c r="J183" s="16"/>
      <c r="K183" s="16"/>
      <c r="L183" s="16"/>
      <c r="M183" s="16"/>
      <c r="N183" s="16"/>
      <c r="O183" s="16"/>
      <c r="P183" s="16">
        <f t="shared" si="10"/>
        <v>0</v>
      </c>
    </row>
    <row r="184" spans="1:16" ht="13.5" customHeight="1">
      <c r="A184" s="78"/>
      <c r="B184" s="78"/>
      <c r="C184" s="15" t="s">
        <v>348</v>
      </c>
      <c r="D184" s="79"/>
      <c r="E184" s="79">
        <v>1</v>
      </c>
      <c r="F184" s="16"/>
      <c r="G184" s="85"/>
      <c r="H184" s="16">
        <v>12000</v>
      </c>
      <c r="I184" s="16"/>
      <c r="J184" s="16"/>
      <c r="K184" s="16"/>
      <c r="L184" s="16"/>
      <c r="M184" s="16"/>
      <c r="N184" s="16"/>
      <c r="O184" s="16"/>
      <c r="P184" s="16">
        <f t="shared" si="10"/>
        <v>12000</v>
      </c>
    </row>
    <row r="185" spans="1:16" ht="13.5" customHeight="1">
      <c r="A185" s="78"/>
      <c r="B185" s="78"/>
      <c r="C185" s="14" t="s">
        <v>349</v>
      </c>
      <c r="D185" s="65"/>
      <c r="E185" s="65">
        <v>1</v>
      </c>
      <c r="F185" s="16"/>
      <c r="G185" s="85"/>
      <c r="H185" s="16"/>
      <c r="I185" s="16"/>
      <c r="J185" s="16">
        <v>18000</v>
      </c>
      <c r="K185" s="16"/>
      <c r="L185" s="16"/>
      <c r="M185" s="16"/>
      <c r="N185" s="16"/>
      <c r="O185" s="16"/>
      <c r="P185" s="16">
        <f t="shared" si="10"/>
        <v>18000</v>
      </c>
    </row>
    <row r="186" spans="1:16" ht="13.5" customHeight="1">
      <c r="A186" s="78"/>
      <c r="B186" s="78"/>
      <c r="C186" s="15" t="s">
        <v>351</v>
      </c>
      <c r="D186" s="79"/>
      <c r="E186" s="79">
        <v>1</v>
      </c>
      <c r="F186" s="16"/>
      <c r="G186" s="85"/>
      <c r="H186" s="16">
        <v>9500</v>
      </c>
      <c r="I186" s="16"/>
      <c r="J186" s="16"/>
      <c r="K186" s="16"/>
      <c r="L186" s="16"/>
      <c r="M186" s="16"/>
      <c r="N186" s="16"/>
      <c r="O186" s="16"/>
      <c r="P186" s="16">
        <f t="shared" si="10"/>
        <v>9500</v>
      </c>
    </row>
    <row r="187" spans="1:16" ht="13.5" customHeight="1">
      <c r="A187" s="78"/>
      <c r="B187" s="78"/>
      <c r="C187" s="15" t="s">
        <v>278</v>
      </c>
      <c r="D187" s="79"/>
      <c r="E187" s="79">
        <v>2</v>
      </c>
      <c r="F187" s="16"/>
      <c r="G187" s="85"/>
      <c r="H187" s="16">
        <v>2000</v>
      </c>
      <c r="I187" s="16"/>
      <c r="J187" s="16"/>
      <c r="K187" s="16"/>
      <c r="L187" s="16"/>
      <c r="M187" s="16"/>
      <c r="N187" s="16"/>
      <c r="O187" s="16"/>
      <c r="P187" s="16">
        <f t="shared" si="10"/>
        <v>2000</v>
      </c>
    </row>
    <row r="188" spans="1:16" ht="13.5" customHeight="1">
      <c r="A188" s="78" t="s">
        <v>894</v>
      </c>
      <c r="B188" s="78"/>
      <c r="C188" s="15" t="s">
        <v>1239</v>
      </c>
      <c r="D188" s="140"/>
      <c r="E188" s="140">
        <v>2</v>
      </c>
      <c r="F188" s="16"/>
      <c r="G188" s="85"/>
      <c r="H188" s="16">
        <v>15000</v>
      </c>
      <c r="I188" s="16"/>
      <c r="J188" s="16"/>
      <c r="K188" s="16"/>
      <c r="L188" s="16"/>
      <c r="M188" s="16"/>
      <c r="N188" s="16"/>
      <c r="O188" s="16"/>
      <c r="P188" s="16">
        <f t="shared" si="10"/>
        <v>15000</v>
      </c>
    </row>
    <row r="189" spans="1:16" ht="13.5" customHeight="1">
      <c r="A189" s="78"/>
      <c r="B189" s="78"/>
      <c r="C189" s="766" t="s">
        <v>2</v>
      </c>
      <c r="D189" s="727"/>
      <c r="E189" s="205">
        <v>2</v>
      </c>
      <c r="F189" s="16"/>
      <c r="G189" s="16"/>
      <c r="H189" s="16">
        <v>1000</v>
      </c>
      <c r="I189" s="16"/>
      <c r="J189" s="16"/>
      <c r="K189" s="16"/>
      <c r="L189" s="16"/>
      <c r="M189" s="16"/>
      <c r="N189" s="16"/>
      <c r="O189" s="16"/>
      <c r="P189" s="16">
        <f t="shared" si="10"/>
        <v>1000</v>
      </c>
    </row>
    <row r="190" spans="1:16" ht="24.75" customHeight="1">
      <c r="A190" s="78"/>
      <c r="B190" s="78"/>
      <c r="C190" s="764" t="s">
        <v>3</v>
      </c>
      <c r="D190" s="765"/>
      <c r="E190" s="216">
        <v>2</v>
      </c>
      <c r="F190" s="16"/>
      <c r="G190" s="16"/>
      <c r="H190" s="16">
        <v>1500</v>
      </c>
      <c r="I190" s="16"/>
      <c r="J190" s="16"/>
      <c r="K190" s="16"/>
      <c r="L190" s="16"/>
      <c r="M190" s="16"/>
      <c r="N190" s="16"/>
      <c r="O190" s="16"/>
      <c r="P190" s="16">
        <f t="shared" si="10"/>
        <v>1500</v>
      </c>
    </row>
    <row r="191" spans="1:16" ht="13.5" customHeight="1">
      <c r="A191" s="78"/>
      <c r="B191" s="78"/>
      <c r="C191" s="15" t="s">
        <v>342</v>
      </c>
      <c r="D191" s="79"/>
      <c r="E191" s="79">
        <v>1</v>
      </c>
      <c r="F191" s="16"/>
      <c r="G191" s="85"/>
      <c r="H191" s="13">
        <v>50000</v>
      </c>
      <c r="I191" s="16"/>
      <c r="J191" s="16"/>
      <c r="K191" s="16"/>
      <c r="L191" s="16"/>
      <c r="M191" s="16"/>
      <c r="N191" s="16"/>
      <c r="O191" s="16"/>
      <c r="P191" s="16">
        <f t="shared" si="10"/>
        <v>50000</v>
      </c>
    </row>
    <row r="192" spans="1:16" ht="13.5" customHeight="1">
      <c r="A192" s="78"/>
      <c r="B192" s="78"/>
      <c r="C192" s="15" t="s">
        <v>6</v>
      </c>
      <c r="D192" s="79"/>
      <c r="E192" s="79">
        <v>1</v>
      </c>
      <c r="F192" s="16"/>
      <c r="G192" s="85"/>
      <c r="H192" s="16">
        <v>100000</v>
      </c>
      <c r="I192" s="16"/>
      <c r="J192" s="16"/>
      <c r="K192" s="16"/>
      <c r="L192" s="16"/>
      <c r="M192" s="16"/>
      <c r="N192" s="16"/>
      <c r="O192" s="16"/>
      <c r="P192" s="16">
        <f t="shared" si="10"/>
        <v>100000</v>
      </c>
    </row>
    <row r="193" spans="1:16" ht="13.5" customHeight="1">
      <c r="A193" s="78"/>
      <c r="B193" s="78"/>
      <c r="C193" s="15" t="s">
        <v>346</v>
      </c>
      <c r="D193" s="79"/>
      <c r="E193" s="79">
        <v>1</v>
      </c>
      <c r="F193" s="16"/>
      <c r="G193" s="85"/>
      <c r="H193" s="16">
        <v>40000</v>
      </c>
      <c r="I193" s="16"/>
      <c r="J193" s="16"/>
      <c r="K193" s="16"/>
      <c r="L193" s="16"/>
      <c r="M193" s="16"/>
      <c r="N193" s="16"/>
      <c r="O193" s="16"/>
      <c r="P193" s="16">
        <f t="shared" si="10"/>
        <v>40000</v>
      </c>
    </row>
    <row r="194" spans="1:16" ht="13.5" customHeight="1">
      <c r="A194" s="78"/>
      <c r="B194" s="78"/>
      <c r="C194" s="15" t="s">
        <v>7</v>
      </c>
      <c r="D194" s="79"/>
      <c r="E194" s="79">
        <v>2</v>
      </c>
      <c r="F194" s="16"/>
      <c r="G194" s="85"/>
      <c r="H194" s="16">
        <v>2000</v>
      </c>
      <c r="I194" s="16"/>
      <c r="J194" s="16"/>
      <c r="K194" s="16"/>
      <c r="L194" s="16"/>
      <c r="M194" s="16"/>
      <c r="N194" s="16"/>
      <c r="O194" s="16"/>
      <c r="P194" s="16">
        <f t="shared" si="10"/>
        <v>2000</v>
      </c>
    </row>
    <row r="195" spans="1:16" ht="13.5" customHeight="1">
      <c r="A195" s="78"/>
      <c r="B195" s="78"/>
      <c r="C195" s="15" t="s">
        <v>1516</v>
      </c>
      <c r="D195" s="79"/>
      <c r="E195" s="79">
        <v>2</v>
      </c>
      <c r="F195" s="16"/>
      <c r="G195" s="85"/>
      <c r="H195" s="16">
        <v>1500</v>
      </c>
      <c r="I195" s="16"/>
      <c r="J195" s="16"/>
      <c r="K195" s="16"/>
      <c r="L195" s="16"/>
      <c r="M195" s="16"/>
      <c r="N195" s="16"/>
      <c r="O195" s="16"/>
      <c r="P195" s="16">
        <f t="shared" si="10"/>
        <v>1500</v>
      </c>
    </row>
    <row r="196" spans="1:16" ht="12.75" customHeight="1">
      <c r="A196" s="78"/>
      <c r="B196" s="78"/>
      <c r="C196" s="323" t="s">
        <v>1427</v>
      </c>
      <c r="D196" s="79"/>
      <c r="E196" s="79"/>
      <c r="F196" s="16"/>
      <c r="G196" s="85"/>
      <c r="H196" s="16"/>
      <c r="I196" s="16"/>
      <c r="J196" s="16"/>
      <c r="K196" s="16"/>
      <c r="L196" s="16"/>
      <c r="M196" s="16"/>
      <c r="N196" s="16"/>
      <c r="O196" s="16"/>
      <c r="P196" s="16"/>
    </row>
    <row r="197" spans="1:16" ht="12.75" customHeight="1">
      <c r="A197" s="78"/>
      <c r="B197" s="78"/>
      <c r="C197" s="15" t="s">
        <v>350</v>
      </c>
      <c r="D197" s="79"/>
      <c r="E197" s="79">
        <v>1</v>
      </c>
      <c r="F197" s="16"/>
      <c r="G197" s="85"/>
      <c r="H197" s="16">
        <v>9000</v>
      </c>
      <c r="I197" s="16"/>
      <c r="J197" s="16"/>
      <c r="K197" s="16"/>
      <c r="L197" s="16"/>
      <c r="M197" s="16"/>
      <c r="N197" s="16"/>
      <c r="O197" s="16"/>
      <c r="P197" s="16">
        <f>SUM(F197:O197)</f>
        <v>9000</v>
      </c>
    </row>
    <row r="198" spans="1:16" ht="12.75" customHeight="1">
      <c r="A198" s="78"/>
      <c r="B198" s="78"/>
      <c r="C198" s="766" t="s">
        <v>1428</v>
      </c>
      <c r="D198" s="727"/>
      <c r="E198" s="140"/>
      <c r="F198" s="16"/>
      <c r="G198" s="85"/>
      <c r="H198" s="16"/>
      <c r="I198" s="16"/>
      <c r="J198" s="16"/>
      <c r="K198" s="16"/>
      <c r="L198" s="16"/>
      <c r="M198" s="16"/>
      <c r="N198" s="16"/>
      <c r="O198" s="16"/>
      <c r="P198" s="16"/>
    </row>
    <row r="199" spans="1:16" ht="13.5" customHeight="1">
      <c r="A199" s="78"/>
      <c r="B199" s="78"/>
      <c r="C199" s="16" t="s">
        <v>1099</v>
      </c>
      <c r="D199" s="16"/>
      <c r="E199" s="16">
        <v>2</v>
      </c>
      <c r="F199" s="16"/>
      <c r="G199" s="85"/>
      <c r="H199" s="16">
        <v>124355</v>
      </c>
      <c r="I199" s="16"/>
      <c r="J199" s="16"/>
      <c r="K199" s="16"/>
      <c r="L199" s="16"/>
      <c r="M199" s="16"/>
      <c r="N199" s="16"/>
      <c r="O199" s="16"/>
      <c r="P199" s="16">
        <f>SUM(F199:O199)</f>
        <v>124355</v>
      </c>
    </row>
    <row r="200" spans="1:16" ht="13.5" customHeight="1">
      <c r="A200" s="78"/>
      <c r="B200" s="78"/>
      <c r="C200" s="15" t="s">
        <v>315</v>
      </c>
      <c r="D200" s="79"/>
      <c r="E200" s="79">
        <v>2</v>
      </c>
      <c r="F200" s="16"/>
      <c r="G200" s="85"/>
      <c r="H200" s="16">
        <v>1334</v>
      </c>
      <c r="I200" s="16"/>
      <c r="J200" s="16"/>
      <c r="K200" s="16"/>
      <c r="L200" s="16"/>
      <c r="M200" s="16"/>
      <c r="N200" s="16"/>
      <c r="O200" s="16"/>
      <c r="P200" s="16">
        <f>SUM(F200:O200)</f>
        <v>1334</v>
      </c>
    </row>
    <row r="201" spans="1:16" ht="13.5" customHeight="1">
      <c r="A201" s="78"/>
      <c r="B201" s="78"/>
      <c r="C201" s="15" t="s">
        <v>38</v>
      </c>
      <c r="D201" s="79"/>
      <c r="E201" s="79">
        <v>2</v>
      </c>
      <c r="F201" s="16"/>
      <c r="G201" s="85"/>
      <c r="H201" s="16">
        <v>194406</v>
      </c>
      <c r="I201" s="16"/>
      <c r="J201" s="16"/>
      <c r="K201" s="16"/>
      <c r="L201" s="16"/>
      <c r="M201" s="16"/>
      <c r="N201" s="16"/>
      <c r="O201" s="16"/>
      <c r="P201" s="16">
        <f>SUM(F201:O201)</f>
        <v>194406</v>
      </c>
    </row>
    <row r="202" spans="1:16" ht="13.5" customHeight="1">
      <c r="A202" s="78"/>
      <c r="B202" s="78"/>
      <c r="C202" s="15" t="s">
        <v>345</v>
      </c>
      <c r="D202" s="79"/>
      <c r="E202" s="79">
        <v>2</v>
      </c>
      <c r="F202" s="16"/>
      <c r="G202" s="85"/>
      <c r="H202" s="16">
        <v>5000</v>
      </c>
      <c r="I202" s="16"/>
      <c r="J202" s="16"/>
      <c r="K202" s="16"/>
      <c r="L202" s="16"/>
      <c r="M202" s="16"/>
      <c r="N202" s="16"/>
      <c r="O202" s="16"/>
      <c r="P202" s="16">
        <f>SUM(F202:O202)</f>
        <v>5000</v>
      </c>
    </row>
    <row r="203" spans="1:16" ht="13.5" customHeight="1">
      <c r="A203" s="78"/>
      <c r="B203" s="78"/>
      <c r="C203" s="766" t="s">
        <v>1429</v>
      </c>
      <c r="D203" s="727"/>
      <c r="E203" s="140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</row>
    <row r="204" spans="1:16" ht="13.5" customHeight="1">
      <c r="A204" s="78"/>
      <c r="B204" s="78"/>
      <c r="C204" s="766" t="s">
        <v>757</v>
      </c>
      <c r="D204" s="727"/>
      <c r="E204" s="140">
        <v>1</v>
      </c>
      <c r="F204" s="16"/>
      <c r="G204" s="16"/>
      <c r="H204" s="16"/>
      <c r="I204" s="13"/>
      <c r="J204" s="16">
        <v>17000</v>
      </c>
      <c r="K204" s="16"/>
      <c r="L204" s="16"/>
      <c r="M204" s="16"/>
      <c r="N204" s="16"/>
      <c r="O204" s="16"/>
      <c r="P204" s="16">
        <f aca="true" t="shared" si="11" ref="P204:P215">SUM(F204:O204)</f>
        <v>17000</v>
      </c>
    </row>
    <row r="205" spans="1:16" ht="13.5" customHeight="1">
      <c r="A205" s="78"/>
      <c r="B205" s="78"/>
      <c r="C205" s="80" t="s">
        <v>729</v>
      </c>
      <c r="D205" s="140"/>
      <c r="E205" s="140">
        <v>1</v>
      </c>
      <c r="F205" s="16"/>
      <c r="G205" s="16"/>
      <c r="H205" s="16">
        <v>500</v>
      </c>
      <c r="I205" s="16"/>
      <c r="J205" s="16"/>
      <c r="K205" s="16"/>
      <c r="L205" s="16"/>
      <c r="M205" s="16"/>
      <c r="N205" s="16"/>
      <c r="O205" s="16"/>
      <c r="P205" s="16">
        <f t="shared" si="11"/>
        <v>500</v>
      </c>
    </row>
    <row r="206" spans="1:16" ht="13.5" customHeight="1">
      <c r="A206" s="78"/>
      <c r="B206" s="78"/>
      <c r="C206" s="80" t="s">
        <v>484</v>
      </c>
      <c r="D206" s="140"/>
      <c r="E206" s="140">
        <v>1</v>
      </c>
      <c r="F206" s="16"/>
      <c r="G206" s="16"/>
      <c r="H206" s="16">
        <v>2000</v>
      </c>
      <c r="I206" s="16"/>
      <c r="J206" s="16"/>
      <c r="K206" s="16"/>
      <c r="L206" s="16"/>
      <c r="M206" s="16"/>
      <c r="N206" s="16"/>
      <c r="O206" s="16"/>
      <c r="P206" s="16">
        <f t="shared" si="11"/>
        <v>2000</v>
      </c>
    </row>
    <row r="207" spans="1:16" ht="13.5" customHeight="1">
      <c r="A207" s="78"/>
      <c r="B207" s="78"/>
      <c r="C207" s="766" t="s">
        <v>1430</v>
      </c>
      <c r="D207" s="727"/>
      <c r="E207" s="140"/>
      <c r="F207" s="16"/>
      <c r="G207" s="85"/>
      <c r="H207" s="16"/>
      <c r="I207" s="16"/>
      <c r="J207" s="16"/>
      <c r="K207" s="16"/>
      <c r="L207" s="16"/>
      <c r="M207" s="16"/>
      <c r="N207" s="16"/>
      <c r="O207" s="16"/>
      <c r="P207" s="16">
        <f t="shared" si="11"/>
        <v>0</v>
      </c>
    </row>
    <row r="208" spans="1:16" ht="13.5" customHeight="1">
      <c r="A208" s="78"/>
      <c r="B208" s="78"/>
      <c r="C208" s="80" t="s">
        <v>976</v>
      </c>
      <c r="D208" s="79"/>
      <c r="E208" s="79">
        <v>1</v>
      </c>
      <c r="F208" s="16"/>
      <c r="G208" s="85"/>
      <c r="H208" s="13">
        <v>120000</v>
      </c>
      <c r="I208" s="16"/>
      <c r="J208" s="16"/>
      <c r="K208" s="16"/>
      <c r="L208" s="16"/>
      <c r="M208" s="16"/>
      <c r="N208" s="16"/>
      <c r="O208" s="16"/>
      <c r="P208" s="16">
        <f t="shared" si="11"/>
        <v>120000</v>
      </c>
    </row>
    <row r="209" spans="1:16" ht="13.5" customHeight="1">
      <c r="A209" s="78"/>
      <c r="B209" s="78"/>
      <c r="C209" s="80" t="s">
        <v>124</v>
      </c>
      <c r="D209" s="79"/>
      <c r="E209" s="79">
        <v>2</v>
      </c>
      <c r="F209" s="16"/>
      <c r="G209" s="85"/>
      <c r="H209" s="16">
        <v>6500</v>
      </c>
      <c r="I209" s="16"/>
      <c r="J209" s="16"/>
      <c r="K209" s="16"/>
      <c r="L209" s="16"/>
      <c r="M209" s="16"/>
      <c r="N209" s="16"/>
      <c r="O209" s="16"/>
      <c r="P209" s="16">
        <f t="shared" si="11"/>
        <v>6500</v>
      </c>
    </row>
    <row r="210" spans="1:16" ht="13.5" customHeight="1">
      <c r="A210" s="78"/>
      <c r="B210" s="78"/>
      <c r="C210" s="766" t="s">
        <v>977</v>
      </c>
      <c r="D210" s="727"/>
      <c r="E210" s="140">
        <v>1</v>
      </c>
      <c r="F210" s="16"/>
      <c r="G210" s="85"/>
      <c r="H210" s="16">
        <v>1000</v>
      </c>
      <c r="I210" s="16"/>
      <c r="J210" s="16"/>
      <c r="K210" s="16"/>
      <c r="L210" s="16"/>
      <c r="M210" s="16"/>
      <c r="N210" s="16"/>
      <c r="O210" s="16"/>
      <c r="P210" s="16">
        <f t="shared" si="11"/>
        <v>1000</v>
      </c>
    </row>
    <row r="211" spans="1:16" ht="13.5" customHeight="1">
      <c r="A211" s="78"/>
      <c r="B211" s="78"/>
      <c r="C211" s="80" t="s">
        <v>980</v>
      </c>
      <c r="D211" s="140"/>
      <c r="E211" s="140">
        <v>1</v>
      </c>
      <c r="F211" s="16"/>
      <c r="G211" s="85"/>
      <c r="H211" s="16">
        <v>24000</v>
      </c>
      <c r="I211" s="16"/>
      <c r="J211" s="16"/>
      <c r="K211" s="16"/>
      <c r="L211" s="16"/>
      <c r="M211" s="16"/>
      <c r="N211" s="16"/>
      <c r="O211" s="16"/>
      <c r="P211" s="16">
        <f t="shared" si="11"/>
        <v>24000</v>
      </c>
    </row>
    <row r="212" spans="1:16" ht="13.5" customHeight="1">
      <c r="A212" s="78"/>
      <c r="B212" s="78"/>
      <c r="C212" s="80" t="s">
        <v>981</v>
      </c>
      <c r="D212" s="140"/>
      <c r="E212" s="140">
        <v>1</v>
      </c>
      <c r="F212" s="16"/>
      <c r="G212" s="85"/>
      <c r="H212" s="16">
        <v>1000</v>
      </c>
      <c r="I212" s="16"/>
      <c r="J212" s="16"/>
      <c r="K212" s="16"/>
      <c r="L212" s="16"/>
      <c r="M212" s="16"/>
      <c r="N212" s="16"/>
      <c r="O212" s="16"/>
      <c r="P212" s="16">
        <f t="shared" si="11"/>
        <v>1000</v>
      </c>
    </row>
    <row r="213" spans="1:16" ht="13.5" customHeight="1">
      <c r="A213" s="78"/>
      <c r="B213" s="78"/>
      <c r="C213" s="766" t="s">
        <v>1431</v>
      </c>
      <c r="D213" s="727"/>
      <c r="E213" s="140">
        <v>1</v>
      </c>
      <c r="F213" s="13">
        <v>1500</v>
      </c>
      <c r="G213" s="13">
        <v>400</v>
      </c>
      <c r="H213" s="13">
        <v>4200</v>
      </c>
      <c r="I213" s="13"/>
      <c r="J213" s="13">
        <v>2700</v>
      </c>
      <c r="K213" s="16"/>
      <c r="L213" s="16"/>
      <c r="M213" s="16"/>
      <c r="N213" s="16"/>
      <c r="O213" s="16"/>
      <c r="P213" s="16">
        <f t="shared" si="11"/>
        <v>8800</v>
      </c>
    </row>
    <row r="214" spans="1:16" ht="15" customHeight="1">
      <c r="A214" s="78"/>
      <c r="B214" s="78"/>
      <c r="C214" s="1263" t="s">
        <v>1470</v>
      </c>
      <c r="D214" s="1264"/>
      <c r="E214" s="215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>
        <f t="shared" si="11"/>
        <v>0</v>
      </c>
    </row>
    <row r="215" spans="1:16" ht="24.75" customHeight="1">
      <c r="A215" s="78"/>
      <c r="B215" s="78"/>
      <c r="C215" s="1263" t="s">
        <v>279</v>
      </c>
      <c r="D215" s="1264"/>
      <c r="E215" s="212">
        <v>2</v>
      </c>
      <c r="F215" s="16"/>
      <c r="G215" s="16"/>
      <c r="H215" s="16">
        <v>112967</v>
      </c>
      <c r="I215" s="16"/>
      <c r="J215" s="16"/>
      <c r="K215" s="16"/>
      <c r="L215" s="16"/>
      <c r="M215" s="16"/>
      <c r="N215" s="16"/>
      <c r="O215" s="16"/>
      <c r="P215" s="16">
        <f t="shared" si="11"/>
        <v>112967</v>
      </c>
    </row>
    <row r="216" spans="1:16" ht="13.5" customHeight="1">
      <c r="A216" s="78"/>
      <c r="B216" s="78"/>
      <c r="C216" s="766" t="s">
        <v>1432</v>
      </c>
      <c r="D216" s="727"/>
      <c r="E216" s="140"/>
      <c r="F216" s="16"/>
      <c r="G216" s="85"/>
      <c r="H216" s="16"/>
      <c r="I216" s="16"/>
      <c r="J216" s="16"/>
      <c r="K216" s="16"/>
      <c r="L216" s="16"/>
      <c r="M216" s="16"/>
      <c r="N216" s="16"/>
      <c r="O216" s="16"/>
      <c r="P216" s="16"/>
    </row>
    <row r="217" spans="1:16" ht="13.5" customHeight="1">
      <c r="A217" s="78"/>
      <c r="B217" s="78"/>
      <c r="C217" s="80" t="s">
        <v>207</v>
      </c>
      <c r="D217" s="79"/>
      <c r="E217" s="79">
        <v>1</v>
      </c>
      <c r="F217" s="16"/>
      <c r="G217" s="16"/>
      <c r="H217" s="16"/>
      <c r="I217" s="16"/>
      <c r="J217" s="16">
        <v>250</v>
      </c>
      <c r="K217" s="16"/>
      <c r="L217" s="16"/>
      <c r="M217" s="16"/>
      <c r="N217" s="16"/>
      <c r="O217" s="16"/>
      <c r="P217" s="16">
        <f>SUM(F217:O217)</f>
        <v>250</v>
      </c>
    </row>
    <row r="218" spans="1:16" ht="12.75" customHeight="1">
      <c r="A218" s="68"/>
      <c r="B218" s="68"/>
      <c r="C218" s="86" t="s">
        <v>255</v>
      </c>
      <c r="D218" s="72"/>
      <c r="E218" s="72"/>
      <c r="F218" s="76">
        <f aca="true" t="shared" si="12" ref="F218:K218">SUM(F146:F217)</f>
        <v>1500</v>
      </c>
      <c r="G218" s="76">
        <f t="shared" si="12"/>
        <v>400</v>
      </c>
      <c r="H218" s="76">
        <f t="shared" si="12"/>
        <v>1244463</v>
      </c>
      <c r="I218" s="76">
        <f t="shared" si="12"/>
        <v>0</v>
      </c>
      <c r="J218" s="76">
        <f t="shared" si="12"/>
        <v>37950</v>
      </c>
      <c r="K218" s="76">
        <f t="shared" si="12"/>
        <v>0</v>
      </c>
      <c r="L218" s="76"/>
      <c r="M218" s="76">
        <f>SUM(M146:M217)</f>
        <v>0</v>
      </c>
      <c r="N218" s="76"/>
      <c r="O218" s="76">
        <f>SUM(O146:O217)</f>
        <v>0</v>
      </c>
      <c r="P218" s="76">
        <f>SUM(P147:P217)</f>
        <v>1284313</v>
      </c>
    </row>
    <row r="219" spans="1:16" ht="12.75" customHeight="1">
      <c r="A219" s="87"/>
      <c r="B219" s="87"/>
      <c r="C219" s="88" t="s">
        <v>1874</v>
      </c>
      <c r="D219" s="88"/>
      <c r="E219" s="88"/>
      <c r="F219" s="89"/>
      <c r="G219" s="89"/>
      <c r="H219" s="89"/>
      <c r="I219" s="89"/>
      <c r="J219" s="89"/>
      <c r="K219" s="90"/>
      <c r="L219" s="90">
        <v>396156</v>
      </c>
      <c r="M219" s="90">
        <v>1000</v>
      </c>
      <c r="N219" s="89"/>
      <c r="O219" s="89"/>
      <c r="P219" s="90">
        <f>SUM(F219:O219)</f>
        <v>397156</v>
      </c>
    </row>
    <row r="220" spans="1:16" ht="12.75" customHeight="1">
      <c r="A220" s="84"/>
      <c r="B220" s="84"/>
      <c r="C220" s="15" t="s">
        <v>1875</v>
      </c>
      <c r="D220" s="18"/>
      <c r="E220" s="18"/>
      <c r="F220" s="17"/>
      <c r="G220" s="17"/>
      <c r="H220" s="17"/>
      <c r="I220" s="17"/>
      <c r="J220" s="17"/>
      <c r="K220" s="16">
        <v>277632</v>
      </c>
      <c r="L220" s="16"/>
      <c r="M220" s="16">
        <v>355893</v>
      </c>
      <c r="N220" s="16"/>
      <c r="O220" s="16"/>
      <c r="P220" s="90">
        <f>SUM(F220:O220)</f>
        <v>633525</v>
      </c>
    </row>
    <row r="221" spans="1:16" ht="13.5" customHeight="1">
      <c r="A221" s="68"/>
      <c r="B221" s="68"/>
      <c r="C221" s="71" t="s">
        <v>982</v>
      </c>
      <c r="D221" s="72"/>
      <c r="E221" s="72"/>
      <c r="F221" s="76">
        <f aca="true" t="shared" si="13" ref="F221:P221">SUM(F218:F220)</f>
        <v>1500</v>
      </c>
      <c r="G221" s="76">
        <f t="shared" si="13"/>
        <v>400</v>
      </c>
      <c r="H221" s="76">
        <f t="shared" si="13"/>
        <v>1244463</v>
      </c>
      <c r="I221" s="76">
        <f t="shared" si="13"/>
        <v>0</v>
      </c>
      <c r="J221" s="76">
        <f t="shared" si="13"/>
        <v>37950</v>
      </c>
      <c r="K221" s="76">
        <f t="shared" si="13"/>
        <v>277632</v>
      </c>
      <c r="L221" s="76">
        <f t="shared" si="13"/>
        <v>396156</v>
      </c>
      <c r="M221" s="76">
        <f t="shared" si="13"/>
        <v>356893</v>
      </c>
      <c r="N221" s="76"/>
      <c r="O221" s="76">
        <f t="shared" si="13"/>
        <v>0</v>
      </c>
      <c r="P221" s="76">
        <f t="shared" si="13"/>
        <v>2314994</v>
      </c>
    </row>
    <row r="222" spans="1:16" ht="13.5" customHeight="1">
      <c r="A222" s="78">
        <v>1</v>
      </c>
      <c r="B222" s="78">
        <v>16</v>
      </c>
      <c r="C222" s="19" t="s">
        <v>983</v>
      </c>
      <c r="D222" s="79"/>
      <c r="E222" s="79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</row>
    <row r="223" spans="1:16" ht="12.75" customHeight="1">
      <c r="A223" s="78"/>
      <c r="B223" s="78"/>
      <c r="C223" s="15" t="s">
        <v>984</v>
      </c>
      <c r="D223" s="79"/>
      <c r="E223" s="79"/>
      <c r="F223" s="16"/>
      <c r="G223" s="16"/>
      <c r="H223" s="16"/>
      <c r="I223" s="16"/>
      <c r="J223" s="16"/>
      <c r="K223" s="16">
        <v>5680742</v>
      </c>
      <c r="L223" s="16"/>
      <c r="M223" s="16">
        <v>27500</v>
      </c>
      <c r="N223" s="16"/>
      <c r="O223" s="16"/>
      <c r="P223" s="16">
        <f>SUM(F223:O223)</f>
        <v>5708242</v>
      </c>
    </row>
    <row r="224" spans="1:16" ht="12.75" customHeight="1">
      <c r="A224" s="78"/>
      <c r="B224" s="78"/>
      <c r="C224" s="15" t="s">
        <v>985</v>
      </c>
      <c r="D224" s="79"/>
      <c r="E224" s="79"/>
      <c r="F224" s="16"/>
      <c r="G224" s="16"/>
      <c r="H224" s="16"/>
      <c r="I224" s="16"/>
      <c r="J224" s="16"/>
      <c r="K224" s="16"/>
      <c r="L224" s="16">
        <v>17087</v>
      </c>
      <c r="M224" s="16">
        <v>8412</v>
      </c>
      <c r="N224" s="16"/>
      <c r="O224" s="16"/>
      <c r="P224" s="16">
        <f>SUM(F224:O224)</f>
        <v>25499</v>
      </c>
    </row>
    <row r="225" spans="1:16" ht="12.75" customHeight="1">
      <c r="A225" s="68"/>
      <c r="B225" s="68"/>
      <c r="C225" s="71" t="s">
        <v>986</v>
      </c>
      <c r="D225" s="72"/>
      <c r="E225" s="72"/>
      <c r="F225" s="76">
        <f aca="true" t="shared" si="14" ref="F225:P225">SUM(F223:F224)</f>
        <v>0</v>
      </c>
      <c r="G225" s="76">
        <f t="shared" si="14"/>
        <v>0</v>
      </c>
      <c r="H225" s="76">
        <f t="shared" si="14"/>
        <v>0</v>
      </c>
      <c r="I225" s="76">
        <f t="shared" si="14"/>
        <v>0</v>
      </c>
      <c r="J225" s="76">
        <f t="shared" si="14"/>
        <v>0</v>
      </c>
      <c r="K225" s="76">
        <f t="shared" si="14"/>
        <v>5680742</v>
      </c>
      <c r="L225" s="76">
        <f t="shared" si="14"/>
        <v>17087</v>
      </c>
      <c r="M225" s="76">
        <f t="shared" si="14"/>
        <v>35912</v>
      </c>
      <c r="N225" s="76"/>
      <c r="O225" s="76">
        <f t="shared" si="14"/>
        <v>0</v>
      </c>
      <c r="P225" s="76">
        <f t="shared" si="14"/>
        <v>5733741</v>
      </c>
    </row>
    <row r="226" spans="1:16" ht="13.5" customHeight="1">
      <c r="A226" s="78">
        <v>1</v>
      </c>
      <c r="B226" s="78">
        <v>17</v>
      </c>
      <c r="C226" s="19" t="s">
        <v>987</v>
      </c>
      <c r="D226" s="79"/>
      <c r="E226" s="79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</row>
    <row r="227" spans="1:16" ht="13.5" customHeight="1">
      <c r="A227" s="78"/>
      <c r="B227" s="78"/>
      <c r="C227" s="1261" t="s">
        <v>1471</v>
      </c>
      <c r="D227" s="1262"/>
      <c r="E227" s="140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</row>
    <row r="228" spans="1:16" ht="13.5" customHeight="1">
      <c r="A228" s="78"/>
      <c r="B228" s="78"/>
      <c r="C228" s="14" t="s">
        <v>989</v>
      </c>
      <c r="D228" s="65"/>
      <c r="E228" s="65">
        <v>1</v>
      </c>
      <c r="F228" s="13"/>
      <c r="G228" s="13"/>
      <c r="H228" s="13">
        <v>80000</v>
      </c>
      <c r="I228" s="13"/>
      <c r="J228" s="13">
        <v>20000</v>
      </c>
      <c r="K228" s="16"/>
      <c r="L228" s="16"/>
      <c r="M228" s="16"/>
      <c r="N228" s="16"/>
      <c r="O228" s="16"/>
      <c r="P228" s="16">
        <f>SUM(F228:O228)</f>
        <v>100000</v>
      </c>
    </row>
    <row r="229" spans="1:16" ht="13.5" customHeight="1">
      <c r="A229" s="78"/>
      <c r="B229" s="78"/>
      <c r="C229" s="1253" t="s">
        <v>1472</v>
      </c>
      <c r="D229" s="1211"/>
      <c r="E229" s="144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6"/>
    </row>
    <row r="230" spans="1:16" ht="13.5" customHeight="1">
      <c r="A230" s="78"/>
      <c r="B230" s="78"/>
      <c r="C230" s="14" t="s">
        <v>208</v>
      </c>
      <c r="D230" s="65"/>
      <c r="E230" s="65">
        <v>1</v>
      </c>
      <c r="F230" s="13"/>
      <c r="G230" s="13"/>
      <c r="H230" s="13">
        <v>2000</v>
      </c>
      <c r="I230" s="13"/>
      <c r="J230" s="13"/>
      <c r="K230" s="13"/>
      <c r="L230" s="13"/>
      <c r="M230" s="13"/>
      <c r="N230" s="13"/>
      <c r="O230" s="13"/>
      <c r="P230" s="16">
        <f aca="true" t="shared" si="15" ref="P230:P240">SUM(F230:O230)</f>
        <v>2000</v>
      </c>
    </row>
    <row r="231" spans="1:16" ht="13.5" customHeight="1">
      <c r="A231" s="78"/>
      <c r="B231" s="78"/>
      <c r="C231" s="14" t="s">
        <v>114</v>
      </c>
      <c r="D231" s="65"/>
      <c r="E231" s="65">
        <v>1</v>
      </c>
      <c r="F231" s="13"/>
      <c r="G231" s="13"/>
      <c r="H231" s="13">
        <v>4000</v>
      </c>
      <c r="I231" s="13"/>
      <c r="J231" s="13"/>
      <c r="K231" s="13"/>
      <c r="L231" s="13"/>
      <c r="M231" s="13"/>
      <c r="N231" s="13"/>
      <c r="O231" s="13"/>
      <c r="P231" s="16">
        <f t="shared" si="15"/>
        <v>4000</v>
      </c>
    </row>
    <row r="232" spans="1:16" ht="13.5" customHeight="1">
      <c r="A232" s="78"/>
      <c r="B232" s="78"/>
      <c r="C232" s="14" t="s">
        <v>988</v>
      </c>
      <c r="D232" s="65"/>
      <c r="E232" s="65">
        <v>1</v>
      </c>
      <c r="F232" s="13"/>
      <c r="G232" s="13"/>
      <c r="H232" s="13">
        <v>2500</v>
      </c>
      <c r="I232" s="13"/>
      <c r="J232" s="13"/>
      <c r="K232" s="13"/>
      <c r="L232" s="13"/>
      <c r="M232" s="13"/>
      <c r="N232" s="13"/>
      <c r="O232" s="13"/>
      <c r="P232" s="16">
        <f t="shared" si="15"/>
        <v>2500</v>
      </c>
    </row>
    <row r="233" spans="1:16" ht="13.5" customHeight="1">
      <c r="A233" s="78"/>
      <c r="B233" s="78"/>
      <c r="C233" s="732" t="s">
        <v>67</v>
      </c>
      <c r="D233" s="733"/>
      <c r="E233" s="144">
        <v>1</v>
      </c>
      <c r="F233" s="13"/>
      <c r="G233" s="13"/>
      <c r="H233" s="13">
        <v>8300</v>
      </c>
      <c r="I233" s="13"/>
      <c r="J233" s="13"/>
      <c r="K233" s="13"/>
      <c r="L233" s="13"/>
      <c r="M233" s="13"/>
      <c r="N233" s="13"/>
      <c r="O233" s="13"/>
      <c r="P233" s="16">
        <f t="shared" si="15"/>
        <v>8300</v>
      </c>
    </row>
    <row r="234" spans="1:16" ht="13.5" customHeight="1">
      <c r="A234" s="78"/>
      <c r="B234" s="78"/>
      <c r="C234" s="1212" t="s">
        <v>403</v>
      </c>
      <c r="D234" s="1213"/>
      <c r="E234" s="211">
        <v>1</v>
      </c>
      <c r="F234" s="13"/>
      <c r="G234" s="13"/>
      <c r="H234" s="13">
        <v>31000</v>
      </c>
      <c r="I234" s="13"/>
      <c r="J234" s="13"/>
      <c r="K234" s="13"/>
      <c r="L234" s="13"/>
      <c r="M234" s="13"/>
      <c r="N234" s="13"/>
      <c r="O234" s="13"/>
      <c r="P234" s="16">
        <f t="shared" si="15"/>
        <v>31000</v>
      </c>
    </row>
    <row r="235" spans="1:16" ht="13.5" customHeight="1">
      <c r="A235" s="78"/>
      <c r="B235" s="78"/>
      <c r="C235" s="1212" t="s">
        <v>1518</v>
      </c>
      <c r="D235" s="1213"/>
      <c r="E235" s="211">
        <v>1</v>
      </c>
      <c r="F235" s="13"/>
      <c r="G235" s="13"/>
      <c r="H235" s="13">
        <v>1000</v>
      </c>
      <c r="I235" s="13"/>
      <c r="J235" s="13"/>
      <c r="K235" s="13"/>
      <c r="L235" s="13"/>
      <c r="M235" s="13"/>
      <c r="N235" s="13"/>
      <c r="O235" s="13"/>
      <c r="P235" s="16">
        <f t="shared" si="15"/>
        <v>1000</v>
      </c>
    </row>
    <row r="236" spans="1:16" ht="13.5" customHeight="1">
      <c r="A236" s="78"/>
      <c r="B236" s="78"/>
      <c r="C236" s="1212" t="s">
        <v>1519</v>
      </c>
      <c r="D236" s="1213"/>
      <c r="E236" s="211">
        <v>1</v>
      </c>
      <c r="F236" s="13"/>
      <c r="G236" s="13"/>
      <c r="H236" s="13">
        <v>3000</v>
      </c>
      <c r="I236" s="13"/>
      <c r="J236" s="13"/>
      <c r="K236" s="13"/>
      <c r="L236" s="13"/>
      <c r="M236" s="13"/>
      <c r="N236" s="13"/>
      <c r="O236" s="13"/>
      <c r="P236" s="16">
        <f t="shared" si="15"/>
        <v>3000</v>
      </c>
    </row>
    <row r="237" spans="1:16" ht="15" customHeight="1">
      <c r="A237" s="78"/>
      <c r="B237" s="78"/>
      <c r="C237" s="1212" t="s">
        <v>1520</v>
      </c>
      <c r="D237" s="1213"/>
      <c r="E237" s="211">
        <v>1</v>
      </c>
      <c r="F237" s="13"/>
      <c r="G237" s="13"/>
      <c r="H237" s="13">
        <v>1000</v>
      </c>
      <c r="I237" s="13"/>
      <c r="J237" s="13"/>
      <c r="K237" s="13"/>
      <c r="L237" s="13"/>
      <c r="M237" s="13"/>
      <c r="N237" s="13"/>
      <c r="O237" s="13"/>
      <c r="P237" s="16">
        <f t="shared" si="15"/>
        <v>1000</v>
      </c>
    </row>
    <row r="238" spans="1:16" ht="13.5" customHeight="1">
      <c r="A238" s="78"/>
      <c r="B238" s="78"/>
      <c r="C238" s="1212" t="s">
        <v>1521</v>
      </c>
      <c r="D238" s="1213"/>
      <c r="E238" s="211">
        <v>1</v>
      </c>
      <c r="F238" s="13"/>
      <c r="G238" s="13"/>
      <c r="H238" s="13">
        <v>2000</v>
      </c>
      <c r="I238" s="13"/>
      <c r="J238" s="13"/>
      <c r="K238" s="13"/>
      <c r="L238" s="13"/>
      <c r="M238" s="13"/>
      <c r="N238" s="13"/>
      <c r="O238" s="13"/>
      <c r="P238" s="16">
        <f t="shared" si="15"/>
        <v>2000</v>
      </c>
    </row>
    <row r="239" spans="1:16" ht="24.75" customHeight="1">
      <c r="A239" s="78"/>
      <c r="B239" s="78"/>
      <c r="C239" s="1212" t="s">
        <v>1522</v>
      </c>
      <c r="D239" s="1213"/>
      <c r="E239" s="211">
        <v>1</v>
      </c>
      <c r="F239" s="13"/>
      <c r="G239" s="13"/>
      <c r="H239" s="13">
        <v>2000</v>
      </c>
      <c r="I239" s="13"/>
      <c r="J239" s="13"/>
      <c r="K239" s="13"/>
      <c r="L239" s="13"/>
      <c r="M239" s="13"/>
      <c r="N239" s="13"/>
      <c r="O239" s="13"/>
      <c r="P239" s="16">
        <f t="shared" si="15"/>
        <v>2000</v>
      </c>
    </row>
    <row r="240" spans="1:16" ht="15" customHeight="1">
      <c r="A240" s="78"/>
      <c r="B240" s="78"/>
      <c r="C240" s="1212" t="s">
        <v>1533</v>
      </c>
      <c r="D240" s="1213"/>
      <c r="E240" s="211">
        <v>1</v>
      </c>
      <c r="F240" s="13"/>
      <c r="G240" s="13"/>
      <c r="H240" s="13">
        <v>2000</v>
      </c>
      <c r="I240" s="13"/>
      <c r="J240" s="13"/>
      <c r="K240" s="13"/>
      <c r="L240" s="13"/>
      <c r="M240" s="13"/>
      <c r="N240" s="13"/>
      <c r="O240" s="13"/>
      <c r="P240" s="16">
        <f t="shared" si="15"/>
        <v>2000</v>
      </c>
    </row>
    <row r="241" spans="1:16" ht="13.5" customHeight="1">
      <c r="A241" s="78"/>
      <c r="B241" s="78"/>
      <c r="C241" s="14" t="s">
        <v>115</v>
      </c>
      <c r="D241" s="65"/>
      <c r="E241" s="65">
        <v>1</v>
      </c>
      <c r="F241" s="13"/>
      <c r="G241" s="13"/>
      <c r="H241" s="13">
        <v>1000</v>
      </c>
      <c r="I241" s="13"/>
      <c r="J241" s="13"/>
      <c r="K241" s="13"/>
      <c r="L241" s="13"/>
      <c r="M241" s="13"/>
      <c r="N241" s="13"/>
      <c r="O241" s="13"/>
      <c r="P241" s="16">
        <f aca="true" t="shared" si="16" ref="P241:P260">SUM(F241:O241)</f>
        <v>1000</v>
      </c>
    </row>
    <row r="242" spans="1:16" ht="13.5" customHeight="1">
      <c r="A242" s="78"/>
      <c r="B242" s="78"/>
      <c r="C242" s="14" t="s">
        <v>116</v>
      </c>
      <c r="D242" s="65"/>
      <c r="E242" s="65">
        <v>1</v>
      </c>
      <c r="F242" s="13"/>
      <c r="G242" s="13"/>
      <c r="H242" s="13">
        <v>2500</v>
      </c>
      <c r="I242" s="13"/>
      <c r="J242" s="13"/>
      <c r="K242" s="13"/>
      <c r="L242" s="13"/>
      <c r="M242" s="13"/>
      <c r="N242" s="13"/>
      <c r="O242" s="13"/>
      <c r="P242" s="16">
        <f t="shared" si="16"/>
        <v>2500</v>
      </c>
    </row>
    <row r="243" spans="1:16" ht="13.5" customHeight="1">
      <c r="A243" s="78"/>
      <c r="B243" s="78"/>
      <c r="C243" s="14" t="s">
        <v>1486</v>
      </c>
      <c r="D243" s="65"/>
      <c r="E243" s="65">
        <v>1</v>
      </c>
      <c r="F243" s="13"/>
      <c r="G243" s="13"/>
      <c r="H243" s="13">
        <v>1000</v>
      </c>
      <c r="I243" s="13"/>
      <c r="J243" s="13"/>
      <c r="K243" s="13"/>
      <c r="L243" s="13"/>
      <c r="M243" s="13"/>
      <c r="N243" s="13"/>
      <c r="O243" s="13"/>
      <c r="P243" s="16">
        <f t="shared" si="16"/>
        <v>1000</v>
      </c>
    </row>
    <row r="244" spans="1:16" ht="13.5" customHeight="1">
      <c r="A244" s="78"/>
      <c r="B244" s="78"/>
      <c r="C244" s="14" t="s">
        <v>1487</v>
      </c>
      <c r="D244" s="65"/>
      <c r="E244" s="65">
        <v>1</v>
      </c>
      <c r="F244" s="13"/>
      <c r="G244" s="13"/>
      <c r="H244" s="13">
        <v>6000</v>
      </c>
      <c r="I244" s="13"/>
      <c r="J244" s="13"/>
      <c r="K244" s="13"/>
      <c r="L244" s="13"/>
      <c r="M244" s="13"/>
      <c r="N244" s="13"/>
      <c r="O244" s="13"/>
      <c r="P244" s="16">
        <f t="shared" si="16"/>
        <v>6000</v>
      </c>
    </row>
    <row r="245" spans="1:16" ht="13.5" customHeight="1">
      <c r="A245" s="78"/>
      <c r="B245" s="78"/>
      <c r="C245" s="14" t="s">
        <v>117</v>
      </c>
      <c r="D245" s="65"/>
      <c r="E245" s="65">
        <v>1</v>
      </c>
      <c r="F245" s="13"/>
      <c r="G245" s="13"/>
      <c r="H245" s="13">
        <v>1200</v>
      </c>
      <c r="I245" s="13"/>
      <c r="J245" s="13"/>
      <c r="K245" s="13"/>
      <c r="L245" s="13"/>
      <c r="M245" s="13"/>
      <c r="N245" s="13"/>
      <c r="O245" s="13"/>
      <c r="P245" s="16">
        <f t="shared" si="16"/>
        <v>1200</v>
      </c>
    </row>
    <row r="246" spans="1:16" ht="13.5" customHeight="1">
      <c r="A246" s="78"/>
      <c r="B246" s="78"/>
      <c r="C246" s="14" t="s">
        <v>209</v>
      </c>
      <c r="D246" s="65"/>
      <c r="E246" s="65">
        <v>1</v>
      </c>
      <c r="F246" s="13"/>
      <c r="G246" s="13"/>
      <c r="H246" s="13">
        <v>2000</v>
      </c>
      <c r="I246" s="13"/>
      <c r="J246" s="13"/>
      <c r="K246" s="13"/>
      <c r="L246" s="13"/>
      <c r="M246" s="13"/>
      <c r="N246" s="13"/>
      <c r="O246" s="13"/>
      <c r="P246" s="16">
        <f t="shared" si="16"/>
        <v>2000</v>
      </c>
    </row>
    <row r="247" spans="1:16" ht="13.5" customHeight="1">
      <c r="A247" s="78"/>
      <c r="B247" s="78"/>
      <c r="C247" s="14" t="s">
        <v>1489</v>
      </c>
      <c r="D247" s="65"/>
      <c r="E247" s="65">
        <v>1</v>
      </c>
      <c r="F247" s="13"/>
      <c r="G247" s="13"/>
      <c r="H247" s="13">
        <v>1000</v>
      </c>
      <c r="I247" s="13"/>
      <c r="J247" s="13"/>
      <c r="K247" s="13"/>
      <c r="L247" s="13"/>
      <c r="M247" s="13"/>
      <c r="N247" s="13"/>
      <c r="O247" s="13"/>
      <c r="P247" s="16">
        <f t="shared" si="16"/>
        <v>1000</v>
      </c>
    </row>
    <row r="248" spans="1:16" ht="13.5" customHeight="1">
      <c r="A248" s="78"/>
      <c r="B248" s="78"/>
      <c r="C248" s="14" t="s">
        <v>1490</v>
      </c>
      <c r="D248" s="65"/>
      <c r="E248" s="65">
        <v>1</v>
      </c>
      <c r="F248" s="13"/>
      <c r="G248" s="13"/>
      <c r="H248" s="13">
        <v>2500</v>
      </c>
      <c r="I248" s="13"/>
      <c r="J248" s="13"/>
      <c r="K248" s="13"/>
      <c r="L248" s="13"/>
      <c r="M248" s="13"/>
      <c r="N248" s="13"/>
      <c r="O248" s="13"/>
      <c r="P248" s="16">
        <f t="shared" si="16"/>
        <v>2500</v>
      </c>
    </row>
    <row r="249" spans="1:16" ht="13.5" customHeight="1">
      <c r="A249" s="78"/>
      <c r="B249" s="78"/>
      <c r="C249" s="14" t="s">
        <v>54</v>
      </c>
      <c r="D249" s="65"/>
      <c r="E249" s="65">
        <v>2</v>
      </c>
      <c r="F249" s="13"/>
      <c r="G249" s="13"/>
      <c r="H249" s="13">
        <v>1250</v>
      </c>
      <c r="I249" s="13"/>
      <c r="J249" s="13"/>
      <c r="K249" s="13"/>
      <c r="L249" s="13"/>
      <c r="M249" s="13"/>
      <c r="N249" s="13"/>
      <c r="O249" s="13"/>
      <c r="P249" s="16">
        <f t="shared" si="16"/>
        <v>1250</v>
      </c>
    </row>
    <row r="250" spans="1:16" ht="24.75" customHeight="1">
      <c r="A250" s="78"/>
      <c r="B250" s="78"/>
      <c r="C250" s="1263" t="s">
        <v>1488</v>
      </c>
      <c r="D250" s="1264"/>
      <c r="E250" s="212">
        <v>1</v>
      </c>
      <c r="F250" s="13"/>
      <c r="G250" s="13"/>
      <c r="H250" s="13">
        <v>1000</v>
      </c>
      <c r="I250" s="13"/>
      <c r="J250" s="13"/>
      <c r="K250" s="13"/>
      <c r="L250" s="13"/>
      <c r="M250" s="13"/>
      <c r="N250" s="13"/>
      <c r="O250" s="13"/>
      <c r="P250" s="16">
        <f t="shared" si="16"/>
        <v>1000</v>
      </c>
    </row>
    <row r="251" spans="1:16" ht="13.5" customHeight="1">
      <c r="A251" s="78"/>
      <c r="B251" s="78"/>
      <c r="C251" s="14" t="s">
        <v>915</v>
      </c>
      <c r="D251" s="65"/>
      <c r="E251" s="65">
        <v>1</v>
      </c>
      <c r="F251" s="13"/>
      <c r="G251" s="13"/>
      <c r="H251" s="13">
        <v>8000</v>
      </c>
      <c r="I251" s="134"/>
      <c r="J251" s="134"/>
      <c r="K251" s="13"/>
      <c r="L251" s="13"/>
      <c r="M251" s="13"/>
      <c r="N251" s="13"/>
      <c r="O251" s="13"/>
      <c r="P251" s="16">
        <f t="shared" si="16"/>
        <v>8000</v>
      </c>
    </row>
    <row r="252" spans="1:16" ht="13.5" customHeight="1">
      <c r="A252" s="78"/>
      <c r="B252" s="78"/>
      <c r="C252" s="14" t="s">
        <v>1517</v>
      </c>
      <c r="D252" s="65"/>
      <c r="E252" s="65">
        <v>1</v>
      </c>
      <c r="F252" s="13"/>
      <c r="G252" s="13"/>
      <c r="H252" s="13">
        <v>500</v>
      </c>
      <c r="I252" s="134"/>
      <c r="J252" s="134"/>
      <c r="K252" s="13"/>
      <c r="L252" s="13"/>
      <c r="M252" s="13"/>
      <c r="N252" s="13"/>
      <c r="O252" s="13"/>
      <c r="P252" s="16">
        <f t="shared" si="16"/>
        <v>500</v>
      </c>
    </row>
    <row r="253" spans="1:16" ht="24.75" customHeight="1">
      <c r="A253" s="78"/>
      <c r="B253" s="78"/>
      <c r="C253" s="1263" t="s">
        <v>1081</v>
      </c>
      <c r="D253" s="1264"/>
      <c r="E253" s="212">
        <v>2</v>
      </c>
      <c r="F253" s="13"/>
      <c r="G253" s="13"/>
      <c r="H253" s="13">
        <v>1000</v>
      </c>
      <c r="I253" s="134"/>
      <c r="J253" s="134"/>
      <c r="K253" s="13"/>
      <c r="L253" s="13"/>
      <c r="M253" s="13"/>
      <c r="N253" s="13"/>
      <c r="O253" s="13"/>
      <c r="P253" s="16">
        <f t="shared" si="16"/>
        <v>1000</v>
      </c>
    </row>
    <row r="254" spans="1:16" ht="13.5" customHeight="1">
      <c r="A254" s="78"/>
      <c r="B254" s="78"/>
      <c r="C254" s="14" t="s">
        <v>1534</v>
      </c>
      <c r="D254" s="65"/>
      <c r="E254" s="65">
        <v>1</v>
      </c>
      <c r="F254" s="13"/>
      <c r="G254" s="13"/>
      <c r="H254" s="13">
        <v>1425</v>
      </c>
      <c r="I254" s="134"/>
      <c r="J254" s="134"/>
      <c r="K254" s="13"/>
      <c r="L254" s="13"/>
      <c r="M254" s="13"/>
      <c r="N254" s="13"/>
      <c r="O254" s="13"/>
      <c r="P254" s="16">
        <f t="shared" si="16"/>
        <v>1425</v>
      </c>
    </row>
    <row r="255" spans="1:16" ht="13.5" customHeight="1">
      <c r="A255" s="78"/>
      <c r="B255" s="78"/>
      <c r="C255" s="14" t="s">
        <v>842</v>
      </c>
      <c r="D255" s="65"/>
      <c r="E255" s="65">
        <v>1</v>
      </c>
      <c r="F255" s="13"/>
      <c r="G255" s="13"/>
      <c r="H255" s="13">
        <v>3000</v>
      </c>
      <c r="I255" s="134"/>
      <c r="J255" s="134"/>
      <c r="K255" s="13"/>
      <c r="L255" s="13"/>
      <c r="M255" s="13"/>
      <c r="N255" s="13"/>
      <c r="O255" s="13"/>
      <c r="P255" s="16">
        <f t="shared" si="16"/>
        <v>3000</v>
      </c>
    </row>
    <row r="256" spans="1:16" ht="13.5" customHeight="1">
      <c r="A256" s="78"/>
      <c r="B256" s="78"/>
      <c r="C256" s="732" t="s">
        <v>1433</v>
      </c>
      <c r="D256" s="1314"/>
      <c r="E256" s="65"/>
      <c r="F256" s="13"/>
      <c r="G256" s="13"/>
      <c r="H256" s="13"/>
      <c r="I256" s="134"/>
      <c r="J256" s="134"/>
      <c r="K256" s="13"/>
      <c r="L256" s="13"/>
      <c r="M256" s="13"/>
      <c r="N256" s="13"/>
      <c r="O256" s="13"/>
      <c r="P256" s="16"/>
    </row>
    <row r="257" spans="1:16" ht="13.5" customHeight="1">
      <c r="A257" s="78"/>
      <c r="B257" s="78"/>
      <c r="C257" s="14" t="s">
        <v>1575</v>
      </c>
      <c r="D257" s="65"/>
      <c r="E257" s="65">
        <v>2</v>
      </c>
      <c r="F257" s="13"/>
      <c r="G257" s="13"/>
      <c r="H257" s="13"/>
      <c r="I257" s="134"/>
      <c r="J257" s="13">
        <v>400</v>
      </c>
      <c r="K257" s="13"/>
      <c r="L257" s="13"/>
      <c r="M257" s="13"/>
      <c r="N257" s="13"/>
      <c r="O257" s="13"/>
      <c r="P257" s="16">
        <f t="shared" si="16"/>
        <v>400</v>
      </c>
    </row>
    <row r="258" spans="1:16" ht="13.5" customHeight="1">
      <c r="A258" s="68"/>
      <c r="B258" s="68"/>
      <c r="C258" s="71" t="s">
        <v>356</v>
      </c>
      <c r="D258" s="72"/>
      <c r="E258" s="72"/>
      <c r="F258" s="76">
        <f>SUM(F227:F257)</f>
        <v>0</v>
      </c>
      <c r="G258" s="76">
        <f aca="true" t="shared" si="17" ref="G258:P258">SUM(G227:G257)</f>
        <v>0</v>
      </c>
      <c r="H258" s="76">
        <f t="shared" si="17"/>
        <v>172175</v>
      </c>
      <c r="I258" s="76">
        <f t="shared" si="17"/>
        <v>0</v>
      </c>
      <c r="J258" s="76">
        <f t="shared" si="17"/>
        <v>20400</v>
      </c>
      <c r="K258" s="76">
        <f t="shared" si="17"/>
        <v>0</v>
      </c>
      <c r="L258" s="76">
        <f t="shared" si="17"/>
        <v>0</v>
      </c>
      <c r="M258" s="76">
        <f t="shared" si="17"/>
        <v>0</v>
      </c>
      <c r="N258" s="76"/>
      <c r="O258" s="76">
        <f t="shared" si="17"/>
        <v>0</v>
      </c>
      <c r="P258" s="76">
        <f t="shared" si="17"/>
        <v>192575</v>
      </c>
    </row>
    <row r="259" spans="1:16" ht="13.5" customHeight="1">
      <c r="A259" s="87"/>
      <c r="B259" s="87"/>
      <c r="C259" s="91" t="s">
        <v>1883</v>
      </c>
      <c r="D259" s="92"/>
      <c r="E259" s="92"/>
      <c r="F259" s="89"/>
      <c r="G259" s="89"/>
      <c r="H259" s="89"/>
      <c r="I259" s="89"/>
      <c r="J259" s="89"/>
      <c r="K259" s="90"/>
      <c r="L259" s="90">
        <v>31564</v>
      </c>
      <c r="M259" s="90">
        <v>11131</v>
      </c>
      <c r="N259" s="90"/>
      <c r="O259" s="89"/>
      <c r="P259" s="90">
        <f t="shared" si="16"/>
        <v>42695</v>
      </c>
    </row>
    <row r="260" spans="1:16" ht="13.5" customHeight="1">
      <c r="A260" s="93"/>
      <c r="B260" s="93"/>
      <c r="C260" s="91" t="s">
        <v>1884</v>
      </c>
      <c r="D260" s="94"/>
      <c r="E260" s="94"/>
      <c r="F260" s="90"/>
      <c r="G260" s="89"/>
      <c r="H260" s="89"/>
      <c r="I260" s="89"/>
      <c r="J260" s="89"/>
      <c r="K260" s="90">
        <v>448983</v>
      </c>
      <c r="L260" s="90"/>
      <c r="M260" s="90">
        <v>300</v>
      </c>
      <c r="N260" s="90"/>
      <c r="O260" s="89"/>
      <c r="P260" s="90">
        <f t="shared" si="16"/>
        <v>449283</v>
      </c>
    </row>
    <row r="261" spans="1:16" ht="13.5" customHeight="1">
      <c r="A261" s="68"/>
      <c r="B261" s="68"/>
      <c r="C261" s="71" t="s">
        <v>1672</v>
      </c>
      <c r="D261" s="72"/>
      <c r="E261" s="72"/>
      <c r="F261" s="76">
        <f aca="true" t="shared" si="18" ref="F261:O261">SUM(F258:F260)</f>
        <v>0</v>
      </c>
      <c r="G261" s="76">
        <f t="shared" si="18"/>
        <v>0</v>
      </c>
      <c r="H261" s="76">
        <f t="shared" si="18"/>
        <v>172175</v>
      </c>
      <c r="I261" s="76">
        <f t="shared" si="18"/>
        <v>0</v>
      </c>
      <c r="J261" s="76">
        <f t="shared" si="18"/>
        <v>20400</v>
      </c>
      <c r="K261" s="76">
        <f t="shared" si="18"/>
        <v>448983</v>
      </c>
      <c r="L261" s="76">
        <f t="shared" si="18"/>
        <v>31564</v>
      </c>
      <c r="M261" s="76">
        <f t="shared" si="18"/>
        <v>11431</v>
      </c>
      <c r="N261" s="76"/>
      <c r="O261" s="76">
        <f t="shared" si="18"/>
        <v>0</v>
      </c>
      <c r="P261" s="76">
        <f>SUM(P258:P260)</f>
        <v>684553</v>
      </c>
    </row>
    <row r="262" spans="1:16" ht="13.5" customHeight="1">
      <c r="A262" s="78">
        <v>1</v>
      </c>
      <c r="B262" s="78">
        <v>18</v>
      </c>
      <c r="C262" s="19" t="s">
        <v>357</v>
      </c>
      <c r="D262" s="18"/>
      <c r="E262" s="18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</row>
    <row r="263" spans="1:16" ht="13.5" customHeight="1">
      <c r="A263" s="78"/>
      <c r="B263" s="78"/>
      <c r="C263" s="1261" t="s">
        <v>1472</v>
      </c>
      <c r="D263" s="1262"/>
      <c r="E263" s="140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</row>
    <row r="264" spans="1:16" ht="13.5" customHeight="1">
      <c r="A264" s="78"/>
      <c r="B264" s="78"/>
      <c r="C264" s="15" t="s">
        <v>1174</v>
      </c>
      <c r="D264" s="79"/>
      <c r="E264" s="65">
        <v>2</v>
      </c>
      <c r="F264" s="16"/>
      <c r="G264" s="16"/>
      <c r="H264" s="13">
        <v>8000</v>
      </c>
      <c r="I264" s="16"/>
      <c r="J264" s="16"/>
      <c r="K264" s="16"/>
      <c r="L264" s="16"/>
      <c r="M264" s="16"/>
      <c r="N264" s="16"/>
      <c r="O264" s="16"/>
      <c r="P264" s="16">
        <f>SUM(F264:O264)</f>
        <v>8000</v>
      </c>
    </row>
    <row r="265" spans="1:16" ht="15" customHeight="1">
      <c r="A265" s="78"/>
      <c r="B265" s="78"/>
      <c r="C265" s="1251" t="s">
        <v>1553</v>
      </c>
      <c r="D265" s="1252"/>
      <c r="E265" s="210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</row>
    <row r="266" spans="1:16" ht="24.75" customHeight="1">
      <c r="A266" s="78"/>
      <c r="B266" s="78"/>
      <c r="C266" s="1249" t="s">
        <v>359</v>
      </c>
      <c r="D266" s="1250"/>
      <c r="E266" s="140">
        <v>1</v>
      </c>
      <c r="F266" s="16"/>
      <c r="G266" s="16"/>
      <c r="H266" s="16">
        <v>5000</v>
      </c>
      <c r="I266" s="16"/>
      <c r="J266" s="16"/>
      <c r="K266" s="16"/>
      <c r="L266" s="16"/>
      <c r="M266" s="16"/>
      <c r="N266" s="16"/>
      <c r="O266" s="16"/>
      <c r="P266" s="16">
        <f>SUM(F266:O266)</f>
        <v>5000</v>
      </c>
    </row>
    <row r="267" spans="1:16" ht="24.75" customHeight="1">
      <c r="A267" s="78"/>
      <c r="B267" s="78"/>
      <c r="C267" s="764" t="s">
        <v>100</v>
      </c>
      <c r="D267" s="765"/>
      <c r="E267" s="140">
        <v>1</v>
      </c>
      <c r="F267" s="16"/>
      <c r="G267" s="16"/>
      <c r="H267" s="16">
        <v>17000</v>
      </c>
      <c r="I267" s="16"/>
      <c r="J267" s="16"/>
      <c r="K267" s="16"/>
      <c r="L267" s="16"/>
      <c r="M267" s="16"/>
      <c r="N267" s="16"/>
      <c r="O267" s="16"/>
      <c r="P267" s="16">
        <f>SUM(F267:O267)</f>
        <v>17000</v>
      </c>
    </row>
    <row r="268" spans="1:16" ht="15" customHeight="1">
      <c r="A268" s="78"/>
      <c r="B268" s="78"/>
      <c r="C268" s="1249" t="s">
        <v>1434</v>
      </c>
      <c r="D268" s="1250"/>
      <c r="E268" s="140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</row>
    <row r="269" spans="1:16" ht="15" customHeight="1">
      <c r="A269" s="78"/>
      <c r="B269" s="78"/>
      <c r="C269" s="1249" t="s">
        <v>927</v>
      </c>
      <c r="D269" s="1250"/>
      <c r="E269" s="140">
        <v>1</v>
      </c>
      <c r="F269" s="16"/>
      <c r="G269" s="16"/>
      <c r="H269" s="16">
        <v>200</v>
      </c>
      <c r="I269" s="16"/>
      <c r="J269" s="16"/>
      <c r="K269" s="16"/>
      <c r="L269" s="16"/>
      <c r="M269" s="16"/>
      <c r="N269" s="16"/>
      <c r="O269" s="16"/>
      <c r="P269" s="16">
        <f>SUM(F269:O269)</f>
        <v>200</v>
      </c>
    </row>
    <row r="270" spans="1:16" ht="13.5" customHeight="1">
      <c r="A270" s="95"/>
      <c r="B270" s="95"/>
      <c r="C270" s="16" t="s">
        <v>916</v>
      </c>
      <c r="D270" s="16"/>
      <c r="E270" s="16">
        <v>1</v>
      </c>
      <c r="F270" s="95"/>
      <c r="G270" s="95"/>
      <c r="H270" s="96">
        <v>150</v>
      </c>
      <c r="I270" s="97"/>
      <c r="J270" s="97"/>
      <c r="K270" s="95"/>
      <c r="L270" s="95"/>
      <c r="M270" s="95"/>
      <c r="N270" s="95"/>
      <c r="O270" s="95"/>
      <c r="P270" s="16">
        <f>SUM(F270:O270)</f>
        <v>150</v>
      </c>
    </row>
    <row r="271" spans="1:16" ht="15" customHeight="1">
      <c r="A271" s="76"/>
      <c r="B271" s="76"/>
      <c r="C271" s="71" t="s">
        <v>935</v>
      </c>
      <c r="D271" s="72"/>
      <c r="E271" s="72"/>
      <c r="F271" s="76"/>
      <c r="G271" s="76"/>
      <c r="H271" s="76">
        <f>SUM(H262:H270)</f>
        <v>30350</v>
      </c>
      <c r="I271" s="76">
        <f aca="true" t="shared" si="19" ref="I271:P271">SUM(I262:I270)</f>
        <v>0</v>
      </c>
      <c r="J271" s="76">
        <f t="shared" si="19"/>
        <v>0</v>
      </c>
      <c r="K271" s="76">
        <f t="shared" si="19"/>
        <v>0</v>
      </c>
      <c r="L271" s="76">
        <f t="shared" si="19"/>
        <v>0</v>
      </c>
      <c r="M271" s="76">
        <f t="shared" si="19"/>
        <v>0</v>
      </c>
      <c r="N271" s="76"/>
      <c r="O271" s="76">
        <f t="shared" si="19"/>
        <v>0</v>
      </c>
      <c r="P271" s="76">
        <f t="shared" si="19"/>
        <v>30350</v>
      </c>
    </row>
    <row r="272" spans="1:16" ht="15" customHeight="1">
      <c r="A272" s="70"/>
      <c r="B272" s="70"/>
      <c r="C272" s="91" t="s">
        <v>1884</v>
      </c>
      <c r="D272" s="74"/>
      <c r="E272" s="74"/>
      <c r="F272" s="70"/>
      <c r="G272" s="70"/>
      <c r="H272" s="70"/>
      <c r="I272" s="70"/>
      <c r="J272" s="70"/>
      <c r="K272" s="70">
        <v>500</v>
      </c>
      <c r="L272" s="70"/>
      <c r="M272" s="13"/>
      <c r="N272" s="13"/>
      <c r="O272" s="70"/>
      <c r="P272" s="70">
        <f>SUM(F272:O272)</f>
        <v>500</v>
      </c>
    </row>
    <row r="273" spans="1:16" ht="15" customHeight="1">
      <c r="A273" s="76"/>
      <c r="B273" s="76"/>
      <c r="C273" s="71" t="s">
        <v>935</v>
      </c>
      <c r="D273" s="72"/>
      <c r="E273" s="72"/>
      <c r="F273" s="76">
        <f aca="true" t="shared" si="20" ref="F273:P273">SUM(F271:F272)</f>
        <v>0</v>
      </c>
      <c r="G273" s="76">
        <f t="shared" si="20"/>
        <v>0</v>
      </c>
      <c r="H273" s="76">
        <f t="shared" si="20"/>
        <v>30350</v>
      </c>
      <c r="I273" s="76">
        <f t="shared" si="20"/>
        <v>0</v>
      </c>
      <c r="J273" s="76">
        <f t="shared" si="20"/>
        <v>0</v>
      </c>
      <c r="K273" s="76">
        <f t="shared" si="20"/>
        <v>500</v>
      </c>
      <c r="L273" s="76"/>
      <c r="M273" s="76">
        <f t="shared" si="20"/>
        <v>0</v>
      </c>
      <c r="N273" s="76"/>
      <c r="O273" s="76">
        <f t="shared" si="20"/>
        <v>0</v>
      </c>
      <c r="P273" s="76">
        <f t="shared" si="20"/>
        <v>30850</v>
      </c>
    </row>
    <row r="274" spans="1:16" ht="15" customHeight="1">
      <c r="A274" s="78">
        <v>1</v>
      </c>
      <c r="B274" s="78">
        <v>19</v>
      </c>
      <c r="C274" s="19" t="s">
        <v>936</v>
      </c>
      <c r="D274" s="79"/>
      <c r="E274" s="79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</row>
    <row r="275" spans="1:16" ht="15" customHeight="1">
      <c r="A275" s="78"/>
      <c r="B275" s="78"/>
      <c r="C275" s="766" t="s">
        <v>1435</v>
      </c>
      <c r="D275" s="727"/>
      <c r="E275" s="140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</row>
    <row r="276" spans="1:16" ht="15" customHeight="1">
      <c r="A276" s="78"/>
      <c r="B276" s="78"/>
      <c r="C276" s="1261" t="s">
        <v>1535</v>
      </c>
      <c r="D276" s="1262"/>
      <c r="E276" s="140">
        <v>1</v>
      </c>
      <c r="F276" s="16"/>
      <c r="G276" s="16"/>
      <c r="H276" s="16">
        <v>10000</v>
      </c>
      <c r="I276" s="16"/>
      <c r="J276" s="16"/>
      <c r="K276" s="16"/>
      <c r="L276" s="16"/>
      <c r="M276" s="16"/>
      <c r="N276" s="16"/>
      <c r="O276" s="16"/>
      <c r="P276" s="16">
        <f>SUM(F276:O276)</f>
        <v>10000</v>
      </c>
    </row>
    <row r="277" spans="1:16" ht="15" customHeight="1">
      <c r="A277" s="78"/>
      <c r="B277" s="78"/>
      <c r="C277" s="1251" t="s">
        <v>1553</v>
      </c>
      <c r="D277" s="1252"/>
      <c r="E277" s="210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</row>
    <row r="278" spans="1:16" ht="15" customHeight="1">
      <c r="A278" s="78"/>
      <c r="B278" s="78"/>
      <c r="C278" s="1261" t="s">
        <v>937</v>
      </c>
      <c r="D278" s="1262"/>
      <c r="E278" s="140">
        <v>1</v>
      </c>
      <c r="F278" s="16"/>
      <c r="G278" s="16"/>
      <c r="H278" s="16">
        <v>20000</v>
      </c>
      <c r="I278" s="16"/>
      <c r="J278" s="16"/>
      <c r="K278" s="16"/>
      <c r="L278" s="16"/>
      <c r="M278" s="16"/>
      <c r="N278" s="16"/>
      <c r="O278" s="16"/>
      <c r="P278" s="16">
        <f>SUM(F278:O278)</f>
        <v>20000</v>
      </c>
    </row>
    <row r="279" spans="1:16" ht="15" customHeight="1">
      <c r="A279" s="78"/>
      <c r="B279" s="78"/>
      <c r="C279" s="15" t="s">
        <v>938</v>
      </c>
      <c r="D279" s="79"/>
      <c r="E279" s="79">
        <v>1</v>
      </c>
      <c r="F279" s="16"/>
      <c r="G279" s="16"/>
      <c r="H279" s="13">
        <v>191784</v>
      </c>
      <c r="I279" s="13"/>
      <c r="J279" s="13"/>
      <c r="K279" s="16"/>
      <c r="L279" s="16"/>
      <c r="M279" s="16"/>
      <c r="N279" s="16"/>
      <c r="O279" s="16"/>
      <c r="P279" s="16">
        <f>SUM(F279:O279)</f>
        <v>191784</v>
      </c>
    </row>
    <row r="280" spans="1:16" ht="15" customHeight="1">
      <c r="A280" s="78"/>
      <c r="B280" s="78"/>
      <c r="C280" s="15" t="s">
        <v>940</v>
      </c>
      <c r="D280" s="79"/>
      <c r="E280" s="79">
        <v>1</v>
      </c>
      <c r="F280" s="16"/>
      <c r="G280" s="16"/>
      <c r="H280" s="13">
        <v>2900</v>
      </c>
      <c r="I280" s="16"/>
      <c r="J280" s="16"/>
      <c r="K280" s="16"/>
      <c r="L280" s="16"/>
      <c r="M280" s="16"/>
      <c r="N280" s="16"/>
      <c r="O280" s="16"/>
      <c r="P280" s="16">
        <f>SUM(F280:O280)</f>
        <v>2900</v>
      </c>
    </row>
    <row r="281" spans="1:16" ht="15" customHeight="1">
      <c r="A281" s="78"/>
      <c r="B281" s="78"/>
      <c r="C281" s="1266" t="s">
        <v>99</v>
      </c>
      <c r="D281" s="1267"/>
      <c r="E281" s="79">
        <v>1</v>
      </c>
      <c r="F281" s="16"/>
      <c r="G281" s="16"/>
      <c r="H281" s="13">
        <v>2134</v>
      </c>
      <c r="I281" s="16"/>
      <c r="J281" s="16"/>
      <c r="K281" s="16"/>
      <c r="L281" s="16"/>
      <c r="M281" s="16"/>
      <c r="N281" s="16"/>
      <c r="O281" s="16"/>
      <c r="P281" s="16">
        <f>SUM(F281:O281)</f>
        <v>2134</v>
      </c>
    </row>
    <row r="282" spans="1:16" ht="15" customHeight="1">
      <c r="A282" s="78"/>
      <c r="B282" s="78"/>
      <c r="C282" s="15" t="s">
        <v>1420</v>
      </c>
      <c r="D282" s="79"/>
      <c r="E282" s="79">
        <v>1</v>
      </c>
      <c r="F282" s="16"/>
      <c r="G282" s="16"/>
      <c r="H282" s="13">
        <v>20000</v>
      </c>
      <c r="I282" s="16"/>
      <c r="J282" s="16"/>
      <c r="K282" s="16"/>
      <c r="L282" s="16"/>
      <c r="M282" s="16"/>
      <c r="N282" s="16"/>
      <c r="O282" s="16"/>
      <c r="P282" s="16">
        <f>SUM(F282:O282)</f>
        <v>20000</v>
      </c>
    </row>
    <row r="283" spans="1:16" ht="15" customHeight="1">
      <c r="A283" s="78"/>
      <c r="B283" s="78"/>
      <c r="C283" s="15" t="s">
        <v>1472</v>
      </c>
      <c r="D283" s="79"/>
      <c r="E283" s="79"/>
      <c r="F283" s="16"/>
      <c r="G283" s="16"/>
      <c r="H283" s="13"/>
      <c r="I283" s="16"/>
      <c r="J283" s="16"/>
      <c r="K283" s="16"/>
      <c r="L283" s="16"/>
      <c r="M283" s="16"/>
      <c r="N283" s="16"/>
      <c r="O283" s="16"/>
      <c r="P283" s="16"/>
    </row>
    <row r="284" spans="1:16" ht="15" customHeight="1">
      <c r="A284" s="78"/>
      <c r="B284" s="78"/>
      <c r="C284" s="15" t="s">
        <v>939</v>
      </c>
      <c r="D284" s="79"/>
      <c r="E284" s="79">
        <v>1</v>
      </c>
      <c r="F284" s="16"/>
      <c r="G284" s="16"/>
      <c r="H284" s="13">
        <v>5000</v>
      </c>
      <c r="I284" s="16"/>
      <c r="J284" s="16"/>
      <c r="K284" s="16"/>
      <c r="L284" s="16"/>
      <c r="M284" s="16"/>
      <c r="N284" s="16"/>
      <c r="O284" s="16"/>
      <c r="P284" s="16">
        <f>SUM(F284:O284)</f>
        <v>5000</v>
      </c>
    </row>
    <row r="285" spans="1:16" ht="15" customHeight="1">
      <c r="A285" s="78"/>
      <c r="B285" s="78"/>
      <c r="C285" s="1209" t="s">
        <v>1436</v>
      </c>
      <c r="D285" s="1210"/>
      <c r="E285" s="217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</row>
    <row r="286" spans="1:16" ht="13.5" customHeight="1">
      <c r="A286" s="78"/>
      <c r="B286" s="78"/>
      <c r="C286" s="14" t="s">
        <v>276</v>
      </c>
      <c r="D286" s="65"/>
      <c r="E286" s="65">
        <v>1</v>
      </c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>
        <f>SUM(F286:O286)</f>
        <v>0</v>
      </c>
    </row>
    <row r="287" spans="1:16" ht="13.5" customHeight="1">
      <c r="A287" s="78"/>
      <c r="B287" s="78"/>
      <c r="C287" s="91" t="s">
        <v>1438</v>
      </c>
      <c r="D287" s="79"/>
      <c r="E287" s="79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>
        <f>SUM(F287:O287)</f>
        <v>0</v>
      </c>
    </row>
    <row r="288" spans="1:16" ht="13.5" customHeight="1">
      <c r="A288" s="78"/>
      <c r="B288" s="78"/>
      <c r="C288" s="15" t="s">
        <v>257</v>
      </c>
      <c r="D288" s="79"/>
      <c r="E288" s="79">
        <v>2</v>
      </c>
      <c r="F288" s="16"/>
      <c r="G288" s="16"/>
      <c r="H288" s="16"/>
      <c r="I288" s="16"/>
      <c r="J288" s="16">
        <v>4000</v>
      </c>
      <c r="K288" s="16"/>
      <c r="L288" s="16"/>
      <c r="M288" s="16"/>
      <c r="N288" s="16"/>
      <c r="O288" s="16"/>
      <c r="P288" s="16">
        <f>SUM(F288:O288)</f>
        <v>4000</v>
      </c>
    </row>
    <row r="289" spans="1:16" ht="13.5" customHeight="1">
      <c r="A289" s="78"/>
      <c r="B289" s="78"/>
      <c r="C289" s="15" t="s">
        <v>1439</v>
      </c>
      <c r="D289" s="79"/>
      <c r="E289" s="79"/>
      <c r="F289" s="13"/>
      <c r="G289" s="13"/>
      <c r="H289" s="13"/>
      <c r="I289" s="13"/>
      <c r="J289" s="13"/>
      <c r="K289" s="16"/>
      <c r="L289" s="16"/>
      <c r="M289" s="16"/>
      <c r="N289" s="16"/>
      <c r="O289" s="16"/>
      <c r="P289" s="16"/>
    </row>
    <row r="290" spans="1:16" ht="13.5" customHeight="1">
      <c r="A290" s="78"/>
      <c r="B290" s="78"/>
      <c r="C290" s="15" t="s">
        <v>944</v>
      </c>
      <c r="D290" s="79"/>
      <c r="E290" s="79">
        <v>2</v>
      </c>
      <c r="F290" s="13"/>
      <c r="G290" s="13"/>
      <c r="H290" s="13"/>
      <c r="I290" s="13"/>
      <c r="J290" s="13">
        <v>4500</v>
      </c>
      <c r="K290" s="16"/>
      <c r="L290" s="16"/>
      <c r="M290" s="16"/>
      <c r="N290" s="16"/>
      <c r="O290" s="16"/>
      <c r="P290" s="16">
        <f>SUM(F290:O290)</f>
        <v>4500</v>
      </c>
    </row>
    <row r="291" spans="1:16" ht="15" customHeight="1">
      <c r="A291" s="78"/>
      <c r="B291" s="78"/>
      <c r="C291" s="1251" t="s">
        <v>1553</v>
      </c>
      <c r="D291" s="1252"/>
      <c r="E291" s="210"/>
      <c r="F291" s="13"/>
      <c r="G291" s="13"/>
      <c r="H291" s="13"/>
      <c r="I291" s="13"/>
      <c r="J291" s="13"/>
      <c r="K291" s="16"/>
      <c r="L291" s="16"/>
      <c r="M291" s="16"/>
      <c r="N291" s="16"/>
      <c r="O291" s="16"/>
      <c r="P291" s="16"/>
    </row>
    <row r="292" spans="1:16" ht="13.5" customHeight="1">
      <c r="A292" s="78"/>
      <c r="B292" s="78"/>
      <c r="C292" s="15" t="s">
        <v>945</v>
      </c>
      <c r="D292" s="79"/>
      <c r="E292" s="79">
        <v>2</v>
      </c>
      <c r="F292" s="13"/>
      <c r="G292" s="13"/>
      <c r="H292" s="13">
        <v>1546</v>
      </c>
      <c r="I292" s="13"/>
      <c r="J292" s="13"/>
      <c r="K292" s="16"/>
      <c r="L292" s="16"/>
      <c r="M292" s="16"/>
      <c r="N292" s="16"/>
      <c r="O292" s="16"/>
      <c r="P292" s="16">
        <f>SUM(F292:O292)</f>
        <v>1546</v>
      </c>
    </row>
    <row r="293" spans="1:16" ht="13.5" customHeight="1">
      <c r="A293" s="78"/>
      <c r="B293" s="78"/>
      <c r="C293" s="15" t="s">
        <v>947</v>
      </c>
      <c r="D293" s="79"/>
      <c r="E293" s="79">
        <v>2</v>
      </c>
      <c r="F293" s="13"/>
      <c r="G293" s="13"/>
      <c r="H293" s="13">
        <v>4500</v>
      </c>
      <c r="I293" s="13"/>
      <c r="J293" s="13"/>
      <c r="K293" s="16"/>
      <c r="L293" s="16"/>
      <c r="M293" s="16"/>
      <c r="N293" s="16"/>
      <c r="O293" s="16"/>
      <c r="P293" s="16">
        <f>SUM(F293:O293)</f>
        <v>4500</v>
      </c>
    </row>
    <row r="294" spans="1:16" ht="13.5" customHeight="1">
      <c r="A294" s="78"/>
      <c r="B294" s="78"/>
      <c r="C294" s="15" t="s">
        <v>125</v>
      </c>
      <c r="D294" s="140"/>
      <c r="E294" s="140">
        <v>2</v>
      </c>
      <c r="F294" s="13"/>
      <c r="G294" s="13"/>
      <c r="H294" s="13"/>
      <c r="I294" s="13"/>
      <c r="J294" s="13">
        <v>2700</v>
      </c>
      <c r="K294" s="16"/>
      <c r="L294" s="16"/>
      <c r="M294" s="16"/>
      <c r="N294" s="16"/>
      <c r="O294" s="16"/>
      <c r="P294" s="16">
        <f>SUM(F294:O294)</f>
        <v>2700</v>
      </c>
    </row>
    <row r="295" spans="1:16" ht="24.75" customHeight="1">
      <c r="A295" s="78"/>
      <c r="B295" s="78"/>
      <c r="C295" s="1266" t="s">
        <v>829</v>
      </c>
      <c r="D295" s="1267"/>
      <c r="E295" s="140">
        <v>1</v>
      </c>
      <c r="F295" s="13"/>
      <c r="G295" s="13"/>
      <c r="H295" s="13"/>
      <c r="I295" s="13"/>
      <c r="J295" s="13">
        <v>383694</v>
      </c>
      <c r="K295" s="16"/>
      <c r="L295" s="16"/>
      <c r="M295" s="16"/>
      <c r="N295" s="16"/>
      <c r="O295" s="16"/>
      <c r="P295" s="16">
        <f>SUM(F295:O295)</f>
        <v>383694</v>
      </c>
    </row>
    <row r="296" spans="1:16" ht="13.5" customHeight="1">
      <c r="A296" s="78"/>
      <c r="B296" s="78"/>
      <c r="C296" s="1261" t="s">
        <v>1440</v>
      </c>
      <c r="D296" s="1262"/>
      <c r="E296" s="140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</row>
    <row r="297" spans="1:16" ht="13.5" customHeight="1">
      <c r="A297" s="78"/>
      <c r="B297" s="78"/>
      <c r="C297" s="15" t="s">
        <v>946</v>
      </c>
      <c r="D297" s="79"/>
      <c r="E297" s="79">
        <v>2</v>
      </c>
      <c r="F297" s="16"/>
      <c r="G297" s="16"/>
      <c r="H297" s="16"/>
      <c r="I297" s="16"/>
      <c r="J297" s="16">
        <v>52000</v>
      </c>
      <c r="K297" s="16"/>
      <c r="L297" s="16"/>
      <c r="M297" s="16"/>
      <c r="N297" s="16"/>
      <c r="O297" s="16"/>
      <c r="P297" s="16">
        <f>SUM(F297:O297)</f>
        <v>52000</v>
      </c>
    </row>
    <row r="298" spans="1:16" ht="15" customHeight="1">
      <c r="A298" s="78"/>
      <c r="B298" s="78"/>
      <c r="C298" s="1251" t="s">
        <v>1553</v>
      </c>
      <c r="D298" s="1252"/>
      <c r="E298" s="210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</row>
    <row r="299" spans="1:16" ht="13.5" customHeight="1">
      <c r="A299" s="78"/>
      <c r="B299" s="78"/>
      <c r="C299" s="15" t="s">
        <v>400</v>
      </c>
      <c r="D299" s="79"/>
      <c r="E299" s="79">
        <v>1</v>
      </c>
      <c r="F299" s="16"/>
      <c r="G299" s="16"/>
      <c r="H299" s="16">
        <v>13000</v>
      </c>
      <c r="I299" s="16"/>
      <c r="J299" s="16"/>
      <c r="K299" s="16"/>
      <c r="L299" s="16"/>
      <c r="M299" s="16"/>
      <c r="N299" s="16"/>
      <c r="O299" s="16"/>
      <c r="P299" s="16">
        <f>SUM(F299:O299)</f>
        <v>13000</v>
      </c>
    </row>
    <row r="300" spans="1:16" ht="13.5" customHeight="1">
      <c r="A300" s="78"/>
      <c r="B300" s="78"/>
      <c r="C300" s="1261" t="s">
        <v>1473</v>
      </c>
      <c r="D300" s="1262"/>
      <c r="E300" s="140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</row>
    <row r="301" spans="1:16" ht="24.75" customHeight="1">
      <c r="A301" s="78"/>
      <c r="B301" s="78"/>
      <c r="C301" s="1249" t="s">
        <v>753</v>
      </c>
      <c r="D301" s="1250"/>
      <c r="E301" s="210">
        <v>2</v>
      </c>
      <c r="F301" s="16"/>
      <c r="G301" s="16"/>
      <c r="H301" s="16"/>
      <c r="I301" s="16"/>
      <c r="J301" s="16">
        <v>770</v>
      </c>
      <c r="K301" s="16"/>
      <c r="L301" s="16"/>
      <c r="M301" s="16"/>
      <c r="N301" s="16"/>
      <c r="O301" s="16"/>
      <c r="P301" s="16">
        <f>SUM(F301:O301)</f>
        <v>770</v>
      </c>
    </row>
    <row r="302" spans="1:16" ht="24.75" customHeight="1">
      <c r="A302" s="78"/>
      <c r="B302" s="78"/>
      <c r="C302" s="1249" t="s">
        <v>754</v>
      </c>
      <c r="D302" s="1250"/>
      <c r="E302" s="210">
        <v>2</v>
      </c>
      <c r="F302" s="16"/>
      <c r="G302" s="16"/>
      <c r="H302" s="16"/>
      <c r="I302" s="16"/>
      <c r="J302" s="16">
        <v>2000</v>
      </c>
      <c r="K302" s="16"/>
      <c r="L302" s="16"/>
      <c r="M302" s="16"/>
      <c r="N302" s="16"/>
      <c r="O302" s="16"/>
      <c r="P302" s="16">
        <f>SUM(F302:O302)</f>
        <v>2000</v>
      </c>
    </row>
    <row r="303" spans="1:16" ht="13.5" customHeight="1">
      <c r="A303" s="78"/>
      <c r="B303" s="78"/>
      <c r="C303" s="1261" t="s">
        <v>1441</v>
      </c>
      <c r="D303" s="1262"/>
      <c r="E303" s="140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</row>
    <row r="304" spans="1:16" ht="13.5" customHeight="1">
      <c r="A304" s="78"/>
      <c r="B304" s="78"/>
      <c r="C304" s="1249" t="s">
        <v>948</v>
      </c>
      <c r="D304" s="1250"/>
      <c r="E304" s="215">
        <v>1</v>
      </c>
      <c r="F304" s="16"/>
      <c r="G304" s="16"/>
      <c r="H304" s="16"/>
      <c r="I304" s="13"/>
      <c r="J304" s="13">
        <v>150000</v>
      </c>
      <c r="K304" s="16"/>
      <c r="L304" s="16"/>
      <c r="M304" s="16"/>
      <c r="N304" s="16"/>
      <c r="O304" s="16"/>
      <c r="P304" s="16">
        <f aca="true" t="shared" si="21" ref="P304:P310">SUM(F304:O304)</f>
        <v>150000</v>
      </c>
    </row>
    <row r="305" spans="1:16" ht="15" customHeight="1">
      <c r="A305" s="78"/>
      <c r="B305" s="78"/>
      <c r="C305" s="1249" t="s">
        <v>1442</v>
      </c>
      <c r="D305" s="1250"/>
      <c r="E305" s="210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>
        <f t="shared" si="21"/>
        <v>0</v>
      </c>
    </row>
    <row r="306" spans="1:16" ht="21.75" customHeight="1">
      <c r="A306" s="78"/>
      <c r="B306" s="78"/>
      <c r="C306" s="1249" t="s">
        <v>949</v>
      </c>
      <c r="D306" s="1250"/>
      <c r="E306" s="210">
        <v>1</v>
      </c>
      <c r="F306" s="16"/>
      <c r="G306" s="16"/>
      <c r="H306" s="13">
        <v>21956</v>
      </c>
      <c r="I306" s="13"/>
      <c r="J306" s="13"/>
      <c r="K306" s="13"/>
      <c r="L306" s="13"/>
      <c r="M306" s="13"/>
      <c r="N306" s="13">
        <v>13244</v>
      </c>
      <c r="O306" s="16"/>
      <c r="P306" s="16">
        <f t="shared" si="21"/>
        <v>35200</v>
      </c>
    </row>
    <row r="307" spans="1:16" ht="15" customHeight="1">
      <c r="A307" s="78"/>
      <c r="B307" s="78"/>
      <c r="C307" s="764" t="s">
        <v>845</v>
      </c>
      <c r="D307" s="765"/>
      <c r="E307" s="210">
        <v>1</v>
      </c>
      <c r="F307" s="16"/>
      <c r="G307" s="16"/>
      <c r="H307" s="13"/>
      <c r="I307" s="13"/>
      <c r="J307" s="13"/>
      <c r="K307" s="13"/>
      <c r="L307" s="13"/>
      <c r="M307" s="13"/>
      <c r="N307" s="13"/>
      <c r="O307" s="16">
        <v>21424</v>
      </c>
      <c r="P307" s="16">
        <f t="shared" si="21"/>
        <v>21424</v>
      </c>
    </row>
    <row r="308" spans="1:16" ht="13.5" customHeight="1">
      <c r="A308" s="16"/>
      <c r="B308" s="16"/>
      <c r="C308" s="15" t="s">
        <v>942</v>
      </c>
      <c r="D308" s="140"/>
      <c r="E308" s="140">
        <v>2</v>
      </c>
      <c r="F308" s="16"/>
      <c r="G308" s="16"/>
      <c r="H308" s="16"/>
      <c r="I308" s="16"/>
      <c r="J308" s="16">
        <v>1000</v>
      </c>
      <c r="K308" s="16"/>
      <c r="L308" s="16"/>
      <c r="M308" s="16"/>
      <c r="N308" s="16"/>
      <c r="O308" s="16"/>
      <c r="P308" s="16">
        <f t="shared" si="21"/>
        <v>1000</v>
      </c>
    </row>
    <row r="309" spans="1:16" ht="13.5" customHeight="1">
      <c r="A309" s="78"/>
      <c r="B309" s="78"/>
      <c r="C309" s="766" t="s">
        <v>1428</v>
      </c>
      <c r="D309" s="727"/>
      <c r="E309" s="140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>
        <f t="shared" si="21"/>
        <v>0</v>
      </c>
    </row>
    <row r="310" spans="1:16" ht="13.5" customHeight="1">
      <c r="A310" s="78"/>
      <c r="B310" s="78"/>
      <c r="C310" s="15" t="s">
        <v>969</v>
      </c>
      <c r="D310" s="79"/>
      <c r="E310" s="79">
        <v>2</v>
      </c>
      <c r="F310" s="16"/>
      <c r="G310" s="16"/>
      <c r="H310" s="16"/>
      <c r="I310" s="16"/>
      <c r="J310" s="16">
        <v>43600</v>
      </c>
      <c r="K310" s="16"/>
      <c r="L310" s="16"/>
      <c r="M310" s="16"/>
      <c r="N310" s="16"/>
      <c r="O310" s="16"/>
      <c r="P310" s="16">
        <f t="shared" si="21"/>
        <v>43600</v>
      </c>
    </row>
    <row r="311" spans="1:16" ht="13.5" customHeight="1">
      <c r="A311" s="68"/>
      <c r="B311" s="68"/>
      <c r="C311" s="71" t="s">
        <v>970</v>
      </c>
      <c r="D311" s="72"/>
      <c r="E311" s="72"/>
      <c r="F311" s="76">
        <f aca="true" t="shared" si="22" ref="F311:P311">SUM(F274:F310)</f>
        <v>0</v>
      </c>
      <c r="G311" s="76">
        <f t="shared" si="22"/>
        <v>0</v>
      </c>
      <c r="H311" s="76">
        <f t="shared" si="22"/>
        <v>292820</v>
      </c>
      <c r="I311" s="76">
        <f t="shared" si="22"/>
        <v>0</v>
      </c>
      <c r="J311" s="76">
        <f t="shared" si="22"/>
        <v>644264</v>
      </c>
      <c r="K311" s="76">
        <f t="shared" si="22"/>
        <v>0</v>
      </c>
      <c r="L311" s="76">
        <f t="shared" si="22"/>
        <v>0</v>
      </c>
      <c r="M311" s="76">
        <f t="shared" si="22"/>
        <v>0</v>
      </c>
      <c r="N311" s="76">
        <f t="shared" si="22"/>
        <v>13244</v>
      </c>
      <c r="O311" s="76">
        <f t="shared" si="22"/>
        <v>21424</v>
      </c>
      <c r="P311" s="76">
        <f t="shared" si="22"/>
        <v>971752</v>
      </c>
    </row>
    <row r="312" spans="1:16" ht="13.5" customHeight="1">
      <c r="A312" s="84"/>
      <c r="B312" s="84"/>
      <c r="C312" s="15" t="s">
        <v>1882</v>
      </c>
      <c r="D312" s="79"/>
      <c r="E312" s="79"/>
      <c r="F312" s="17"/>
      <c r="G312" s="17"/>
      <c r="H312" s="17"/>
      <c r="I312" s="16"/>
      <c r="J312" s="16"/>
      <c r="K312" s="17"/>
      <c r="L312" s="17"/>
      <c r="M312" s="16">
        <v>5160</v>
      </c>
      <c r="N312" s="16"/>
      <c r="O312" s="17"/>
      <c r="P312" s="16">
        <f>SUM(F312:O312)</f>
        <v>5160</v>
      </c>
    </row>
    <row r="313" spans="1:16" ht="13.5" customHeight="1">
      <c r="A313" s="84"/>
      <c r="B313" s="84"/>
      <c r="C313" s="15" t="s">
        <v>1883</v>
      </c>
      <c r="D313" s="79"/>
      <c r="E313" s="79"/>
      <c r="F313" s="17"/>
      <c r="G313" s="17"/>
      <c r="H313" s="17"/>
      <c r="I313" s="16"/>
      <c r="J313" s="16"/>
      <c r="K313" s="16"/>
      <c r="L313" s="16"/>
      <c r="M313" s="16">
        <v>2000</v>
      </c>
      <c r="N313" s="16"/>
      <c r="O313" s="17"/>
      <c r="P313" s="16">
        <f>SUM(F313:O313)</f>
        <v>2000</v>
      </c>
    </row>
    <row r="314" spans="1:16" ht="13.5" customHeight="1">
      <c r="A314" s="68"/>
      <c r="B314" s="68"/>
      <c r="C314" s="71" t="s">
        <v>895</v>
      </c>
      <c r="D314" s="72"/>
      <c r="E314" s="72"/>
      <c r="F314" s="76">
        <f>SUM(F311:F313)</f>
        <v>0</v>
      </c>
      <c r="G314" s="76">
        <f>SUM(G311:G313)</f>
        <v>0</v>
      </c>
      <c r="H314" s="76">
        <f>SUM(H311:H313)</f>
        <v>292820</v>
      </c>
      <c r="I314" s="76">
        <f>SUM(I311:I313)</f>
        <v>0</v>
      </c>
      <c r="J314" s="76">
        <f>SUM(J311:J313)</f>
        <v>644264</v>
      </c>
      <c r="K314" s="76">
        <f>SUM(K312:K313)</f>
        <v>0</v>
      </c>
      <c r="L314" s="76">
        <f>SUM(L312:L313)</f>
        <v>0</v>
      </c>
      <c r="M314" s="76">
        <f>SUM(M312:M313)</f>
        <v>7160</v>
      </c>
      <c r="N314" s="76">
        <f>SUM(N311:N313)</f>
        <v>13244</v>
      </c>
      <c r="O314" s="76">
        <f>SUM(O311:O313)</f>
        <v>21424</v>
      </c>
      <c r="P314" s="76">
        <f>SUM(P311:P313)</f>
        <v>978912</v>
      </c>
    </row>
    <row r="315" spans="1:16" ht="24.75" customHeight="1">
      <c r="A315" s="77">
        <v>1</v>
      </c>
      <c r="B315" s="77">
        <v>20</v>
      </c>
      <c r="C315" s="1209" t="s">
        <v>1553</v>
      </c>
      <c r="D315" s="1210"/>
      <c r="E315" s="14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</row>
    <row r="316" spans="1:16" ht="13.5" customHeight="1">
      <c r="A316" s="68"/>
      <c r="B316" s="68"/>
      <c r="C316" s="71" t="s">
        <v>1515</v>
      </c>
      <c r="D316" s="72"/>
      <c r="E316" s="72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>
        <f>SUM(F316:O316)</f>
        <v>0</v>
      </c>
    </row>
    <row r="317" spans="1:16" ht="13.5" customHeight="1">
      <c r="A317" s="87">
        <v>1</v>
      </c>
      <c r="B317" s="87" t="s">
        <v>971</v>
      </c>
      <c r="C317" s="98" t="s">
        <v>972</v>
      </c>
      <c r="D317" s="92"/>
      <c r="E317" s="92"/>
      <c r="F317" s="89"/>
      <c r="G317" s="89"/>
      <c r="H317" s="85"/>
      <c r="I317" s="89"/>
      <c r="J317" s="89"/>
      <c r="K317" s="89"/>
      <c r="L317" s="89"/>
      <c r="M317" s="89"/>
      <c r="N317" s="89"/>
      <c r="O317" s="89"/>
      <c r="P317" s="89"/>
    </row>
    <row r="318" spans="1:16" ht="13.5" customHeight="1">
      <c r="A318" s="87"/>
      <c r="B318" s="87"/>
      <c r="C318" s="1251" t="s">
        <v>1553</v>
      </c>
      <c r="D318" s="1252"/>
      <c r="E318" s="140"/>
      <c r="F318" s="89"/>
      <c r="G318" s="89"/>
      <c r="H318" s="85"/>
      <c r="I318" s="89"/>
      <c r="J318" s="89"/>
      <c r="K318" s="89"/>
      <c r="L318" s="89"/>
      <c r="M318" s="89"/>
      <c r="N318" s="89"/>
      <c r="O318" s="89"/>
      <c r="P318" s="89"/>
    </row>
    <row r="319" spans="1:16" ht="13.5" customHeight="1">
      <c r="A319" s="87"/>
      <c r="B319" s="87"/>
      <c r="C319" s="91" t="s">
        <v>920</v>
      </c>
      <c r="D319" s="94"/>
      <c r="E319" s="94">
        <v>2</v>
      </c>
      <c r="F319" s="149">
        <v>1600</v>
      </c>
      <c r="G319" s="90">
        <v>2000</v>
      </c>
      <c r="H319" s="16">
        <v>15217</v>
      </c>
      <c r="I319" s="90"/>
      <c r="J319" s="90">
        <v>1200</v>
      </c>
      <c r="K319" s="135"/>
      <c r="L319" s="135"/>
      <c r="M319" s="135"/>
      <c r="N319" s="135"/>
      <c r="O319" s="135"/>
      <c r="P319" s="90">
        <f aca="true" t="shared" si="23" ref="P319:P327">SUM(F319:O319)</f>
        <v>20017</v>
      </c>
    </row>
    <row r="320" spans="1:16" ht="13.5" customHeight="1">
      <c r="A320" s="87"/>
      <c r="B320" s="87"/>
      <c r="C320" s="64" t="s">
        <v>730</v>
      </c>
      <c r="D320" s="136"/>
      <c r="E320" s="221">
        <v>1</v>
      </c>
      <c r="F320" s="149"/>
      <c r="G320" s="90"/>
      <c r="H320" s="90">
        <v>4000</v>
      </c>
      <c r="I320" s="90"/>
      <c r="J320" s="90">
        <v>2000</v>
      </c>
      <c r="K320" s="135"/>
      <c r="L320" s="135"/>
      <c r="M320" s="135"/>
      <c r="N320" s="135"/>
      <c r="O320" s="135"/>
      <c r="P320" s="90">
        <f t="shared" si="23"/>
        <v>6000</v>
      </c>
    </row>
    <row r="321" spans="1:16" ht="13.5" customHeight="1">
      <c r="A321" s="87"/>
      <c r="B321" s="87"/>
      <c r="C321" s="64" t="s">
        <v>485</v>
      </c>
      <c r="D321" s="136"/>
      <c r="E321" s="221">
        <v>2</v>
      </c>
      <c r="F321" s="149"/>
      <c r="G321" s="90"/>
      <c r="H321" s="90"/>
      <c r="I321" s="90"/>
      <c r="J321" s="90">
        <v>3000</v>
      </c>
      <c r="K321" s="135"/>
      <c r="L321" s="135"/>
      <c r="M321" s="135"/>
      <c r="N321" s="135"/>
      <c r="O321" s="135"/>
      <c r="P321" s="90">
        <f t="shared" si="23"/>
        <v>3000</v>
      </c>
    </row>
    <row r="322" spans="1:16" ht="13.5" customHeight="1">
      <c r="A322" s="87"/>
      <c r="B322" s="87"/>
      <c r="C322" s="64" t="s">
        <v>258</v>
      </c>
      <c r="D322" s="136"/>
      <c r="E322" s="221">
        <v>2</v>
      </c>
      <c r="F322" s="149"/>
      <c r="G322" s="90"/>
      <c r="H322" s="13">
        <v>8453</v>
      </c>
      <c r="I322" s="90"/>
      <c r="J322" s="90"/>
      <c r="K322" s="135"/>
      <c r="L322" s="135"/>
      <c r="M322" s="135"/>
      <c r="N322" s="135"/>
      <c r="O322" s="135"/>
      <c r="P322" s="90">
        <f t="shared" si="23"/>
        <v>8453</v>
      </c>
    </row>
    <row r="323" spans="1:16" ht="13.5" customHeight="1">
      <c r="A323" s="87"/>
      <c r="B323" s="87"/>
      <c r="C323" s="14" t="s">
        <v>399</v>
      </c>
      <c r="D323" s="136"/>
      <c r="E323" s="221">
        <v>1</v>
      </c>
      <c r="F323" s="149">
        <v>55730</v>
      </c>
      <c r="G323" s="90">
        <v>15047</v>
      </c>
      <c r="H323" s="13">
        <v>1073</v>
      </c>
      <c r="I323" s="90"/>
      <c r="J323" s="90"/>
      <c r="K323" s="135"/>
      <c r="L323" s="135"/>
      <c r="M323" s="135"/>
      <c r="N323" s="135"/>
      <c r="O323" s="135"/>
      <c r="P323" s="90">
        <f t="shared" si="23"/>
        <v>71850</v>
      </c>
    </row>
    <row r="324" spans="1:16" ht="13.5" customHeight="1">
      <c r="A324" s="87"/>
      <c r="B324" s="87"/>
      <c r="C324" s="14" t="s">
        <v>486</v>
      </c>
      <c r="D324" s="136"/>
      <c r="E324" s="221">
        <v>2</v>
      </c>
      <c r="F324" s="149"/>
      <c r="G324" s="90"/>
      <c r="H324" s="13">
        <v>954</v>
      </c>
      <c r="I324" s="90"/>
      <c r="J324" s="90"/>
      <c r="K324" s="135"/>
      <c r="L324" s="135"/>
      <c r="M324" s="135"/>
      <c r="N324" s="135"/>
      <c r="O324" s="135"/>
      <c r="P324" s="90">
        <f t="shared" si="23"/>
        <v>954</v>
      </c>
    </row>
    <row r="325" spans="1:16" ht="13.5" customHeight="1">
      <c r="A325" s="87"/>
      <c r="B325" s="87"/>
      <c r="C325" s="14" t="s">
        <v>487</v>
      </c>
      <c r="D325" s="136"/>
      <c r="E325" s="221">
        <v>2</v>
      </c>
      <c r="F325" s="149"/>
      <c r="G325" s="90"/>
      <c r="H325" s="13"/>
      <c r="I325" s="90"/>
      <c r="J325" s="90">
        <v>1000</v>
      </c>
      <c r="K325" s="135"/>
      <c r="L325" s="135"/>
      <c r="M325" s="135"/>
      <c r="N325" s="135"/>
      <c r="O325" s="135"/>
      <c r="P325" s="90">
        <f t="shared" si="23"/>
        <v>1000</v>
      </c>
    </row>
    <row r="326" spans="1:16" ht="13.5" customHeight="1">
      <c r="A326" s="87"/>
      <c r="B326" s="87"/>
      <c r="C326" s="14" t="s">
        <v>831</v>
      </c>
      <c r="D326" s="136"/>
      <c r="E326" s="221">
        <v>2</v>
      </c>
      <c r="F326" s="149"/>
      <c r="G326" s="90"/>
      <c r="H326" s="13">
        <v>1000</v>
      </c>
      <c r="I326" s="90"/>
      <c r="J326" s="90"/>
      <c r="K326" s="135"/>
      <c r="L326" s="135"/>
      <c r="M326" s="135"/>
      <c r="N326" s="135"/>
      <c r="O326" s="135"/>
      <c r="P326" s="90">
        <f t="shared" si="23"/>
        <v>1000</v>
      </c>
    </row>
    <row r="327" spans="1:16" ht="13.5" customHeight="1">
      <c r="A327" s="87"/>
      <c r="B327" s="87"/>
      <c r="C327" s="14" t="s">
        <v>832</v>
      </c>
      <c r="D327" s="136"/>
      <c r="E327" s="221">
        <v>2</v>
      </c>
      <c r="F327" s="149"/>
      <c r="G327" s="90"/>
      <c r="H327" s="13"/>
      <c r="I327" s="90"/>
      <c r="J327" s="90">
        <v>500</v>
      </c>
      <c r="K327" s="135"/>
      <c r="L327" s="135"/>
      <c r="M327" s="135"/>
      <c r="N327" s="135"/>
      <c r="O327" s="135"/>
      <c r="P327" s="90">
        <f t="shared" si="23"/>
        <v>500</v>
      </c>
    </row>
    <row r="328" spans="1:16" ht="13.5" customHeight="1">
      <c r="A328" s="87"/>
      <c r="B328" s="87"/>
      <c r="C328" s="1261" t="s">
        <v>1437</v>
      </c>
      <c r="D328" s="1262"/>
      <c r="E328" s="140"/>
      <c r="F328" s="16"/>
      <c r="G328" s="16"/>
      <c r="H328" s="13"/>
      <c r="I328" s="13"/>
      <c r="J328" s="13"/>
      <c r="K328" s="16"/>
      <c r="L328" s="16"/>
      <c r="M328" s="16"/>
      <c r="N328" s="16"/>
      <c r="O328" s="16"/>
      <c r="P328" s="16">
        <f>SUM(F328:O328)</f>
        <v>0</v>
      </c>
    </row>
    <row r="329" spans="1:16" ht="13.5" customHeight="1">
      <c r="A329" s="87"/>
      <c r="B329" s="87"/>
      <c r="C329" s="15" t="s">
        <v>919</v>
      </c>
      <c r="D329" s="79"/>
      <c r="E329" s="79">
        <v>2</v>
      </c>
      <c r="F329" s="16"/>
      <c r="G329" s="16"/>
      <c r="H329" s="13"/>
      <c r="I329" s="13"/>
      <c r="J329" s="13">
        <v>31000</v>
      </c>
      <c r="K329" s="16"/>
      <c r="L329" s="16"/>
      <c r="M329" s="16"/>
      <c r="N329" s="16"/>
      <c r="O329" s="16"/>
      <c r="P329" s="16">
        <f>SUM(F329:O329)</f>
        <v>31000</v>
      </c>
    </row>
    <row r="330" spans="1:16" ht="13.5" customHeight="1">
      <c r="A330" s="87"/>
      <c r="B330" s="87"/>
      <c r="C330" s="15" t="s">
        <v>941</v>
      </c>
      <c r="D330" s="79"/>
      <c r="E330" s="79">
        <v>2</v>
      </c>
      <c r="F330" s="16"/>
      <c r="G330" s="16"/>
      <c r="H330" s="13">
        <v>7200</v>
      </c>
      <c r="I330" s="13"/>
      <c r="J330" s="13"/>
      <c r="K330" s="16"/>
      <c r="L330" s="16"/>
      <c r="M330" s="16"/>
      <c r="N330" s="16"/>
      <c r="O330" s="16"/>
      <c r="P330" s="16">
        <f>SUM(F330:O330)</f>
        <v>7200</v>
      </c>
    </row>
    <row r="331" spans="1:16" ht="13.5" customHeight="1">
      <c r="A331" s="87"/>
      <c r="B331" s="87"/>
      <c r="C331" s="1261" t="s">
        <v>1474</v>
      </c>
      <c r="D331" s="1262"/>
      <c r="E331" s="140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</row>
    <row r="332" spans="1:16" ht="13.5" customHeight="1">
      <c r="A332" s="87"/>
      <c r="B332" s="87"/>
      <c r="C332" s="15" t="s">
        <v>943</v>
      </c>
      <c r="D332" s="79"/>
      <c r="E332" s="79">
        <v>2</v>
      </c>
      <c r="F332" s="13"/>
      <c r="G332" s="13"/>
      <c r="H332" s="13">
        <v>9000</v>
      </c>
      <c r="I332" s="13"/>
      <c r="J332" s="13"/>
      <c r="K332" s="16"/>
      <c r="L332" s="16"/>
      <c r="M332" s="16"/>
      <c r="N332" s="16"/>
      <c r="O332" s="16"/>
      <c r="P332" s="16">
        <f>SUM(F332:O332)</f>
        <v>9000</v>
      </c>
    </row>
    <row r="333" spans="1:16" ht="13.5" customHeight="1">
      <c r="A333" s="87"/>
      <c r="B333" s="87"/>
      <c r="C333" s="64" t="s">
        <v>1426</v>
      </c>
      <c r="D333" s="136"/>
      <c r="E333" s="221"/>
      <c r="F333" s="101"/>
      <c r="G333" s="90"/>
      <c r="H333" s="13"/>
      <c r="I333" s="90"/>
      <c r="J333" s="90"/>
      <c r="K333" s="135"/>
      <c r="L333" s="135"/>
      <c r="M333" s="135"/>
      <c r="N333" s="135"/>
      <c r="O333" s="135"/>
      <c r="P333" s="90"/>
    </row>
    <row r="334" spans="1:16" ht="13.5" customHeight="1">
      <c r="A334" s="87"/>
      <c r="B334" s="87"/>
      <c r="C334" s="1249" t="s">
        <v>68</v>
      </c>
      <c r="D334" s="1250"/>
      <c r="E334" s="222">
        <v>2</v>
      </c>
      <c r="F334" s="16"/>
      <c r="G334" s="16"/>
      <c r="H334" s="16">
        <v>900</v>
      </c>
      <c r="I334" s="16"/>
      <c r="J334" s="16">
        <v>7100</v>
      </c>
      <c r="K334" s="16"/>
      <c r="L334" s="16"/>
      <c r="M334" s="16"/>
      <c r="N334" s="16"/>
      <c r="O334" s="16"/>
      <c r="P334" s="16">
        <f>SUM(F334:O334)</f>
        <v>8000</v>
      </c>
    </row>
    <row r="335" spans="1:16" ht="13.5" customHeight="1">
      <c r="A335" s="87"/>
      <c r="B335" s="87"/>
      <c r="C335" s="141" t="s">
        <v>924</v>
      </c>
      <c r="D335" s="136"/>
      <c r="E335" s="221">
        <v>2</v>
      </c>
      <c r="F335" s="101"/>
      <c r="G335" s="90"/>
      <c r="H335" s="90">
        <v>17640</v>
      </c>
      <c r="I335" s="90"/>
      <c r="J335" s="90"/>
      <c r="K335" s="135"/>
      <c r="L335" s="135"/>
      <c r="M335" s="135"/>
      <c r="N335" s="135"/>
      <c r="O335" s="135"/>
      <c r="P335" s="90">
        <f>SUM(F335:O335)</f>
        <v>17640</v>
      </c>
    </row>
    <row r="336" spans="1:16" ht="13.5" customHeight="1">
      <c r="A336" s="87"/>
      <c r="B336" s="87"/>
      <c r="C336" s="137" t="s">
        <v>1443</v>
      </c>
      <c r="D336" s="136"/>
      <c r="E336" s="221"/>
      <c r="F336" s="101"/>
      <c r="G336" s="90"/>
      <c r="H336" s="90"/>
      <c r="I336" s="90"/>
      <c r="J336" s="90"/>
      <c r="K336" s="135"/>
      <c r="L336" s="135"/>
      <c r="M336" s="135"/>
      <c r="N336" s="135"/>
      <c r="O336" s="135"/>
      <c r="P336" s="90"/>
    </row>
    <row r="337" spans="1:16" ht="13.5" customHeight="1">
      <c r="A337" s="87"/>
      <c r="B337" s="87"/>
      <c r="C337" s="137" t="s">
        <v>925</v>
      </c>
      <c r="D337" s="136"/>
      <c r="E337" s="221">
        <v>1</v>
      </c>
      <c r="F337" s="101"/>
      <c r="G337" s="90"/>
      <c r="H337" s="90"/>
      <c r="I337" s="90"/>
      <c r="J337" s="90">
        <v>19000</v>
      </c>
      <c r="K337" s="135"/>
      <c r="L337" s="135"/>
      <c r="M337" s="135"/>
      <c r="N337" s="135"/>
      <c r="O337" s="135"/>
      <c r="P337" s="90">
        <f>SUM(F337:O337)</f>
        <v>19000</v>
      </c>
    </row>
    <row r="338" spans="1:16" ht="13.5" customHeight="1">
      <c r="A338" s="87"/>
      <c r="B338" s="87"/>
      <c r="C338" s="64" t="s">
        <v>926</v>
      </c>
      <c r="D338" s="136"/>
      <c r="E338" s="221">
        <v>1</v>
      </c>
      <c r="F338" s="101"/>
      <c r="G338" s="90"/>
      <c r="H338" s="90">
        <v>20000</v>
      </c>
      <c r="I338" s="90"/>
      <c r="J338" s="90"/>
      <c r="K338" s="135"/>
      <c r="L338" s="135"/>
      <c r="M338" s="135"/>
      <c r="N338" s="135"/>
      <c r="O338" s="135"/>
      <c r="P338" s="90">
        <f>SUM(F338:O338)</f>
        <v>20000</v>
      </c>
    </row>
    <row r="339" spans="1:16" ht="24.75" customHeight="1">
      <c r="A339" s="87"/>
      <c r="B339" s="87"/>
      <c r="C339" s="1321" t="s">
        <v>488</v>
      </c>
      <c r="D339" s="734"/>
      <c r="E339" s="221">
        <v>2</v>
      </c>
      <c r="F339" s="101"/>
      <c r="G339" s="90"/>
      <c r="H339" s="90"/>
      <c r="I339" s="90"/>
      <c r="J339" s="90">
        <v>3000</v>
      </c>
      <c r="K339" s="135"/>
      <c r="L339" s="135"/>
      <c r="M339" s="135"/>
      <c r="N339" s="135"/>
      <c r="O339" s="135"/>
      <c r="P339" s="90">
        <f>SUM(F339:O339)</f>
        <v>3000</v>
      </c>
    </row>
    <row r="340" spans="1:16" ht="13.5" customHeight="1">
      <c r="A340" s="68"/>
      <c r="B340" s="68"/>
      <c r="C340" s="86" t="s">
        <v>1690</v>
      </c>
      <c r="D340" s="102"/>
      <c r="E340" s="102"/>
      <c r="F340" s="103">
        <f>SUM(F319:F339)</f>
        <v>57330</v>
      </c>
      <c r="G340" s="103">
        <f aca="true" t="shared" si="24" ref="G340:P340">SUM(G319:G339)</f>
        <v>17047</v>
      </c>
      <c r="H340" s="103">
        <f t="shared" si="24"/>
        <v>85437</v>
      </c>
      <c r="I340" s="103">
        <f t="shared" si="24"/>
        <v>0</v>
      </c>
      <c r="J340" s="103">
        <f t="shared" si="24"/>
        <v>67800</v>
      </c>
      <c r="K340" s="103">
        <f t="shared" si="24"/>
        <v>0</v>
      </c>
      <c r="L340" s="103">
        <f t="shared" si="24"/>
        <v>0</v>
      </c>
      <c r="M340" s="103">
        <f t="shared" si="24"/>
        <v>0</v>
      </c>
      <c r="N340" s="103"/>
      <c r="O340" s="103">
        <f t="shared" si="24"/>
        <v>0</v>
      </c>
      <c r="P340" s="103">
        <f t="shared" si="24"/>
        <v>227614</v>
      </c>
    </row>
    <row r="341" spans="1:16" ht="13.5" customHeight="1">
      <c r="A341" s="87"/>
      <c r="B341" s="87"/>
      <c r="C341" s="99" t="s">
        <v>1398</v>
      </c>
      <c r="D341" s="100"/>
      <c r="E341" s="100"/>
      <c r="F341" s="89"/>
      <c r="G341" s="89"/>
      <c r="H341" s="90"/>
      <c r="I341" s="89"/>
      <c r="J341" s="89"/>
      <c r="K341" s="89"/>
      <c r="L341" s="89"/>
      <c r="M341" s="90"/>
      <c r="N341" s="90"/>
      <c r="O341" s="89"/>
      <c r="P341" s="90">
        <f>SUM(F341:O341)</f>
        <v>0</v>
      </c>
    </row>
    <row r="342" spans="1:152" s="105" customFormat="1" ht="13.5" customHeight="1">
      <c r="A342" s="68"/>
      <c r="B342" s="68"/>
      <c r="C342" s="71" t="s">
        <v>1691</v>
      </c>
      <c r="D342" s="72"/>
      <c r="E342" s="72"/>
      <c r="F342" s="76">
        <f aca="true" t="shared" si="25" ref="F342:P342">SUM(F340:F341)</f>
        <v>57330</v>
      </c>
      <c r="G342" s="76">
        <f t="shared" si="25"/>
        <v>17047</v>
      </c>
      <c r="H342" s="76">
        <f t="shared" si="25"/>
        <v>85437</v>
      </c>
      <c r="I342" s="76">
        <f t="shared" si="25"/>
        <v>0</v>
      </c>
      <c r="J342" s="76">
        <f t="shared" si="25"/>
        <v>67800</v>
      </c>
      <c r="K342" s="76">
        <f t="shared" si="25"/>
        <v>0</v>
      </c>
      <c r="L342" s="76">
        <f t="shared" si="25"/>
        <v>0</v>
      </c>
      <c r="M342" s="76">
        <f t="shared" si="25"/>
        <v>0</v>
      </c>
      <c r="N342" s="76"/>
      <c r="O342" s="76">
        <f t="shared" si="25"/>
        <v>0</v>
      </c>
      <c r="P342" s="76">
        <f t="shared" si="25"/>
        <v>227614</v>
      </c>
      <c r="Q342" s="104"/>
      <c r="R342" s="104"/>
      <c r="S342" s="104"/>
      <c r="T342" s="104"/>
      <c r="U342" s="104"/>
      <c r="V342" s="104"/>
      <c r="W342" s="104"/>
      <c r="X342" s="104"/>
      <c r="Y342" s="104"/>
      <c r="Z342" s="104"/>
      <c r="AA342" s="104"/>
      <c r="AB342" s="104"/>
      <c r="AC342" s="104"/>
      <c r="AD342" s="104"/>
      <c r="AE342" s="104"/>
      <c r="AF342" s="104"/>
      <c r="AG342" s="104"/>
      <c r="AH342" s="104"/>
      <c r="AI342" s="104"/>
      <c r="AJ342" s="104"/>
      <c r="AK342" s="104"/>
      <c r="AL342" s="104"/>
      <c r="AM342" s="104"/>
      <c r="AN342" s="104"/>
      <c r="AO342" s="104"/>
      <c r="AP342" s="104"/>
      <c r="AQ342" s="104"/>
      <c r="AR342" s="104"/>
      <c r="AS342" s="104"/>
      <c r="AT342" s="104"/>
      <c r="AU342" s="104"/>
      <c r="AV342" s="104"/>
      <c r="AW342" s="104"/>
      <c r="AX342" s="104"/>
      <c r="AY342" s="104"/>
      <c r="AZ342" s="104"/>
      <c r="BA342" s="104"/>
      <c r="BB342" s="104"/>
      <c r="BC342" s="104"/>
      <c r="BD342" s="104"/>
      <c r="BE342" s="104"/>
      <c r="BF342" s="104"/>
      <c r="BG342" s="104"/>
      <c r="BH342" s="104"/>
      <c r="BI342" s="104"/>
      <c r="BJ342" s="104"/>
      <c r="BK342" s="104"/>
      <c r="BL342" s="104"/>
      <c r="BM342" s="104"/>
      <c r="BN342" s="104"/>
      <c r="BO342" s="104"/>
      <c r="BP342" s="104"/>
      <c r="BQ342" s="104"/>
      <c r="BR342" s="104"/>
      <c r="BS342" s="104"/>
      <c r="BT342" s="104"/>
      <c r="BU342" s="104"/>
      <c r="BV342" s="104"/>
      <c r="BW342" s="104"/>
      <c r="BX342" s="104"/>
      <c r="BY342" s="104"/>
      <c r="BZ342" s="104"/>
      <c r="CA342" s="104"/>
      <c r="CB342" s="104"/>
      <c r="CC342" s="104"/>
      <c r="CD342" s="104"/>
      <c r="CE342" s="104"/>
      <c r="CF342" s="104"/>
      <c r="CG342" s="104"/>
      <c r="CH342" s="104"/>
      <c r="CI342" s="104"/>
      <c r="CJ342" s="104"/>
      <c r="CK342" s="104"/>
      <c r="CL342" s="104"/>
      <c r="CM342" s="104"/>
      <c r="CN342" s="104"/>
      <c r="CO342" s="104"/>
      <c r="CP342" s="104"/>
      <c r="CQ342" s="104"/>
      <c r="CR342" s="104"/>
      <c r="CS342" s="104"/>
      <c r="CT342" s="104"/>
      <c r="CU342" s="104"/>
      <c r="CV342" s="104"/>
      <c r="CW342" s="104"/>
      <c r="CX342" s="104"/>
      <c r="CY342" s="104"/>
      <c r="CZ342" s="104"/>
      <c r="DA342" s="104"/>
      <c r="DB342" s="104"/>
      <c r="DC342" s="104"/>
      <c r="DD342" s="104"/>
      <c r="DE342" s="104"/>
      <c r="DF342" s="104"/>
      <c r="DG342" s="104"/>
      <c r="DH342" s="104"/>
      <c r="DI342" s="104"/>
      <c r="DJ342" s="104"/>
      <c r="DK342" s="104"/>
      <c r="DL342" s="104"/>
      <c r="DM342" s="104"/>
      <c r="DN342" s="104"/>
      <c r="DO342" s="104"/>
      <c r="DP342" s="104"/>
      <c r="DQ342" s="104"/>
      <c r="DR342" s="104"/>
      <c r="DS342" s="104"/>
      <c r="DT342" s="104"/>
      <c r="DU342" s="104"/>
      <c r="DV342" s="104"/>
      <c r="DW342" s="104"/>
      <c r="DX342" s="104"/>
      <c r="DY342" s="104"/>
      <c r="DZ342" s="104"/>
      <c r="EA342" s="104"/>
      <c r="EB342" s="104"/>
      <c r="EC342" s="104"/>
      <c r="ED342" s="104"/>
      <c r="EE342" s="104"/>
      <c r="EF342" s="104"/>
      <c r="EG342" s="104"/>
      <c r="EH342" s="104"/>
      <c r="EI342" s="104"/>
      <c r="EJ342" s="104"/>
      <c r="EK342" s="104"/>
      <c r="EL342" s="104"/>
      <c r="EM342" s="104"/>
      <c r="EN342" s="104"/>
      <c r="EO342" s="104"/>
      <c r="EP342" s="104"/>
      <c r="EQ342" s="104"/>
      <c r="ER342" s="104"/>
      <c r="ES342" s="104"/>
      <c r="ET342" s="104"/>
      <c r="EU342" s="104"/>
      <c r="EV342" s="104"/>
    </row>
    <row r="343" spans="1:16" ht="13.5" customHeight="1">
      <c r="A343" s="84">
        <v>1</v>
      </c>
      <c r="B343" s="84">
        <v>30</v>
      </c>
      <c r="C343" s="19" t="s">
        <v>1444</v>
      </c>
      <c r="D343" s="79"/>
      <c r="E343" s="79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</row>
    <row r="344" spans="1:16" ht="13.5" customHeight="1">
      <c r="A344" s="84"/>
      <c r="B344" s="84">
        <v>31</v>
      </c>
      <c r="C344" s="19" t="s">
        <v>1692</v>
      </c>
      <c r="D344" s="18"/>
      <c r="E344" s="18"/>
      <c r="F344" s="17"/>
      <c r="G344" s="17"/>
      <c r="H344" s="17"/>
      <c r="I344" s="17"/>
      <c r="J344" s="16">
        <v>5000</v>
      </c>
      <c r="K344" s="17"/>
      <c r="L344" s="17"/>
      <c r="M344" s="17"/>
      <c r="N344" s="17"/>
      <c r="O344" s="16"/>
      <c r="P344" s="16">
        <f>SUM(F344:O344)</f>
        <v>5000</v>
      </c>
    </row>
    <row r="345" spans="1:16" ht="13.5" customHeight="1">
      <c r="A345" s="78"/>
      <c r="B345" s="78">
        <v>32</v>
      </c>
      <c r="C345" s="19" t="s">
        <v>1887</v>
      </c>
      <c r="D345" s="79"/>
      <c r="E345" s="79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</row>
    <row r="346" spans="1:16" ht="13.5" customHeight="1">
      <c r="A346" s="78"/>
      <c r="B346" s="78"/>
      <c r="C346" s="15" t="s">
        <v>1693</v>
      </c>
      <c r="D346" s="79"/>
      <c r="E346" s="79">
        <v>1</v>
      </c>
      <c r="F346" s="16"/>
      <c r="G346" s="16"/>
      <c r="H346" s="16"/>
      <c r="I346" s="16"/>
      <c r="J346" s="16">
        <v>27129</v>
      </c>
      <c r="K346" s="16"/>
      <c r="L346" s="16"/>
      <c r="M346" s="16"/>
      <c r="N346" s="16"/>
      <c r="O346" s="16"/>
      <c r="P346" s="16">
        <f aca="true" t="shared" si="26" ref="P346:P351">SUM(F346:O346)</f>
        <v>27129</v>
      </c>
    </row>
    <row r="347" spans="1:16" ht="12.75" customHeight="1">
      <c r="A347" s="81"/>
      <c r="B347" s="81"/>
      <c r="C347" s="106" t="s">
        <v>1512</v>
      </c>
      <c r="D347" s="107"/>
      <c r="E347" s="83">
        <v>1</v>
      </c>
      <c r="F347" s="81"/>
      <c r="G347" s="81"/>
      <c r="H347" s="83"/>
      <c r="I347" s="82"/>
      <c r="J347" s="230">
        <v>20000</v>
      </c>
      <c r="K347" s="81"/>
      <c r="L347" s="81"/>
      <c r="M347" s="81"/>
      <c r="N347" s="81"/>
      <c r="O347" s="230"/>
      <c r="P347" s="16">
        <f t="shared" si="26"/>
        <v>20000</v>
      </c>
    </row>
    <row r="348" spans="1:16" ht="13.5" customHeight="1">
      <c r="A348" s="78"/>
      <c r="B348" s="78"/>
      <c r="C348" s="1261" t="s">
        <v>1513</v>
      </c>
      <c r="D348" s="1262"/>
      <c r="E348" s="140">
        <v>1</v>
      </c>
      <c r="F348" s="16"/>
      <c r="G348" s="16"/>
      <c r="H348" s="16"/>
      <c r="I348" s="16"/>
      <c r="J348" s="16">
        <v>150000</v>
      </c>
      <c r="K348" s="16"/>
      <c r="L348" s="16"/>
      <c r="M348" s="16"/>
      <c r="N348" s="16"/>
      <c r="O348" s="16"/>
      <c r="P348" s="16">
        <f t="shared" si="26"/>
        <v>150000</v>
      </c>
    </row>
    <row r="349" spans="1:16" ht="24.75" customHeight="1">
      <c r="A349" s="78"/>
      <c r="B349" s="78"/>
      <c r="C349" s="1249" t="s">
        <v>1476</v>
      </c>
      <c r="D349" s="1250"/>
      <c r="E349" s="210">
        <v>1</v>
      </c>
      <c r="F349" s="16"/>
      <c r="G349" s="16"/>
      <c r="H349" s="16"/>
      <c r="I349" s="16"/>
      <c r="J349" s="16">
        <v>74739</v>
      </c>
      <c r="K349" s="16"/>
      <c r="L349" s="16"/>
      <c r="M349" s="16"/>
      <c r="N349" s="16"/>
      <c r="O349" s="16"/>
      <c r="P349" s="16">
        <f t="shared" si="26"/>
        <v>74739</v>
      </c>
    </row>
    <row r="350" spans="1:16" ht="18" customHeight="1">
      <c r="A350" s="78"/>
      <c r="B350" s="78"/>
      <c r="C350" s="764" t="s">
        <v>1421</v>
      </c>
      <c r="D350" s="765"/>
      <c r="E350" s="210">
        <v>1</v>
      </c>
      <c r="F350" s="16"/>
      <c r="G350" s="16"/>
      <c r="H350" s="16"/>
      <c r="I350" s="16"/>
      <c r="J350" s="16">
        <v>25000</v>
      </c>
      <c r="K350" s="16"/>
      <c r="L350" s="16"/>
      <c r="M350" s="16"/>
      <c r="N350" s="16"/>
      <c r="O350" s="16"/>
      <c r="P350" s="16">
        <f t="shared" si="26"/>
        <v>25000</v>
      </c>
    </row>
    <row r="351" spans="1:16" ht="15" customHeight="1">
      <c r="A351" s="78"/>
      <c r="B351" s="78"/>
      <c r="C351" s="1249" t="s">
        <v>277</v>
      </c>
      <c r="D351" s="1250"/>
      <c r="E351" s="210">
        <v>2</v>
      </c>
      <c r="F351" s="16"/>
      <c r="G351" s="16"/>
      <c r="H351" s="16"/>
      <c r="I351" s="16"/>
      <c r="J351" s="16">
        <v>2300</v>
      </c>
      <c r="K351" s="16"/>
      <c r="L351" s="16"/>
      <c r="M351" s="16"/>
      <c r="N351" s="16"/>
      <c r="O351" s="16"/>
      <c r="P351" s="16">
        <f t="shared" si="26"/>
        <v>2300</v>
      </c>
    </row>
    <row r="352" spans="1:16" ht="33.75" customHeight="1">
      <c r="A352" s="78"/>
      <c r="B352" s="78"/>
      <c r="C352" s="735" t="s">
        <v>731</v>
      </c>
      <c r="D352" s="1311"/>
      <c r="E352" s="210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</row>
    <row r="353" spans="1:16" ht="13.5" customHeight="1">
      <c r="A353" s="78"/>
      <c r="B353" s="78"/>
      <c r="C353" s="732" t="s">
        <v>121</v>
      </c>
      <c r="D353" s="733"/>
      <c r="E353" s="144">
        <v>2</v>
      </c>
      <c r="F353" s="16"/>
      <c r="G353" s="16"/>
      <c r="H353" s="16"/>
      <c r="I353" s="16"/>
      <c r="J353" s="16">
        <v>4450</v>
      </c>
      <c r="K353" s="16"/>
      <c r="L353" s="16"/>
      <c r="M353" s="16"/>
      <c r="N353" s="16"/>
      <c r="O353" s="16"/>
      <c r="P353" s="16">
        <f>SUM(F353:O353)</f>
        <v>4450</v>
      </c>
    </row>
    <row r="354" spans="1:16" ht="13.5" customHeight="1">
      <c r="A354" s="78"/>
      <c r="B354" s="78"/>
      <c r="C354" s="15" t="s">
        <v>1240</v>
      </c>
      <c r="D354" s="140"/>
      <c r="E354" s="140">
        <v>2</v>
      </c>
      <c r="F354" s="16"/>
      <c r="G354" s="16"/>
      <c r="H354" s="16"/>
      <c r="I354" s="16"/>
      <c r="J354" s="16">
        <v>900</v>
      </c>
      <c r="K354" s="16"/>
      <c r="L354" s="16"/>
      <c r="M354" s="16"/>
      <c r="N354" s="16"/>
      <c r="O354" s="16"/>
      <c r="P354" s="16">
        <f>SUM(F354:O354)</f>
        <v>900</v>
      </c>
    </row>
    <row r="355" spans="1:16" ht="13.5" customHeight="1">
      <c r="A355" s="78"/>
      <c r="B355" s="78"/>
      <c r="C355" s="1249" t="s">
        <v>120</v>
      </c>
      <c r="D355" s="1250"/>
      <c r="E355" s="210">
        <v>2</v>
      </c>
      <c r="F355" s="16"/>
      <c r="G355" s="16"/>
      <c r="H355" s="16"/>
      <c r="I355" s="16"/>
      <c r="J355" s="16">
        <v>4000</v>
      </c>
      <c r="K355" s="16"/>
      <c r="L355" s="16"/>
      <c r="M355" s="16"/>
      <c r="N355" s="16"/>
      <c r="O355" s="16"/>
      <c r="P355" s="16">
        <f>SUM(F355:O355)</f>
        <v>4000</v>
      </c>
    </row>
    <row r="356" spans="1:16" ht="24.75" customHeight="1">
      <c r="A356" s="78"/>
      <c r="B356" s="78"/>
      <c r="C356" s="735" t="s">
        <v>732</v>
      </c>
      <c r="D356" s="1311"/>
      <c r="E356" s="210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</row>
    <row r="357" spans="1:16" ht="13.5" customHeight="1">
      <c r="A357" s="78"/>
      <c r="B357" s="78"/>
      <c r="C357" s="15" t="s">
        <v>498</v>
      </c>
      <c r="D357" s="140"/>
      <c r="E357" s="140">
        <v>2</v>
      </c>
      <c r="F357" s="16"/>
      <c r="G357" s="16"/>
      <c r="H357" s="16"/>
      <c r="I357" s="16"/>
      <c r="J357" s="16">
        <v>5000</v>
      </c>
      <c r="K357" s="16"/>
      <c r="L357" s="16"/>
      <c r="M357" s="16"/>
      <c r="N357" s="16"/>
      <c r="O357" s="16"/>
      <c r="P357" s="16">
        <f>SUM(F357:O357)</f>
        <v>5000</v>
      </c>
    </row>
    <row r="358" spans="1:16" ht="13.5" customHeight="1">
      <c r="A358" s="78"/>
      <c r="B358" s="78"/>
      <c r="C358" s="1249" t="s">
        <v>913</v>
      </c>
      <c r="D358" s="1250"/>
      <c r="E358" s="210">
        <v>2</v>
      </c>
      <c r="F358" s="16"/>
      <c r="G358" s="16"/>
      <c r="H358" s="16"/>
      <c r="I358" s="16"/>
      <c r="J358" s="16">
        <v>3000</v>
      </c>
      <c r="K358" s="16"/>
      <c r="L358" s="16"/>
      <c r="M358" s="16"/>
      <c r="N358" s="16"/>
      <c r="O358" s="16"/>
      <c r="P358" s="16">
        <f>SUM(F358:O358)</f>
        <v>3000</v>
      </c>
    </row>
    <row r="359" spans="1:16" ht="24.75" customHeight="1">
      <c r="A359" s="78"/>
      <c r="B359" s="78"/>
      <c r="C359" s="735" t="s">
        <v>973</v>
      </c>
      <c r="D359" s="1311"/>
      <c r="E359" s="210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>
        <f>SUM(F359:O359)</f>
        <v>0</v>
      </c>
    </row>
    <row r="360" spans="1:16" ht="13.5" customHeight="1">
      <c r="A360" s="78"/>
      <c r="B360" s="78"/>
      <c r="C360" s="15" t="s">
        <v>974</v>
      </c>
      <c r="D360" s="140"/>
      <c r="E360" s="140">
        <v>2</v>
      </c>
      <c r="F360" s="16"/>
      <c r="G360" s="16"/>
      <c r="H360" s="16"/>
      <c r="I360" s="16"/>
      <c r="J360" s="16">
        <v>5000</v>
      </c>
      <c r="K360" s="16"/>
      <c r="L360" s="16"/>
      <c r="M360" s="16"/>
      <c r="N360" s="16"/>
      <c r="O360" s="16"/>
      <c r="P360" s="16">
        <f>SUM(F360:O360)</f>
        <v>5000</v>
      </c>
    </row>
    <row r="361" spans="1:16" ht="31.5" customHeight="1">
      <c r="A361" s="78"/>
      <c r="B361" s="78"/>
      <c r="C361" s="735" t="s">
        <v>424</v>
      </c>
      <c r="D361" s="1311"/>
      <c r="E361" s="210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</row>
    <row r="362" spans="1:16" ht="15" customHeight="1">
      <c r="A362" s="78"/>
      <c r="B362" s="78"/>
      <c r="C362" s="1249" t="s">
        <v>975</v>
      </c>
      <c r="D362" s="1250"/>
      <c r="E362" s="210">
        <v>2</v>
      </c>
      <c r="F362" s="16"/>
      <c r="G362" s="16"/>
      <c r="H362" s="16"/>
      <c r="I362" s="16"/>
      <c r="J362" s="16">
        <v>2200</v>
      </c>
      <c r="K362" s="16"/>
      <c r="L362" s="16"/>
      <c r="M362" s="16"/>
      <c r="N362" s="16"/>
      <c r="O362" s="16"/>
      <c r="P362" s="16">
        <f>SUM(F362:O362)</f>
        <v>2200</v>
      </c>
    </row>
    <row r="363" spans="1:16" ht="24" customHeight="1">
      <c r="A363" s="78"/>
      <c r="B363" s="78"/>
      <c r="C363" s="1319" t="s">
        <v>1241</v>
      </c>
      <c r="D363" s="1320"/>
      <c r="E363" s="218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>
        <f>SUM(F363:O363)</f>
        <v>0</v>
      </c>
    </row>
    <row r="364" spans="1:16" ht="15" customHeight="1">
      <c r="A364" s="78"/>
      <c r="B364" s="78"/>
      <c r="C364" s="1263" t="s">
        <v>1242</v>
      </c>
      <c r="D364" s="1264"/>
      <c r="E364" s="210">
        <v>1</v>
      </c>
      <c r="F364" s="16"/>
      <c r="G364" s="16"/>
      <c r="H364" s="16"/>
      <c r="I364" s="16"/>
      <c r="J364" s="16">
        <v>1100</v>
      </c>
      <c r="K364" s="16"/>
      <c r="L364" s="16"/>
      <c r="M364" s="16"/>
      <c r="N364" s="16"/>
      <c r="O364" s="16"/>
      <c r="P364" s="16">
        <f>SUM(F364:O364)</f>
        <v>1100</v>
      </c>
    </row>
    <row r="365" spans="1:16" ht="13.5" customHeight="1">
      <c r="A365" s="78"/>
      <c r="B365" s="78"/>
      <c r="C365" s="139" t="s">
        <v>427</v>
      </c>
      <c r="D365" s="79"/>
      <c r="E365" s="79"/>
      <c r="F365" s="16"/>
      <c r="G365" s="16"/>
      <c r="H365" s="16"/>
      <c r="I365" s="16"/>
      <c r="J365" s="16"/>
      <c r="K365" s="16"/>
      <c r="L365" s="16">
        <v>10000</v>
      </c>
      <c r="M365" s="16"/>
      <c r="N365" s="16"/>
      <c r="O365" s="16"/>
      <c r="P365" s="16">
        <f>SUM(F365:O365)</f>
        <v>10000</v>
      </c>
    </row>
    <row r="366" spans="1:16" ht="15.75" customHeight="1">
      <c r="A366" s="68"/>
      <c r="B366" s="68"/>
      <c r="C366" s="71" t="s">
        <v>428</v>
      </c>
      <c r="D366" s="72"/>
      <c r="E366" s="72"/>
      <c r="F366" s="76">
        <f>SUM(F343:F365)</f>
        <v>0</v>
      </c>
      <c r="G366" s="76">
        <f>SUM(G343:G365)</f>
        <v>0</v>
      </c>
      <c r="H366" s="76">
        <f>SUM(H343:H365)</f>
        <v>0</v>
      </c>
      <c r="I366" s="76">
        <f>SUM(I343:I365)</f>
        <v>0</v>
      </c>
      <c r="J366" s="76">
        <f>SUM(J343:J365)</f>
        <v>329818</v>
      </c>
      <c r="K366" s="76">
        <f>SUM(K365)</f>
        <v>0</v>
      </c>
      <c r="L366" s="76">
        <f>SUM(L365)</f>
        <v>10000</v>
      </c>
      <c r="M366" s="76">
        <f>SUM(M365)</f>
        <v>0</v>
      </c>
      <c r="N366" s="76"/>
      <c r="O366" s="76">
        <f>SUM(O365)</f>
        <v>0</v>
      </c>
      <c r="P366" s="76">
        <f>SUM(P344:P365)</f>
        <v>339818</v>
      </c>
    </row>
    <row r="367" spans="1:16" ht="15.75" customHeight="1">
      <c r="A367" s="68"/>
      <c r="B367" s="68"/>
      <c r="C367" s="1317" t="s">
        <v>978</v>
      </c>
      <c r="D367" s="1318"/>
      <c r="E367" s="223"/>
      <c r="F367" s="142">
        <f aca="true" t="shared" si="27" ref="F367:P367">SUM(F38+F145+F221+F225+F261+F273+F314+F316+F342+F366)</f>
        <v>60636</v>
      </c>
      <c r="G367" s="142">
        <f t="shared" si="27"/>
        <v>19397</v>
      </c>
      <c r="H367" s="142">
        <f t="shared" si="27"/>
        <v>1944262</v>
      </c>
      <c r="I367" s="142">
        <f t="shared" si="27"/>
        <v>143280</v>
      </c>
      <c r="J367" s="142">
        <f t="shared" si="27"/>
        <v>1548971</v>
      </c>
      <c r="K367" s="142">
        <f t="shared" si="27"/>
        <v>6763452</v>
      </c>
      <c r="L367" s="142">
        <f t="shared" si="27"/>
        <v>662002</v>
      </c>
      <c r="M367" s="142">
        <f t="shared" si="27"/>
        <v>516142</v>
      </c>
      <c r="N367" s="142">
        <f t="shared" si="27"/>
        <v>13244</v>
      </c>
      <c r="O367" s="142">
        <f t="shared" si="27"/>
        <v>21424</v>
      </c>
      <c r="P367" s="142">
        <f t="shared" si="27"/>
        <v>11692810</v>
      </c>
    </row>
    <row r="368" spans="1:16" ht="15.75" customHeight="1">
      <c r="A368" s="63">
        <v>2</v>
      </c>
      <c r="B368" s="63"/>
      <c r="C368" s="46" t="s">
        <v>398</v>
      </c>
      <c r="D368" s="65"/>
      <c r="E368" s="65"/>
      <c r="F368" s="56">
        <v>2891129</v>
      </c>
      <c r="G368" s="56">
        <v>790002</v>
      </c>
      <c r="H368" s="56">
        <v>2473578</v>
      </c>
      <c r="I368" s="56"/>
      <c r="J368" s="56">
        <v>34173</v>
      </c>
      <c r="K368" s="138">
        <v>37447</v>
      </c>
      <c r="L368" s="138">
        <v>39879</v>
      </c>
      <c r="M368" s="138"/>
      <c r="N368" s="138"/>
      <c r="O368" s="138"/>
      <c r="P368" s="138">
        <f>SUM(F368:O368)</f>
        <v>6266208</v>
      </c>
    </row>
    <row r="369" spans="1:16" ht="15.75" customHeight="1">
      <c r="A369" s="68"/>
      <c r="B369" s="68"/>
      <c r="C369" s="71" t="s">
        <v>376</v>
      </c>
      <c r="D369" s="72"/>
      <c r="E369" s="220"/>
      <c r="F369" s="42">
        <f aca="true" t="shared" si="28" ref="F369:O369">SUM(F367:F368)</f>
        <v>2951765</v>
      </c>
      <c r="G369" s="42">
        <f t="shared" si="28"/>
        <v>809399</v>
      </c>
      <c r="H369" s="42">
        <f t="shared" si="28"/>
        <v>4417840</v>
      </c>
      <c r="I369" s="42">
        <f t="shared" si="28"/>
        <v>143280</v>
      </c>
      <c r="J369" s="42">
        <f t="shared" si="28"/>
        <v>1583144</v>
      </c>
      <c r="K369" s="76">
        <f t="shared" si="28"/>
        <v>6800899</v>
      </c>
      <c r="L369" s="76">
        <f t="shared" si="28"/>
        <v>701881</v>
      </c>
      <c r="M369" s="76">
        <f t="shared" si="28"/>
        <v>516142</v>
      </c>
      <c r="N369" s="76">
        <f t="shared" si="28"/>
        <v>13244</v>
      </c>
      <c r="O369" s="76">
        <f t="shared" si="28"/>
        <v>21424</v>
      </c>
      <c r="P369" s="76">
        <f>SUM(P367:P368)</f>
        <v>17959018</v>
      </c>
    </row>
    <row r="370" spans="1:16" ht="15.75" customHeight="1">
      <c r="A370" s="191"/>
      <c r="B370" s="191"/>
      <c r="C370" s="192"/>
      <c r="D370" s="192"/>
      <c r="E370" s="192"/>
      <c r="F370" s="192"/>
      <c r="G370" s="192"/>
      <c r="H370" s="192"/>
      <c r="I370" s="192"/>
      <c r="J370" s="192"/>
      <c r="K370" s="192"/>
      <c r="L370" s="192"/>
      <c r="M370" s="193"/>
      <c r="N370" s="193"/>
      <c r="O370" s="193"/>
      <c r="P370" s="192"/>
    </row>
    <row r="371" spans="1:16" ht="12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</row>
    <row r="372" spans="1:16" ht="12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</row>
    <row r="373" spans="1:16" ht="12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</row>
    <row r="374" spans="1:16" ht="12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</row>
    <row r="375" spans="1:16" ht="12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</row>
  </sheetData>
  <sheetProtection/>
  <mergeCells count="157">
    <mergeCell ref="C203:D203"/>
    <mergeCell ref="C180:D180"/>
    <mergeCell ref="C198:D198"/>
    <mergeCell ref="C183:D183"/>
    <mergeCell ref="C178:D178"/>
    <mergeCell ref="C190:D190"/>
    <mergeCell ref="C177:D177"/>
    <mergeCell ref="C181:D181"/>
    <mergeCell ref="C94:D94"/>
    <mergeCell ref="C116:D116"/>
    <mergeCell ref="C105:D105"/>
    <mergeCell ref="C43:D43"/>
    <mergeCell ref="C52:D52"/>
    <mergeCell ref="C71:D71"/>
    <mergeCell ref="C72:D72"/>
    <mergeCell ref="C53:D53"/>
    <mergeCell ref="C65:D65"/>
    <mergeCell ref="C45:D45"/>
    <mergeCell ref="C93:D93"/>
    <mergeCell ref="C91:D91"/>
    <mergeCell ref="C81:D81"/>
    <mergeCell ref="C79:D79"/>
    <mergeCell ref="C82:D82"/>
    <mergeCell ref="C87:D87"/>
    <mergeCell ref="C80:D80"/>
    <mergeCell ref="C89:D89"/>
    <mergeCell ref="C90:D90"/>
    <mergeCell ref="C88:D88"/>
    <mergeCell ref="C135:D135"/>
    <mergeCell ref="C138:D138"/>
    <mergeCell ref="C132:D132"/>
    <mergeCell ref="C134:D134"/>
    <mergeCell ref="C136:D136"/>
    <mergeCell ref="C133:D133"/>
    <mergeCell ref="C118:D118"/>
    <mergeCell ref="C120:D120"/>
    <mergeCell ref="C124:D124"/>
    <mergeCell ref="C123:D123"/>
    <mergeCell ref="C213:D213"/>
    <mergeCell ref="C227:D227"/>
    <mergeCell ref="C214:D214"/>
    <mergeCell ref="C139:D139"/>
    <mergeCell ref="C158:D158"/>
    <mergeCell ref="C161:D161"/>
    <mergeCell ref="C210:D210"/>
    <mergeCell ref="C189:D189"/>
    <mergeCell ref="C168:D168"/>
    <mergeCell ref="C204:D204"/>
    <mergeCell ref="C240:D240"/>
    <mergeCell ref="C233:D233"/>
    <mergeCell ref="C234:D234"/>
    <mergeCell ref="C265:D265"/>
    <mergeCell ref="C238:D238"/>
    <mergeCell ref="C263:D263"/>
    <mergeCell ref="C350:D350"/>
    <mergeCell ref="C358:D358"/>
    <mergeCell ref="C351:D351"/>
    <mergeCell ref="C349:D349"/>
    <mergeCell ref="C355:D355"/>
    <mergeCell ref="C353:D353"/>
    <mergeCell ref="C352:D352"/>
    <mergeCell ref="C356:D356"/>
    <mergeCell ref="C331:D331"/>
    <mergeCell ref="C334:D334"/>
    <mergeCell ref="C348:D348"/>
    <mergeCell ref="C339:D339"/>
    <mergeCell ref="C268:D268"/>
    <mergeCell ref="C309:D309"/>
    <mergeCell ref="C305:D305"/>
    <mergeCell ref="C306:D306"/>
    <mergeCell ref="C301:D301"/>
    <mergeCell ref="C275:D275"/>
    <mergeCell ref="C295:D295"/>
    <mergeCell ref="C307:D307"/>
    <mergeCell ref="C296:D296"/>
    <mergeCell ref="C277:D277"/>
    <mergeCell ref="C318:D318"/>
    <mergeCell ref="C315:D315"/>
    <mergeCell ref="C303:D303"/>
    <mergeCell ref="C302:D302"/>
    <mergeCell ref="C304:D304"/>
    <mergeCell ref="C367:D367"/>
    <mergeCell ref="C361:D361"/>
    <mergeCell ref="C363:D363"/>
    <mergeCell ref="C362:D362"/>
    <mergeCell ref="C364:D364"/>
    <mergeCell ref="C359:D359"/>
    <mergeCell ref="C30:D30"/>
    <mergeCell ref="C32:D32"/>
    <mergeCell ref="C24:D24"/>
    <mergeCell ref="C256:D256"/>
    <mergeCell ref="C239:D239"/>
    <mergeCell ref="C137:D137"/>
    <mergeCell ref="C166:D166"/>
    <mergeCell ref="C171:D171"/>
    <mergeCell ref="C159:D159"/>
    <mergeCell ref="C163:D163"/>
    <mergeCell ref="C216:D216"/>
    <mergeCell ref="C235:D235"/>
    <mergeCell ref="C33:D33"/>
    <mergeCell ref="C207:D207"/>
    <mergeCell ref="C99:D99"/>
    <mergeCell ref="C108:D108"/>
    <mergeCell ref="C106:D106"/>
    <mergeCell ref="C114:D114"/>
    <mergeCell ref="C102:D102"/>
    <mergeCell ref="C115:D115"/>
    <mergeCell ref="C101:D101"/>
    <mergeCell ref="C285:D285"/>
    <mergeCell ref="C328:D328"/>
    <mergeCell ref="C281:D281"/>
    <mergeCell ref="C267:D267"/>
    <mergeCell ref="C176:D176"/>
    <mergeCell ref="C276:D276"/>
    <mergeCell ref="C174:D174"/>
    <mergeCell ref="C250:D250"/>
    <mergeCell ref="C266:D266"/>
    <mergeCell ref="C215:D215"/>
    <mergeCell ref="C6:D6"/>
    <mergeCell ref="C26:D26"/>
    <mergeCell ref="C12:D12"/>
    <mergeCell ref="C16:D16"/>
    <mergeCell ref="C17:D17"/>
    <mergeCell ref="C22:D22"/>
    <mergeCell ref="C9:D9"/>
    <mergeCell ref="C19:D19"/>
    <mergeCell ref="C172:D172"/>
    <mergeCell ref="C41:D41"/>
    <mergeCell ref="C47:D47"/>
    <mergeCell ref="C76:D76"/>
    <mergeCell ref="C51:D51"/>
    <mergeCell ref="C44:D44"/>
    <mergeCell ref="C46:D46"/>
    <mergeCell ref="C60:D60"/>
    <mergeCell ref="C77:D77"/>
    <mergeCell ref="C78:D78"/>
    <mergeCell ref="C278:D278"/>
    <mergeCell ref="C300:D300"/>
    <mergeCell ref="C175:D175"/>
    <mergeCell ref="C291:D291"/>
    <mergeCell ref="C298:D298"/>
    <mergeCell ref="C229:D229"/>
    <mergeCell ref="C269:D269"/>
    <mergeCell ref="C253:D253"/>
    <mergeCell ref="C236:D236"/>
    <mergeCell ref="C237:D237"/>
    <mergeCell ref="F1:M1"/>
    <mergeCell ref="N1:O1"/>
    <mergeCell ref="A1:A2"/>
    <mergeCell ref="B1:B2"/>
    <mergeCell ref="C1:D2"/>
    <mergeCell ref="E1:E2"/>
    <mergeCell ref="C69:D69"/>
    <mergeCell ref="C75:D75"/>
    <mergeCell ref="C49:D49"/>
    <mergeCell ref="C73:D73"/>
    <mergeCell ref="C74:D74"/>
  </mergeCells>
  <printOptions horizontalCentered="1" verticalCentered="1"/>
  <pageMargins left="0.03937007874015748" right="0.03937007874015748" top="1.062992125984252" bottom="1.1023622047244095" header="0.2362204724409449" footer="0.5118110236220472"/>
  <pageSetup horizontalDpi="300" verticalDpi="300" orientation="landscape" paperSize="9" scale="80" r:id="rId1"/>
  <headerFooter alignWithMargins="0">
    <oddHeader>&amp;C&amp;"Times New Roman CE,Félkövér dőlt"ZALAEGERSZEG MEGYEI JOGÚ VÁROS ÖNKORMÁNYZATA
KIADÁSI ELŐIRÁNYZATAI
2014. ÉVBEN&amp;R&amp;"Times New Roman CE,Félkövér dőlt"6.a melléklet
Adatok ezer Ft-ban</oddHeader>
    <oddFooter>&amp;LFeladat jellege:
1=kötelező
2=önként vállalt
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207"/>
  <sheetViews>
    <sheetView zoomScaleSheetLayoutView="120" workbookViewId="0" topLeftCell="A1">
      <pane ySplit="2" topLeftCell="BM3" activePane="bottomLeft" state="frozen"/>
      <selection pane="topLeft" activeCell="A1" sqref="A1"/>
      <selection pane="bottomLeft" activeCell="E67" sqref="E67:E206"/>
    </sheetView>
  </sheetViews>
  <sheetFormatPr defaultColWidth="9.00390625" defaultRowHeight="12.75"/>
  <cols>
    <col min="1" max="1" width="5.125" style="7" customWidth="1"/>
    <col min="2" max="2" width="5.875" style="7" customWidth="1"/>
    <col min="3" max="3" width="9.375" style="7" customWidth="1"/>
    <col min="4" max="4" width="35.125" style="7" customWidth="1"/>
    <col min="5" max="5" width="4.375" style="7" customWidth="1"/>
    <col min="6" max="6" width="10.125" style="7" customWidth="1"/>
    <col min="7" max="7" width="11.00390625" style="7" customWidth="1"/>
    <col min="8" max="8" width="10.00390625" style="7" customWidth="1"/>
    <col min="9" max="10" width="9.375" style="7" customWidth="1"/>
    <col min="11" max="11" width="10.125" style="7" customWidth="1"/>
    <col min="12" max="12" width="9.375" style="7" customWidth="1"/>
    <col min="13" max="13" width="11.00390625" style="7" bestFit="1" customWidth="1"/>
    <col min="14" max="14" width="10.125" style="7" customWidth="1"/>
    <col min="15" max="15" width="9.875" style="7" bestFit="1" customWidth="1"/>
    <col min="16" max="16" width="10.50390625" style="7" customWidth="1"/>
    <col min="17" max="17" width="7.625" style="7" customWidth="1"/>
    <col min="18" max="16384" width="9.375" style="7" customWidth="1"/>
  </cols>
  <sheetData>
    <row r="1" spans="1:17" s="485" customFormat="1" ht="24.75" customHeight="1">
      <c r="A1" s="1374" t="s">
        <v>896</v>
      </c>
      <c r="B1" s="1376" t="s">
        <v>897</v>
      </c>
      <c r="C1" s="1377" t="s">
        <v>46</v>
      </c>
      <c r="D1" s="1378"/>
      <c r="E1" s="1381" t="s">
        <v>415</v>
      </c>
      <c r="F1" s="1383" t="s">
        <v>60</v>
      </c>
      <c r="G1" s="1384"/>
      <c r="H1" s="1384"/>
      <c r="I1" s="1384"/>
      <c r="J1" s="1384"/>
      <c r="K1" s="1384"/>
      <c r="L1" s="1384"/>
      <c r="M1" s="1384"/>
      <c r="N1" s="1305" t="s">
        <v>59</v>
      </c>
      <c r="O1" s="1305"/>
      <c r="P1" s="1372" t="s">
        <v>49</v>
      </c>
      <c r="Q1" s="1328" t="s">
        <v>678</v>
      </c>
    </row>
    <row r="2" spans="1:17" ht="63.75" customHeight="1">
      <c r="A2" s="1375"/>
      <c r="B2" s="1273"/>
      <c r="C2" s="1379"/>
      <c r="D2" s="1380"/>
      <c r="E2" s="1382"/>
      <c r="F2" s="233" t="s">
        <v>280</v>
      </c>
      <c r="G2" s="233" t="s">
        <v>603</v>
      </c>
      <c r="H2" s="233" t="s">
        <v>423</v>
      </c>
      <c r="I2" s="233" t="s">
        <v>679</v>
      </c>
      <c r="J2" s="233" t="s">
        <v>1238</v>
      </c>
      <c r="K2" s="233" t="s">
        <v>1222</v>
      </c>
      <c r="L2" s="233" t="s">
        <v>1221</v>
      </c>
      <c r="M2" s="233" t="s">
        <v>680</v>
      </c>
      <c r="N2" s="233" t="s">
        <v>604</v>
      </c>
      <c r="O2" s="486" t="s">
        <v>69</v>
      </c>
      <c r="P2" s="1373"/>
      <c r="Q2" s="1329"/>
    </row>
    <row r="3" spans="1:17" ht="13.5" customHeight="1">
      <c r="A3" s="269">
        <v>1</v>
      </c>
      <c r="B3" s="269"/>
      <c r="C3" s="487" t="s">
        <v>396</v>
      </c>
      <c r="D3" s="59"/>
      <c r="E3" s="271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9"/>
      <c r="Q3" s="490"/>
    </row>
    <row r="4" spans="1:17" ht="13.5" customHeight="1">
      <c r="A4" s="8">
        <v>1</v>
      </c>
      <c r="B4" s="8">
        <v>1</v>
      </c>
      <c r="C4" s="58" t="s">
        <v>1885</v>
      </c>
      <c r="D4" s="59"/>
      <c r="E4" s="16"/>
      <c r="F4" s="9"/>
      <c r="G4" s="9"/>
      <c r="H4" s="9"/>
      <c r="I4" s="9"/>
      <c r="J4" s="9"/>
      <c r="K4" s="9"/>
      <c r="L4" s="9"/>
      <c r="M4" s="9"/>
      <c r="N4" s="9"/>
      <c r="O4" s="9"/>
      <c r="P4" s="12"/>
      <c r="Q4" s="491"/>
    </row>
    <row r="5" spans="1:17" ht="13.5" customHeight="1">
      <c r="A5" s="8">
        <v>1</v>
      </c>
      <c r="B5" s="8">
        <v>12</v>
      </c>
      <c r="C5" s="1216" t="s">
        <v>1549</v>
      </c>
      <c r="D5" s="1217"/>
      <c r="E5" s="16"/>
      <c r="F5" s="9"/>
      <c r="G5" s="9"/>
      <c r="H5" s="9"/>
      <c r="I5" s="9"/>
      <c r="J5" s="9"/>
      <c r="K5" s="9"/>
      <c r="L5" s="9"/>
      <c r="M5" s="9"/>
      <c r="N5" s="9"/>
      <c r="O5" s="9"/>
      <c r="P5" s="12"/>
      <c r="Q5" s="491"/>
    </row>
    <row r="6" spans="1:17" ht="13.5" customHeight="1">
      <c r="A6" s="8"/>
      <c r="B6" s="8"/>
      <c r="C6" s="1216" t="s">
        <v>681</v>
      </c>
      <c r="D6" s="1385"/>
      <c r="E6" s="492">
        <v>1</v>
      </c>
      <c r="F6" s="235"/>
      <c r="G6" s="235"/>
      <c r="H6" s="235"/>
      <c r="I6" s="235">
        <v>20003</v>
      </c>
      <c r="J6" s="235"/>
      <c r="K6" s="235"/>
      <c r="L6" s="9"/>
      <c r="M6" s="9"/>
      <c r="N6" s="9"/>
      <c r="O6" s="9"/>
      <c r="P6" s="12">
        <f>SUM(F6:O6)</f>
        <v>20003</v>
      </c>
      <c r="Q6" s="491" t="s">
        <v>606</v>
      </c>
    </row>
    <row r="7" spans="1:17" ht="13.5" customHeight="1">
      <c r="A7" s="8"/>
      <c r="B7" s="8"/>
      <c r="C7" s="12" t="s">
        <v>274</v>
      </c>
      <c r="D7" s="140"/>
      <c r="E7" s="492">
        <v>1</v>
      </c>
      <c r="F7" s="235"/>
      <c r="G7" s="235"/>
      <c r="H7" s="235"/>
      <c r="I7" s="235">
        <v>60332</v>
      </c>
      <c r="J7" s="235"/>
      <c r="K7" s="235"/>
      <c r="L7" s="9"/>
      <c r="M7" s="9"/>
      <c r="N7" s="9"/>
      <c r="O7" s="9"/>
      <c r="P7" s="12">
        <f>SUM(F7:O7)</f>
        <v>60332</v>
      </c>
      <c r="Q7" s="491" t="s">
        <v>606</v>
      </c>
    </row>
    <row r="8" spans="1:17" ht="13.5" customHeight="1">
      <c r="A8" s="8"/>
      <c r="B8" s="8"/>
      <c r="C8" s="1218" t="s">
        <v>1550</v>
      </c>
      <c r="D8" s="1219"/>
      <c r="E8" s="492"/>
      <c r="F8" s="235"/>
      <c r="G8" s="235"/>
      <c r="H8" s="235"/>
      <c r="I8" s="235"/>
      <c r="J8" s="235"/>
      <c r="K8" s="235"/>
      <c r="L8" s="9"/>
      <c r="M8" s="9"/>
      <c r="N8" s="9"/>
      <c r="O8" s="9"/>
      <c r="P8" s="12"/>
      <c r="Q8" s="491"/>
    </row>
    <row r="9" spans="1:17" ht="13.5" customHeight="1">
      <c r="A9" s="8"/>
      <c r="B9" s="8"/>
      <c r="C9" s="12" t="s">
        <v>102</v>
      </c>
      <c r="D9" s="328"/>
      <c r="E9" s="492">
        <v>1</v>
      </c>
      <c r="F9" s="235"/>
      <c r="G9" s="235"/>
      <c r="H9" s="235"/>
      <c r="I9" s="235">
        <v>22439</v>
      </c>
      <c r="J9" s="235"/>
      <c r="K9" s="235"/>
      <c r="L9" s="9"/>
      <c r="M9" s="9"/>
      <c r="N9" s="9"/>
      <c r="O9" s="9"/>
      <c r="P9" s="12">
        <f>SUM(F9:O9)</f>
        <v>22439</v>
      </c>
      <c r="Q9" s="491" t="s">
        <v>606</v>
      </c>
    </row>
    <row r="10" spans="1:17" ht="13.5" customHeight="1">
      <c r="A10" s="8"/>
      <c r="B10" s="8"/>
      <c r="C10" s="1218" t="s">
        <v>840</v>
      </c>
      <c r="D10" s="1219"/>
      <c r="E10" s="492"/>
      <c r="F10" s="235"/>
      <c r="G10" s="235"/>
      <c r="H10" s="235"/>
      <c r="I10" s="235"/>
      <c r="J10" s="235"/>
      <c r="K10" s="235"/>
      <c r="L10" s="9"/>
      <c r="M10" s="9"/>
      <c r="N10" s="9"/>
      <c r="O10" s="9"/>
      <c r="P10" s="12"/>
      <c r="Q10" s="491"/>
    </row>
    <row r="11" spans="1:17" ht="13.5" customHeight="1">
      <c r="A11" s="8"/>
      <c r="B11" s="8"/>
      <c r="C11" s="12" t="s">
        <v>682</v>
      </c>
      <c r="D11" s="140"/>
      <c r="E11" s="492">
        <v>1</v>
      </c>
      <c r="F11" s="235"/>
      <c r="G11" s="235"/>
      <c r="H11" s="235"/>
      <c r="I11" s="235">
        <v>19</v>
      </c>
      <c r="J11" s="235"/>
      <c r="K11" s="235"/>
      <c r="L11" s="9"/>
      <c r="M11" s="9"/>
      <c r="N11" s="9"/>
      <c r="O11" s="9"/>
      <c r="P11" s="12">
        <f>SUM(F11:O11)</f>
        <v>19</v>
      </c>
      <c r="Q11" s="491" t="s">
        <v>606</v>
      </c>
    </row>
    <row r="12" spans="1:17" ht="13.5" customHeight="1">
      <c r="A12" s="8"/>
      <c r="B12" s="8"/>
      <c r="C12" s="1218" t="s">
        <v>1550</v>
      </c>
      <c r="D12" s="1219"/>
      <c r="E12" s="492">
        <v>1</v>
      </c>
      <c r="F12" s="235"/>
      <c r="G12" s="235"/>
      <c r="H12" s="235"/>
      <c r="I12" s="235"/>
      <c r="J12" s="235"/>
      <c r="K12" s="235"/>
      <c r="L12" s="9"/>
      <c r="M12" s="9"/>
      <c r="N12" s="9"/>
      <c r="O12" s="9"/>
      <c r="P12" s="12">
        <f>SUM(F12:O12)</f>
        <v>0</v>
      </c>
      <c r="Q12" s="491" t="s">
        <v>606</v>
      </c>
    </row>
    <row r="13" spans="1:17" ht="13.5" customHeight="1">
      <c r="A13" s="8"/>
      <c r="B13" s="8"/>
      <c r="C13" s="1218" t="s">
        <v>683</v>
      </c>
      <c r="D13" s="1339"/>
      <c r="E13" s="492">
        <v>1</v>
      </c>
      <c r="F13" s="235"/>
      <c r="G13" s="235"/>
      <c r="H13" s="235"/>
      <c r="I13" s="235">
        <v>4396</v>
      </c>
      <c r="J13" s="235"/>
      <c r="K13" s="235"/>
      <c r="L13" s="9"/>
      <c r="M13" s="9"/>
      <c r="N13" s="9"/>
      <c r="O13" s="9"/>
      <c r="P13" s="12">
        <f>SUM(F13:O13)</f>
        <v>4396</v>
      </c>
      <c r="Q13" s="491" t="s">
        <v>606</v>
      </c>
    </row>
    <row r="14" spans="1:17" ht="13.5" customHeight="1">
      <c r="A14" s="8"/>
      <c r="B14" s="8"/>
      <c r="C14" s="67" t="s">
        <v>684</v>
      </c>
      <c r="D14" s="65"/>
      <c r="E14" s="493"/>
      <c r="F14" s="235"/>
      <c r="G14" s="235"/>
      <c r="H14" s="235"/>
      <c r="I14" s="235"/>
      <c r="J14" s="235"/>
      <c r="K14" s="235"/>
      <c r="L14" s="9"/>
      <c r="M14" s="9"/>
      <c r="N14" s="9"/>
      <c r="O14" s="9"/>
      <c r="P14" s="12"/>
      <c r="Q14" s="491"/>
    </row>
    <row r="15" spans="1:17" ht="13.5" customHeight="1">
      <c r="A15" s="8"/>
      <c r="B15" s="8"/>
      <c r="C15" s="14" t="s">
        <v>58</v>
      </c>
      <c r="D15" s="65"/>
      <c r="E15" s="493">
        <v>1</v>
      </c>
      <c r="F15" s="235"/>
      <c r="G15" s="235"/>
      <c r="H15" s="235"/>
      <c r="I15" s="235"/>
      <c r="J15" s="235">
        <v>-2000</v>
      </c>
      <c r="K15" s="235"/>
      <c r="L15" s="9"/>
      <c r="M15" s="9"/>
      <c r="N15" s="9"/>
      <c r="O15" s="9"/>
      <c r="P15" s="12">
        <f>SUM(F15:O15)</f>
        <v>-2000</v>
      </c>
      <c r="Q15" s="491" t="s">
        <v>606</v>
      </c>
    </row>
    <row r="16" spans="1:17" ht="13.5" customHeight="1">
      <c r="A16" s="8"/>
      <c r="B16" s="8"/>
      <c r="C16" s="1251" t="s">
        <v>1553</v>
      </c>
      <c r="D16" s="1252"/>
      <c r="E16" s="494"/>
      <c r="F16" s="235"/>
      <c r="G16" s="235"/>
      <c r="H16" s="235"/>
      <c r="I16" s="235"/>
      <c r="J16" s="235"/>
      <c r="K16" s="235"/>
      <c r="L16" s="9"/>
      <c r="M16" s="9"/>
      <c r="N16" s="9"/>
      <c r="O16" s="9"/>
      <c r="P16" s="12"/>
      <c r="Q16" s="491"/>
    </row>
    <row r="17" spans="1:17" ht="13.5" customHeight="1">
      <c r="A17" s="8"/>
      <c r="B17" s="8"/>
      <c r="C17" s="91" t="s">
        <v>921</v>
      </c>
      <c r="D17" s="94"/>
      <c r="E17" s="495">
        <v>2</v>
      </c>
      <c r="F17" s="235"/>
      <c r="G17" s="235"/>
      <c r="H17" s="235">
        <v>-1975</v>
      </c>
      <c r="I17" s="235"/>
      <c r="J17" s="235"/>
      <c r="K17" s="235"/>
      <c r="L17" s="9"/>
      <c r="M17" s="9"/>
      <c r="N17" s="9"/>
      <c r="O17" s="9"/>
      <c r="P17" s="12">
        <f>SUM(F17:O17)</f>
        <v>-1975</v>
      </c>
      <c r="Q17" s="491" t="s">
        <v>606</v>
      </c>
    </row>
    <row r="18" spans="1:17" ht="13.5" customHeight="1">
      <c r="A18" s="8"/>
      <c r="B18" s="8"/>
      <c r="C18" s="728" t="s">
        <v>685</v>
      </c>
      <c r="D18" s="729"/>
      <c r="E18" s="495"/>
      <c r="F18" s="235"/>
      <c r="G18" s="235"/>
      <c r="H18" s="235"/>
      <c r="I18" s="235"/>
      <c r="J18" s="235"/>
      <c r="K18" s="235"/>
      <c r="L18" s="9"/>
      <c r="M18" s="9"/>
      <c r="N18" s="9"/>
      <c r="O18" s="9"/>
      <c r="P18" s="12"/>
      <c r="Q18" s="491"/>
    </row>
    <row r="19" spans="1:17" ht="13.5" customHeight="1">
      <c r="A19" s="8"/>
      <c r="B19" s="8"/>
      <c r="C19" s="15" t="s">
        <v>358</v>
      </c>
      <c r="D19" s="79"/>
      <c r="E19" s="496">
        <v>1</v>
      </c>
      <c r="F19" s="235"/>
      <c r="G19" s="235"/>
      <c r="H19" s="235"/>
      <c r="I19" s="235">
        <v>-800</v>
      </c>
      <c r="J19" s="235">
        <v>800</v>
      </c>
      <c r="K19" s="235"/>
      <c r="L19" s="9"/>
      <c r="M19" s="9"/>
      <c r="N19" s="9"/>
      <c r="O19" s="9"/>
      <c r="P19" s="12">
        <f>SUM(F19:O19)</f>
        <v>0</v>
      </c>
      <c r="Q19" s="491" t="s">
        <v>606</v>
      </c>
    </row>
    <row r="20" spans="1:17" ht="13.5" customHeight="1">
      <c r="A20" s="497"/>
      <c r="B20" s="497"/>
      <c r="C20" s="498" t="s">
        <v>686</v>
      </c>
      <c r="D20" s="499"/>
      <c r="E20" s="500"/>
      <c r="F20" s="501">
        <f aca="true" t="shared" si="0" ref="F20:M20">SUM(F5:F19)</f>
        <v>0</v>
      </c>
      <c r="G20" s="501">
        <f t="shared" si="0"/>
        <v>0</v>
      </c>
      <c r="H20" s="501">
        <f t="shared" si="0"/>
        <v>-1975</v>
      </c>
      <c r="I20" s="501">
        <f t="shared" si="0"/>
        <v>106389</v>
      </c>
      <c r="J20" s="501">
        <f t="shared" si="0"/>
        <v>-1200</v>
      </c>
      <c r="K20" s="501">
        <f t="shared" si="0"/>
        <v>0</v>
      </c>
      <c r="L20" s="501">
        <f t="shared" si="0"/>
        <v>0</v>
      </c>
      <c r="M20" s="501">
        <f t="shared" si="0"/>
        <v>0</v>
      </c>
      <c r="N20" s="501"/>
      <c r="O20" s="501">
        <f>SUM(O5:O19)</f>
        <v>0</v>
      </c>
      <c r="P20" s="501">
        <f>SUM(P5:P19)</f>
        <v>103214</v>
      </c>
      <c r="Q20" s="502"/>
    </row>
    <row r="21" spans="1:17" ht="13.5" customHeight="1">
      <c r="A21" s="8"/>
      <c r="B21" s="8"/>
      <c r="C21" s="448" t="s">
        <v>687</v>
      </c>
      <c r="D21" s="59"/>
      <c r="E21" s="503"/>
      <c r="F21" s="9"/>
      <c r="G21" s="9"/>
      <c r="H21" s="9"/>
      <c r="I21" s="9"/>
      <c r="J21" s="9"/>
      <c r="K21" s="9">
        <f>'[1]7'!J7</f>
        <v>0</v>
      </c>
      <c r="L21" s="9"/>
      <c r="M21" s="9">
        <f>'[1]7'!K7</f>
        <v>0</v>
      </c>
      <c r="N21" s="9"/>
      <c r="O21" s="9"/>
      <c r="P21" s="12">
        <f>SUM(F21:O21)</f>
        <v>0</v>
      </c>
      <c r="Q21" s="491"/>
    </row>
    <row r="22" spans="1:17" ht="13.5" customHeight="1">
      <c r="A22" s="8"/>
      <c r="B22" s="8"/>
      <c r="C22" s="448" t="s">
        <v>1874</v>
      </c>
      <c r="D22" s="59"/>
      <c r="E22" s="503"/>
      <c r="F22" s="9"/>
      <c r="G22" s="9"/>
      <c r="H22" s="9"/>
      <c r="I22" s="9"/>
      <c r="J22" s="9"/>
      <c r="K22" s="9"/>
      <c r="L22" s="9"/>
      <c r="M22" s="9"/>
      <c r="N22" s="9"/>
      <c r="O22" s="9"/>
      <c r="P22" s="12">
        <f>SUM(F22:O22)</f>
        <v>0</v>
      </c>
      <c r="Q22" s="491"/>
    </row>
    <row r="23" spans="1:17" ht="13.5" customHeight="1">
      <c r="A23" s="497"/>
      <c r="B23" s="497"/>
      <c r="C23" s="498" t="s">
        <v>253</v>
      </c>
      <c r="D23" s="499"/>
      <c r="E23" s="504"/>
      <c r="F23" s="501">
        <f aca="true" t="shared" si="1" ref="F23:M23">SUM(F20:F22)</f>
        <v>0</v>
      </c>
      <c r="G23" s="501">
        <f t="shared" si="1"/>
        <v>0</v>
      </c>
      <c r="H23" s="501">
        <f t="shared" si="1"/>
        <v>-1975</v>
      </c>
      <c r="I23" s="501">
        <f t="shared" si="1"/>
        <v>106389</v>
      </c>
      <c r="J23" s="501">
        <f t="shared" si="1"/>
        <v>-1200</v>
      </c>
      <c r="K23" s="501">
        <f t="shared" si="1"/>
        <v>0</v>
      </c>
      <c r="L23" s="501">
        <f t="shared" si="1"/>
        <v>0</v>
      </c>
      <c r="M23" s="501">
        <f t="shared" si="1"/>
        <v>0</v>
      </c>
      <c r="N23" s="501"/>
      <c r="O23" s="501">
        <f>SUM(O20:O22)</f>
        <v>0</v>
      </c>
      <c r="P23" s="501">
        <f>SUM(P20:P22)</f>
        <v>103214</v>
      </c>
      <c r="Q23" s="502"/>
    </row>
    <row r="24" spans="1:17" ht="13.5" customHeight="1">
      <c r="A24" s="63">
        <v>1</v>
      </c>
      <c r="B24" s="63">
        <v>13</v>
      </c>
      <c r="C24" s="46" t="s">
        <v>250</v>
      </c>
      <c r="D24" s="74"/>
      <c r="E24" s="505"/>
      <c r="F24" s="9"/>
      <c r="G24" s="9"/>
      <c r="H24" s="9"/>
      <c r="I24" s="9"/>
      <c r="J24" s="9"/>
      <c r="K24" s="9"/>
      <c r="L24" s="9"/>
      <c r="M24" s="9"/>
      <c r="N24" s="9"/>
      <c r="O24" s="9"/>
      <c r="P24" s="12"/>
      <c r="Q24" s="491"/>
    </row>
    <row r="25" spans="1:17" ht="13.5" customHeight="1">
      <c r="A25" s="63"/>
      <c r="B25" s="63"/>
      <c r="C25" s="506" t="s">
        <v>1234</v>
      </c>
      <c r="D25" s="74"/>
      <c r="E25" s="505"/>
      <c r="F25" s="9"/>
      <c r="G25" s="9"/>
      <c r="H25" s="9"/>
      <c r="I25" s="9"/>
      <c r="J25" s="9"/>
      <c r="K25" s="9"/>
      <c r="L25" s="9"/>
      <c r="M25" s="9"/>
      <c r="N25" s="9"/>
      <c r="O25" s="9"/>
      <c r="P25" s="12"/>
      <c r="Q25" s="491"/>
    </row>
    <row r="26" spans="1:17" ht="13.5" customHeight="1">
      <c r="A26" s="63"/>
      <c r="B26" s="63"/>
      <c r="C26" s="1214" t="s">
        <v>1461</v>
      </c>
      <c r="D26" s="1215"/>
      <c r="E26" s="507"/>
      <c r="F26" s="9"/>
      <c r="G26" s="9"/>
      <c r="H26" s="235"/>
      <c r="I26" s="235"/>
      <c r="J26" s="235"/>
      <c r="K26" s="9"/>
      <c r="L26" s="9"/>
      <c r="M26" s="9"/>
      <c r="N26" s="9"/>
      <c r="O26" s="9"/>
      <c r="P26" s="12"/>
      <c r="Q26" s="491"/>
    </row>
    <row r="27" spans="1:17" ht="13.5" customHeight="1">
      <c r="A27" s="63"/>
      <c r="B27" s="63"/>
      <c r="C27" s="1263" t="s">
        <v>688</v>
      </c>
      <c r="D27" s="1265"/>
      <c r="E27" s="507">
        <v>2</v>
      </c>
      <c r="F27" s="9"/>
      <c r="G27" s="9"/>
      <c r="H27" s="235"/>
      <c r="I27" s="235"/>
      <c r="J27" s="235">
        <v>105</v>
      </c>
      <c r="K27" s="9"/>
      <c r="L27" s="9"/>
      <c r="M27" s="9"/>
      <c r="N27" s="9"/>
      <c r="O27" s="9"/>
      <c r="P27" s="12">
        <f>SUM(F27:O27)</f>
        <v>105</v>
      </c>
      <c r="Q27" s="491" t="s">
        <v>606</v>
      </c>
    </row>
    <row r="28" spans="1:17" ht="24.75" customHeight="1">
      <c r="A28" s="63"/>
      <c r="B28" s="63"/>
      <c r="C28" s="1266" t="s">
        <v>689</v>
      </c>
      <c r="D28" s="1267"/>
      <c r="E28" s="508">
        <v>2</v>
      </c>
      <c r="F28" s="235">
        <v>750</v>
      </c>
      <c r="G28" s="235">
        <v>203</v>
      </c>
      <c r="H28" s="235">
        <v>497</v>
      </c>
      <c r="I28" s="235"/>
      <c r="J28" s="235"/>
      <c r="K28" s="9"/>
      <c r="L28" s="9"/>
      <c r="M28" s="9"/>
      <c r="N28" s="9"/>
      <c r="O28" s="9"/>
      <c r="P28" s="12">
        <f>SUM(F28:O28)</f>
        <v>1450</v>
      </c>
      <c r="Q28" s="491" t="s">
        <v>606</v>
      </c>
    </row>
    <row r="29" spans="1:17" ht="15.75" customHeight="1">
      <c r="A29" s="63"/>
      <c r="B29" s="63"/>
      <c r="C29" s="1326" t="s">
        <v>1235</v>
      </c>
      <c r="D29" s="1327"/>
      <c r="E29" s="508"/>
      <c r="F29" s="235"/>
      <c r="G29" s="235"/>
      <c r="H29" s="235"/>
      <c r="I29" s="235"/>
      <c r="J29" s="235"/>
      <c r="K29" s="9"/>
      <c r="L29" s="9"/>
      <c r="M29" s="9"/>
      <c r="N29" s="9"/>
      <c r="O29" s="9"/>
      <c r="P29" s="12"/>
      <c r="Q29" s="491"/>
    </row>
    <row r="30" spans="1:17" ht="24.75" customHeight="1">
      <c r="A30" s="63"/>
      <c r="B30" s="63"/>
      <c r="C30" s="1266" t="s">
        <v>1463</v>
      </c>
      <c r="D30" s="1267"/>
      <c r="E30" s="509"/>
      <c r="F30" s="9"/>
      <c r="G30" s="9"/>
      <c r="H30" s="235"/>
      <c r="I30" s="235"/>
      <c r="J30" s="235"/>
      <c r="K30" s="9"/>
      <c r="L30" s="9"/>
      <c r="M30" s="9"/>
      <c r="N30" s="9"/>
      <c r="O30" s="9"/>
      <c r="P30" s="12"/>
      <c r="Q30" s="491"/>
    </row>
    <row r="31" spans="1:17" ht="13.5" customHeight="1">
      <c r="A31" s="63"/>
      <c r="B31" s="63"/>
      <c r="C31" s="14" t="s">
        <v>1877</v>
      </c>
      <c r="D31" s="65"/>
      <c r="E31" s="493">
        <v>2</v>
      </c>
      <c r="F31" s="9"/>
      <c r="G31" s="9"/>
      <c r="H31" s="235">
        <v>54</v>
      </c>
      <c r="I31" s="235"/>
      <c r="J31" s="235">
        <v>100</v>
      </c>
      <c r="K31" s="9"/>
      <c r="L31" s="9"/>
      <c r="M31" s="9"/>
      <c r="N31" s="9"/>
      <c r="O31" s="9"/>
      <c r="P31" s="12">
        <f>SUM(F31:O31)</f>
        <v>154</v>
      </c>
      <c r="Q31" s="491" t="s">
        <v>606</v>
      </c>
    </row>
    <row r="32" spans="1:17" ht="15" customHeight="1">
      <c r="A32" s="63"/>
      <c r="B32" s="63"/>
      <c r="C32" s="14" t="s">
        <v>1878</v>
      </c>
      <c r="D32" s="65"/>
      <c r="E32" s="510">
        <v>2</v>
      </c>
      <c r="F32" s="9"/>
      <c r="G32" s="9"/>
      <c r="H32" s="235">
        <v>39</v>
      </c>
      <c r="I32" s="235"/>
      <c r="J32" s="235"/>
      <c r="K32" s="9"/>
      <c r="L32" s="9"/>
      <c r="M32" s="9"/>
      <c r="N32" s="9"/>
      <c r="O32" s="9"/>
      <c r="P32" s="12">
        <f>SUM(F32:O32)</f>
        <v>39</v>
      </c>
      <c r="Q32" s="491" t="s">
        <v>606</v>
      </c>
    </row>
    <row r="33" spans="1:17" ht="15" customHeight="1">
      <c r="A33" s="63"/>
      <c r="B33" s="63"/>
      <c r="C33" s="64" t="s">
        <v>1464</v>
      </c>
      <c r="D33" s="65"/>
      <c r="E33" s="511"/>
      <c r="F33" s="9"/>
      <c r="G33" s="9"/>
      <c r="H33" s="235"/>
      <c r="I33" s="235"/>
      <c r="J33" s="235"/>
      <c r="K33" s="9"/>
      <c r="L33" s="9"/>
      <c r="M33" s="9"/>
      <c r="N33" s="9"/>
      <c r="O33" s="9"/>
      <c r="P33" s="12"/>
      <c r="Q33" s="491"/>
    </row>
    <row r="34" spans="1:17" ht="13.5" customHeight="1">
      <c r="A34" s="63"/>
      <c r="B34" s="63"/>
      <c r="C34" s="14" t="s">
        <v>690</v>
      </c>
      <c r="D34" s="65"/>
      <c r="E34" s="493">
        <v>2</v>
      </c>
      <c r="F34" s="9"/>
      <c r="G34" s="9"/>
      <c r="H34" s="235">
        <v>14</v>
      </c>
      <c r="I34" s="235"/>
      <c r="J34" s="235"/>
      <c r="K34" s="9"/>
      <c r="L34" s="9"/>
      <c r="M34" s="9"/>
      <c r="N34" s="9"/>
      <c r="O34" s="9"/>
      <c r="P34" s="12">
        <f>SUM(F34:O34)</f>
        <v>14</v>
      </c>
      <c r="Q34" s="491" t="s">
        <v>606</v>
      </c>
    </row>
    <row r="35" spans="1:17" ht="13.5" customHeight="1">
      <c r="A35" s="63"/>
      <c r="B35" s="63"/>
      <c r="C35" s="732" t="s">
        <v>1465</v>
      </c>
      <c r="D35" s="733"/>
      <c r="E35" s="492"/>
      <c r="F35" s="9"/>
      <c r="G35" s="9"/>
      <c r="H35" s="235"/>
      <c r="I35" s="235"/>
      <c r="J35" s="235"/>
      <c r="K35" s="9"/>
      <c r="L35" s="9"/>
      <c r="M35" s="9"/>
      <c r="N35" s="9"/>
      <c r="O35" s="9"/>
      <c r="P35" s="12"/>
      <c r="Q35" s="491"/>
    </row>
    <row r="36" spans="1:17" ht="13.5" customHeight="1">
      <c r="A36" s="63"/>
      <c r="B36" s="63"/>
      <c r="C36" s="1263" t="s">
        <v>1684</v>
      </c>
      <c r="D36" s="1338"/>
      <c r="E36" s="509">
        <v>2</v>
      </c>
      <c r="F36" s="9"/>
      <c r="G36" s="9"/>
      <c r="H36" s="235">
        <v>187</v>
      </c>
      <c r="I36" s="235"/>
      <c r="J36" s="235"/>
      <c r="K36" s="9"/>
      <c r="L36" s="9"/>
      <c r="M36" s="9"/>
      <c r="N36" s="9"/>
      <c r="O36" s="9"/>
      <c r="P36" s="12">
        <f>SUM(F36:O36)</f>
        <v>187</v>
      </c>
      <c r="Q36" s="491" t="s">
        <v>606</v>
      </c>
    </row>
    <row r="37" spans="1:17" ht="13.5" customHeight="1">
      <c r="A37" s="63"/>
      <c r="B37" s="63"/>
      <c r="C37" s="1266" t="s">
        <v>1295</v>
      </c>
      <c r="D37" s="1267"/>
      <c r="E37" s="510">
        <v>2</v>
      </c>
      <c r="F37" s="9"/>
      <c r="G37" s="9"/>
      <c r="H37" s="235"/>
      <c r="I37" s="235"/>
      <c r="J37" s="235">
        <v>-1000</v>
      </c>
      <c r="K37" s="9"/>
      <c r="L37" s="9"/>
      <c r="M37" s="9"/>
      <c r="N37" s="9"/>
      <c r="O37" s="9"/>
      <c r="P37" s="12">
        <f>SUM(F37:O37)</f>
        <v>-1000</v>
      </c>
      <c r="Q37" s="491" t="s">
        <v>606</v>
      </c>
    </row>
    <row r="38" spans="1:17" ht="13.5" customHeight="1">
      <c r="A38" s="63"/>
      <c r="B38" s="63"/>
      <c r="C38" s="14" t="s">
        <v>725</v>
      </c>
      <c r="D38" s="442"/>
      <c r="E38" s="510">
        <v>1</v>
      </c>
      <c r="F38" s="9"/>
      <c r="G38" s="9"/>
      <c r="H38" s="235"/>
      <c r="I38" s="235"/>
      <c r="J38" s="235">
        <v>-1000</v>
      </c>
      <c r="K38" s="9"/>
      <c r="L38" s="9"/>
      <c r="M38" s="9"/>
      <c r="N38" s="9"/>
      <c r="O38" s="9"/>
      <c r="P38" s="12">
        <f>SUM(F38:O38)</f>
        <v>-1000</v>
      </c>
      <c r="Q38" s="491" t="s">
        <v>606</v>
      </c>
    </row>
    <row r="39" spans="1:17" ht="13.5" customHeight="1">
      <c r="A39" s="63"/>
      <c r="B39" s="63"/>
      <c r="C39" s="14" t="s">
        <v>691</v>
      </c>
      <c r="D39" s="442"/>
      <c r="E39" s="510">
        <v>2</v>
      </c>
      <c r="F39" s="9"/>
      <c r="G39" s="9"/>
      <c r="H39" s="235"/>
      <c r="I39" s="235"/>
      <c r="J39" s="235">
        <v>1500</v>
      </c>
      <c r="K39" s="9"/>
      <c r="L39" s="9"/>
      <c r="M39" s="9"/>
      <c r="N39" s="9"/>
      <c r="O39" s="9"/>
      <c r="P39" s="12">
        <f>SUM(F39:O39)</f>
        <v>1500</v>
      </c>
      <c r="Q39" s="491" t="s">
        <v>606</v>
      </c>
    </row>
    <row r="40" spans="1:17" ht="13.5" customHeight="1">
      <c r="A40" s="63"/>
      <c r="B40" s="63"/>
      <c r="C40" s="732" t="s">
        <v>1554</v>
      </c>
      <c r="D40" s="733"/>
      <c r="E40" s="492"/>
      <c r="F40" s="9"/>
      <c r="G40" s="9"/>
      <c r="H40" s="235"/>
      <c r="I40" s="235"/>
      <c r="J40" s="235"/>
      <c r="K40" s="9"/>
      <c r="L40" s="9"/>
      <c r="M40" s="9"/>
      <c r="N40" s="9"/>
      <c r="O40" s="9"/>
      <c r="P40" s="12"/>
      <c r="Q40" s="491"/>
    </row>
    <row r="41" spans="1:17" ht="13.5" customHeight="1">
      <c r="A41" s="63"/>
      <c r="B41" s="63"/>
      <c r="C41" s="14" t="s">
        <v>1879</v>
      </c>
      <c r="D41" s="65"/>
      <c r="E41" s="496">
        <v>2</v>
      </c>
      <c r="F41" s="9"/>
      <c r="G41" s="9"/>
      <c r="H41" s="235"/>
      <c r="I41" s="235"/>
      <c r="J41" s="235">
        <v>150</v>
      </c>
      <c r="K41" s="9"/>
      <c r="L41" s="9"/>
      <c r="M41" s="9"/>
      <c r="N41" s="9"/>
      <c r="O41" s="9"/>
      <c r="P41" s="12">
        <f>SUM(F41:O41)</f>
        <v>150</v>
      </c>
      <c r="Q41" s="491" t="s">
        <v>643</v>
      </c>
    </row>
    <row r="42" spans="1:17" ht="13.5" customHeight="1">
      <c r="A42" s="63"/>
      <c r="B42" s="63"/>
      <c r="C42" s="14" t="s">
        <v>692</v>
      </c>
      <c r="D42" s="512"/>
      <c r="E42" s="496">
        <v>2</v>
      </c>
      <c r="F42" s="9"/>
      <c r="G42" s="9"/>
      <c r="H42" s="235"/>
      <c r="I42" s="235"/>
      <c r="J42" s="235">
        <v>5050</v>
      </c>
      <c r="K42" s="9"/>
      <c r="L42" s="9"/>
      <c r="M42" s="9"/>
      <c r="N42" s="9"/>
      <c r="O42" s="9"/>
      <c r="P42" s="12">
        <f>SUM(F42:O42)</f>
        <v>5050</v>
      </c>
      <c r="Q42" s="491" t="s">
        <v>643</v>
      </c>
    </row>
    <row r="43" spans="1:17" ht="13.5" customHeight="1">
      <c r="A43" s="63"/>
      <c r="B43" s="63"/>
      <c r="C43" s="1266" t="s">
        <v>657</v>
      </c>
      <c r="D43" s="1267"/>
      <c r="E43" s="496">
        <v>2</v>
      </c>
      <c r="F43" s="9"/>
      <c r="G43" s="9"/>
      <c r="H43" s="235">
        <v>9700</v>
      </c>
      <c r="I43" s="235"/>
      <c r="J43" s="235"/>
      <c r="K43" s="9"/>
      <c r="L43" s="9"/>
      <c r="M43" s="9"/>
      <c r="N43" s="9"/>
      <c r="O43" s="9"/>
      <c r="P43" s="12">
        <f>SUM(F43:O43)</f>
        <v>9700</v>
      </c>
      <c r="Q43" s="491" t="s">
        <v>606</v>
      </c>
    </row>
    <row r="44" spans="1:17" ht="13.5" customHeight="1">
      <c r="A44" s="63"/>
      <c r="B44" s="63"/>
      <c r="C44" s="1342" t="s">
        <v>365</v>
      </c>
      <c r="D44" s="1343"/>
      <c r="E44" s="496"/>
      <c r="F44" s="9"/>
      <c r="G44" s="9"/>
      <c r="H44" s="235"/>
      <c r="I44" s="235"/>
      <c r="J44" s="235"/>
      <c r="K44" s="9"/>
      <c r="L44" s="9"/>
      <c r="M44" s="9"/>
      <c r="N44" s="9"/>
      <c r="O44" s="9"/>
      <c r="P44" s="12"/>
      <c r="Q44" s="491"/>
    </row>
    <row r="45" spans="1:17" ht="13.5" customHeight="1">
      <c r="A45" s="63"/>
      <c r="B45" s="63"/>
      <c r="C45" s="732" t="s">
        <v>1555</v>
      </c>
      <c r="D45" s="733"/>
      <c r="E45" s="492"/>
      <c r="F45" s="9"/>
      <c r="G45" s="9"/>
      <c r="H45" s="235"/>
      <c r="I45" s="235"/>
      <c r="J45" s="235"/>
      <c r="K45" s="9"/>
      <c r="L45" s="9"/>
      <c r="M45" s="9"/>
      <c r="N45" s="9"/>
      <c r="O45" s="9"/>
      <c r="P45" s="12"/>
      <c r="Q45" s="491"/>
    </row>
    <row r="46" spans="1:17" ht="13.5" customHeight="1">
      <c r="A46" s="63"/>
      <c r="B46" s="63"/>
      <c r="C46" s="14" t="s">
        <v>1101</v>
      </c>
      <c r="D46" s="65"/>
      <c r="E46" s="493">
        <v>2</v>
      </c>
      <c r="F46" s="9"/>
      <c r="G46" s="9"/>
      <c r="H46" s="235">
        <v>127</v>
      </c>
      <c r="I46" s="235"/>
      <c r="J46" s="235"/>
      <c r="K46" s="9"/>
      <c r="L46" s="9"/>
      <c r="M46" s="9"/>
      <c r="N46" s="9"/>
      <c r="O46" s="9"/>
      <c r="P46" s="12">
        <f>SUM(F46:O46)</f>
        <v>127</v>
      </c>
      <c r="Q46" s="491" t="s">
        <v>606</v>
      </c>
    </row>
    <row r="47" spans="1:17" ht="13.5" customHeight="1">
      <c r="A47" s="63"/>
      <c r="B47" s="63"/>
      <c r="C47" s="730" t="s">
        <v>1558</v>
      </c>
      <c r="D47" s="731"/>
      <c r="E47" s="509"/>
      <c r="F47" s="9"/>
      <c r="G47" s="9"/>
      <c r="H47" s="235"/>
      <c r="I47" s="235"/>
      <c r="J47" s="235"/>
      <c r="K47" s="9"/>
      <c r="L47" s="9"/>
      <c r="M47" s="9"/>
      <c r="N47" s="9"/>
      <c r="O47" s="9"/>
      <c r="P47" s="12"/>
      <c r="Q47" s="491"/>
    </row>
    <row r="48" spans="1:17" ht="13.5" customHeight="1">
      <c r="A48" s="63"/>
      <c r="B48" s="63"/>
      <c r="C48" s="14" t="s">
        <v>1103</v>
      </c>
      <c r="D48" s="65"/>
      <c r="E48" s="493">
        <v>1</v>
      </c>
      <c r="F48" s="9"/>
      <c r="G48" s="9"/>
      <c r="H48" s="235"/>
      <c r="I48" s="235"/>
      <c r="J48" s="235">
        <v>-28932</v>
      </c>
      <c r="K48" s="9"/>
      <c r="L48" s="9"/>
      <c r="M48" s="9"/>
      <c r="N48" s="9"/>
      <c r="O48" s="9"/>
      <c r="P48" s="12">
        <f>SUM(F48:O48)</f>
        <v>-28932</v>
      </c>
      <c r="Q48" s="491" t="s">
        <v>606</v>
      </c>
    </row>
    <row r="49" spans="1:17" ht="13.5" customHeight="1">
      <c r="A49" s="63"/>
      <c r="B49" s="63"/>
      <c r="C49" s="14" t="s">
        <v>1557</v>
      </c>
      <c r="D49" s="65"/>
      <c r="E49" s="493"/>
      <c r="F49" s="9"/>
      <c r="G49" s="9"/>
      <c r="H49" s="235"/>
      <c r="I49" s="235"/>
      <c r="J49" s="235"/>
      <c r="K49" s="9"/>
      <c r="L49" s="9"/>
      <c r="M49" s="9"/>
      <c r="N49" s="9"/>
      <c r="O49" s="9"/>
      <c r="P49" s="12"/>
      <c r="Q49" s="491"/>
    </row>
    <row r="50" spans="1:17" ht="13.5" customHeight="1">
      <c r="A50" s="63"/>
      <c r="B50" s="63"/>
      <c r="C50" s="14" t="s">
        <v>693</v>
      </c>
      <c r="D50" s="65"/>
      <c r="E50" s="493">
        <v>1</v>
      </c>
      <c r="F50" s="9"/>
      <c r="G50" s="9"/>
      <c r="H50" s="235">
        <v>2465</v>
      </c>
      <c r="I50" s="235"/>
      <c r="J50" s="235"/>
      <c r="K50" s="9"/>
      <c r="L50" s="9"/>
      <c r="M50" s="9"/>
      <c r="N50" s="9"/>
      <c r="O50" s="9"/>
      <c r="P50" s="12">
        <f>SUM(F50:O50)</f>
        <v>2465</v>
      </c>
      <c r="Q50" s="491" t="s">
        <v>606</v>
      </c>
    </row>
    <row r="51" spans="1:17" ht="15" customHeight="1">
      <c r="A51" s="63"/>
      <c r="B51" s="63"/>
      <c r="C51" s="1263" t="s">
        <v>1468</v>
      </c>
      <c r="D51" s="1264"/>
      <c r="E51" s="493"/>
      <c r="F51" s="9"/>
      <c r="G51" s="9"/>
      <c r="H51" s="235"/>
      <c r="I51" s="235"/>
      <c r="J51" s="235"/>
      <c r="K51" s="9"/>
      <c r="L51" s="9"/>
      <c r="M51" s="9"/>
      <c r="N51" s="9"/>
      <c r="O51" s="9"/>
      <c r="P51" s="12"/>
      <c r="Q51" s="491"/>
    </row>
    <row r="52" spans="1:17" ht="15" customHeight="1">
      <c r="A52" s="63"/>
      <c r="B52" s="63"/>
      <c r="C52" s="732" t="s">
        <v>1872</v>
      </c>
      <c r="D52" s="733"/>
      <c r="E52" s="493">
        <v>2</v>
      </c>
      <c r="F52" s="235"/>
      <c r="G52" s="235"/>
      <c r="H52" s="235">
        <v>250</v>
      </c>
      <c r="I52" s="235"/>
      <c r="J52" s="235"/>
      <c r="K52" s="9"/>
      <c r="L52" s="9"/>
      <c r="M52" s="9"/>
      <c r="N52" s="9"/>
      <c r="O52" s="9"/>
      <c r="P52" s="12">
        <f>SUM(F52:O52)</f>
        <v>250</v>
      </c>
      <c r="Q52" s="491" t="s">
        <v>606</v>
      </c>
    </row>
    <row r="53" spans="1:17" ht="13.5" customHeight="1">
      <c r="A53" s="63"/>
      <c r="B53" s="63"/>
      <c r="C53" s="513" t="s">
        <v>1686</v>
      </c>
      <c r="D53" s="65"/>
      <c r="E53" s="493"/>
      <c r="F53" s="9"/>
      <c r="G53" s="9"/>
      <c r="H53" s="235"/>
      <c r="I53" s="235"/>
      <c r="J53" s="235"/>
      <c r="K53" s="9"/>
      <c r="L53" s="9"/>
      <c r="M53" s="9"/>
      <c r="N53" s="9"/>
      <c r="O53" s="9"/>
      <c r="P53" s="12"/>
      <c r="Q53" s="491"/>
    </row>
    <row r="54" spans="1:17" ht="13.5" customHeight="1">
      <c r="A54" s="63"/>
      <c r="B54" s="63"/>
      <c r="C54" s="1214" t="s">
        <v>1560</v>
      </c>
      <c r="D54" s="1215"/>
      <c r="E54" s="492"/>
      <c r="F54" s="9"/>
      <c r="G54" s="9"/>
      <c r="H54" s="235"/>
      <c r="I54" s="235"/>
      <c r="J54" s="235"/>
      <c r="K54" s="9"/>
      <c r="L54" s="9"/>
      <c r="M54" s="9"/>
      <c r="N54" s="9"/>
      <c r="O54" s="9"/>
      <c r="P54" s="12"/>
      <c r="Q54" s="491"/>
    </row>
    <row r="55" spans="1:17" ht="13.5" customHeight="1">
      <c r="A55" s="63"/>
      <c r="B55" s="63"/>
      <c r="C55" s="14" t="s">
        <v>394</v>
      </c>
      <c r="D55" s="65"/>
      <c r="E55" s="493">
        <v>2</v>
      </c>
      <c r="F55" s="9"/>
      <c r="G55" s="9"/>
      <c r="H55" s="235"/>
      <c r="I55" s="235"/>
      <c r="J55" s="235">
        <v>53400</v>
      </c>
      <c r="K55" s="9"/>
      <c r="L55" s="9"/>
      <c r="M55" s="9"/>
      <c r="N55" s="9"/>
      <c r="O55" s="9"/>
      <c r="P55" s="12">
        <f>SUM(F55:O55)</f>
        <v>53400</v>
      </c>
      <c r="Q55" s="491" t="s">
        <v>606</v>
      </c>
    </row>
    <row r="56" spans="1:17" ht="13.5" customHeight="1">
      <c r="A56" s="63"/>
      <c r="B56" s="63"/>
      <c r="C56" s="14" t="s">
        <v>395</v>
      </c>
      <c r="D56" s="65"/>
      <c r="E56" s="493">
        <v>2</v>
      </c>
      <c r="F56" s="9"/>
      <c r="G56" s="9"/>
      <c r="H56" s="235"/>
      <c r="I56" s="235"/>
      <c r="J56" s="235">
        <v>175</v>
      </c>
      <c r="K56" s="9"/>
      <c r="L56" s="9"/>
      <c r="M56" s="9"/>
      <c r="N56" s="9"/>
      <c r="O56" s="235"/>
      <c r="P56" s="12">
        <f>SUM(F56:O56)</f>
        <v>175</v>
      </c>
      <c r="Q56" s="491" t="s">
        <v>606</v>
      </c>
    </row>
    <row r="57" spans="1:17" ht="13.5" customHeight="1">
      <c r="A57" s="63"/>
      <c r="B57" s="63"/>
      <c r="C57" s="1214" t="s">
        <v>1223</v>
      </c>
      <c r="D57" s="1215"/>
      <c r="E57" s="493">
        <v>1</v>
      </c>
      <c r="F57" s="9"/>
      <c r="G57" s="9"/>
      <c r="H57" s="235"/>
      <c r="I57" s="235"/>
      <c r="J57" s="235">
        <v>100</v>
      </c>
      <c r="K57" s="9"/>
      <c r="L57" s="9"/>
      <c r="M57" s="9"/>
      <c r="N57" s="9"/>
      <c r="O57" s="235"/>
      <c r="P57" s="12">
        <f>SUM(F57:O57)</f>
        <v>100</v>
      </c>
      <c r="Q57" s="491" t="s">
        <v>606</v>
      </c>
    </row>
    <row r="58" spans="1:17" ht="13.5" customHeight="1">
      <c r="A58" s="63"/>
      <c r="B58" s="63"/>
      <c r="C58" s="1214" t="s">
        <v>1561</v>
      </c>
      <c r="D58" s="1215"/>
      <c r="E58" s="492"/>
      <c r="F58" s="9"/>
      <c r="G58" s="9"/>
      <c r="H58" s="235"/>
      <c r="I58" s="235"/>
      <c r="J58" s="235"/>
      <c r="K58" s="9"/>
      <c r="L58" s="9"/>
      <c r="M58" s="9"/>
      <c r="N58" s="9"/>
      <c r="O58" s="9"/>
      <c r="P58" s="12">
        <f>SUM(F58:O58)</f>
        <v>0</v>
      </c>
      <c r="Q58" s="491"/>
    </row>
    <row r="59" spans="1:17" ht="13.5" customHeight="1">
      <c r="A59" s="63"/>
      <c r="B59" s="63"/>
      <c r="C59" s="15" t="s">
        <v>1501</v>
      </c>
      <c r="D59" s="514"/>
      <c r="E59" s="63">
        <v>1</v>
      </c>
      <c r="F59" s="9"/>
      <c r="G59" s="9"/>
      <c r="H59" s="235">
        <v>127</v>
      </c>
      <c r="I59" s="235"/>
      <c r="J59" s="235">
        <v>100</v>
      </c>
      <c r="K59" s="9"/>
      <c r="L59" s="9"/>
      <c r="M59" s="9"/>
      <c r="N59" s="9"/>
      <c r="O59" s="9"/>
      <c r="P59" s="12">
        <f>SUM(F59:O59)</f>
        <v>227</v>
      </c>
      <c r="Q59" s="491" t="s">
        <v>606</v>
      </c>
    </row>
    <row r="60" spans="1:17" ht="13.5" customHeight="1">
      <c r="A60" s="63"/>
      <c r="B60" s="63"/>
      <c r="C60" s="766" t="s">
        <v>1562</v>
      </c>
      <c r="D60" s="727"/>
      <c r="E60" s="492"/>
      <c r="F60" s="9"/>
      <c r="G60" s="9"/>
      <c r="H60" s="235"/>
      <c r="I60" s="235"/>
      <c r="J60" s="235"/>
      <c r="K60" s="9"/>
      <c r="L60" s="9"/>
      <c r="M60" s="9"/>
      <c r="N60" s="9"/>
      <c r="O60" s="9"/>
      <c r="P60" s="12"/>
      <c r="Q60" s="491"/>
    </row>
    <row r="61" spans="1:17" ht="13.5" customHeight="1">
      <c r="A61" s="63"/>
      <c r="B61" s="63"/>
      <c r="C61" s="15" t="s">
        <v>1502</v>
      </c>
      <c r="D61" s="79"/>
      <c r="E61" s="515">
        <v>1</v>
      </c>
      <c r="F61" s="9"/>
      <c r="G61" s="9"/>
      <c r="H61" s="235"/>
      <c r="I61" s="235"/>
      <c r="J61" s="235">
        <v>-1900</v>
      </c>
      <c r="K61" s="9"/>
      <c r="L61" s="9"/>
      <c r="M61" s="9"/>
      <c r="N61" s="9"/>
      <c r="O61" s="9"/>
      <c r="P61" s="12">
        <f aca="true" t="shared" si="2" ref="P61:P66">SUM(F61:O61)</f>
        <v>-1900</v>
      </c>
      <c r="Q61" s="491" t="s">
        <v>606</v>
      </c>
    </row>
    <row r="62" spans="1:17" ht="13.5" customHeight="1">
      <c r="A62" s="63"/>
      <c r="B62" s="63"/>
      <c r="C62" s="1346" t="s">
        <v>1504</v>
      </c>
      <c r="D62" s="1347"/>
      <c r="E62" s="515">
        <v>1</v>
      </c>
      <c r="F62" s="9"/>
      <c r="G62" s="9"/>
      <c r="H62" s="235"/>
      <c r="I62" s="235"/>
      <c r="J62" s="235">
        <v>4534</v>
      </c>
      <c r="K62" s="9"/>
      <c r="L62" s="9"/>
      <c r="M62" s="9"/>
      <c r="N62" s="9"/>
      <c r="O62" s="9"/>
      <c r="P62" s="12">
        <f t="shared" si="2"/>
        <v>4534</v>
      </c>
      <c r="Q62" s="491" t="s">
        <v>606</v>
      </c>
    </row>
    <row r="63" spans="1:17" ht="13.5" customHeight="1">
      <c r="A63" s="63"/>
      <c r="B63" s="63"/>
      <c r="C63" s="15" t="s">
        <v>694</v>
      </c>
      <c r="D63" s="512"/>
      <c r="E63" s="496">
        <v>1</v>
      </c>
      <c r="F63" s="9"/>
      <c r="G63" s="9"/>
      <c r="H63" s="235"/>
      <c r="I63" s="235"/>
      <c r="J63" s="235"/>
      <c r="K63" s="9"/>
      <c r="L63" s="9"/>
      <c r="M63" s="9"/>
      <c r="N63" s="9"/>
      <c r="O63" s="9"/>
      <c r="P63" s="12">
        <f t="shared" si="2"/>
        <v>0</v>
      </c>
      <c r="Q63" s="491" t="s">
        <v>624</v>
      </c>
    </row>
    <row r="64" spans="1:17" ht="13.5" customHeight="1">
      <c r="A64" s="63"/>
      <c r="B64" s="63"/>
      <c r="C64" s="1261" t="s">
        <v>733</v>
      </c>
      <c r="D64" s="1339"/>
      <c r="E64" s="492">
        <v>2</v>
      </c>
      <c r="F64" s="9"/>
      <c r="G64" s="9"/>
      <c r="H64" s="235"/>
      <c r="I64" s="235"/>
      <c r="J64" s="235">
        <v>330</v>
      </c>
      <c r="K64" s="9"/>
      <c r="L64" s="9"/>
      <c r="M64" s="9"/>
      <c r="N64" s="9"/>
      <c r="O64" s="9"/>
      <c r="P64" s="12">
        <f t="shared" si="2"/>
        <v>330</v>
      </c>
      <c r="Q64" s="491" t="s">
        <v>606</v>
      </c>
    </row>
    <row r="65" spans="1:17" ht="24.75" customHeight="1">
      <c r="A65" s="63"/>
      <c r="B65" s="63"/>
      <c r="C65" s="1351" t="s">
        <v>695</v>
      </c>
      <c r="D65" s="1352"/>
      <c r="E65" s="492">
        <v>1</v>
      </c>
      <c r="F65" s="9"/>
      <c r="G65" s="9"/>
      <c r="H65" s="235"/>
      <c r="I65" s="235"/>
      <c r="J65" s="235">
        <v>1800</v>
      </c>
      <c r="K65" s="9"/>
      <c r="L65" s="9"/>
      <c r="M65" s="9"/>
      <c r="N65" s="9"/>
      <c r="O65" s="9"/>
      <c r="P65" s="12">
        <f t="shared" si="2"/>
        <v>1800</v>
      </c>
      <c r="Q65" s="491" t="s">
        <v>606</v>
      </c>
    </row>
    <row r="66" spans="1:17" ht="13.5" customHeight="1">
      <c r="A66" s="63"/>
      <c r="B66" s="63"/>
      <c r="C66" s="1263" t="s">
        <v>696</v>
      </c>
      <c r="D66" s="1353"/>
      <c r="E66" s="516">
        <v>2</v>
      </c>
      <c r="F66" s="9"/>
      <c r="G66" s="235"/>
      <c r="H66" s="235"/>
      <c r="I66" s="235"/>
      <c r="J66" s="235">
        <v>3450</v>
      </c>
      <c r="K66" s="9"/>
      <c r="L66" s="9"/>
      <c r="M66" s="9"/>
      <c r="N66" s="9"/>
      <c r="O66" s="9"/>
      <c r="P66" s="12">
        <f t="shared" si="2"/>
        <v>3450</v>
      </c>
      <c r="Q66" s="491" t="s">
        <v>606</v>
      </c>
    </row>
    <row r="67" spans="1:17" ht="13.5" customHeight="1">
      <c r="A67" s="68"/>
      <c r="B67" s="68"/>
      <c r="C67" s="517" t="s">
        <v>251</v>
      </c>
      <c r="D67" s="518"/>
      <c r="E67" s="68"/>
      <c r="F67" s="501">
        <f aca="true" t="shared" si="3" ref="F67:P67">SUM(F26:F66)</f>
        <v>750</v>
      </c>
      <c r="G67" s="501">
        <f t="shared" si="3"/>
        <v>203</v>
      </c>
      <c r="H67" s="501">
        <f t="shared" si="3"/>
        <v>13460</v>
      </c>
      <c r="I67" s="501">
        <f t="shared" si="3"/>
        <v>0</v>
      </c>
      <c r="J67" s="501">
        <f t="shared" si="3"/>
        <v>37962</v>
      </c>
      <c r="K67" s="501">
        <f t="shared" si="3"/>
        <v>0</v>
      </c>
      <c r="L67" s="501">
        <f t="shared" si="3"/>
        <v>0</v>
      </c>
      <c r="M67" s="501">
        <f t="shared" si="3"/>
        <v>0</v>
      </c>
      <c r="N67" s="501">
        <f t="shared" si="3"/>
        <v>0</v>
      </c>
      <c r="O67" s="501">
        <f t="shared" si="3"/>
        <v>0</v>
      </c>
      <c r="P67" s="501">
        <f t="shared" si="3"/>
        <v>52375</v>
      </c>
      <c r="Q67" s="501"/>
    </row>
    <row r="68" spans="1:17" ht="13.5" customHeight="1">
      <c r="A68" s="8"/>
      <c r="B68" s="8"/>
      <c r="C68" s="14" t="s">
        <v>1110</v>
      </c>
      <c r="D68" s="59"/>
      <c r="E68" s="78"/>
      <c r="F68" s="9"/>
      <c r="G68" s="9"/>
      <c r="H68" s="9"/>
      <c r="I68" s="9"/>
      <c r="J68" s="9"/>
      <c r="K68" s="235">
        <f>'[1]7'!J32</f>
        <v>42600</v>
      </c>
      <c r="L68" s="235"/>
      <c r="M68" s="235">
        <f>'[1]7'!K32</f>
        <v>16200</v>
      </c>
      <c r="N68" s="235"/>
      <c r="O68" s="8"/>
      <c r="P68" s="12">
        <f>SUM(F68:O68)</f>
        <v>58800</v>
      </c>
      <c r="Q68" s="491"/>
    </row>
    <row r="69" spans="1:17" ht="13.5" customHeight="1">
      <c r="A69" s="8"/>
      <c r="B69" s="8"/>
      <c r="C69" s="14" t="s">
        <v>1874</v>
      </c>
      <c r="D69" s="59"/>
      <c r="E69" s="78"/>
      <c r="F69" s="9"/>
      <c r="G69" s="9"/>
      <c r="H69" s="9"/>
      <c r="I69" s="9"/>
      <c r="J69" s="9"/>
      <c r="K69" s="235"/>
      <c r="L69" s="235">
        <f>'[1]8'!J44</f>
        <v>-2500</v>
      </c>
      <c r="M69" s="235">
        <f>'[1]8'!K44</f>
        <v>2500</v>
      </c>
      <c r="N69" s="235"/>
      <c r="O69" s="8"/>
      <c r="P69" s="12">
        <f>SUM(F69:O69)</f>
        <v>0</v>
      </c>
      <c r="Q69" s="491"/>
    </row>
    <row r="70" spans="1:17" ht="13.5" customHeight="1">
      <c r="A70" s="497"/>
      <c r="B70" s="497"/>
      <c r="C70" s="71" t="s">
        <v>252</v>
      </c>
      <c r="D70" s="499"/>
      <c r="E70" s="500"/>
      <c r="F70" s="501">
        <f aca="true" t="shared" si="4" ref="F70:P70">SUM(F67:F69)</f>
        <v>750</v>
      </c>
      <c r="G70" s="501">
        <f t="shared" si="4"/>
        <v>203</v>
      </c>
      <c r="H70" s="501">
        <f t="shared" si="4"/>
        <v>13460</v>
      </c>
      <c r="I70" s="501">
        <f t="shared" si="4"/>
        <v>0</v>
      </c>
      <c r="J70" s="501">
        <f t="shared" si="4"/>
        <v>37962</v>
      </c>
      <c r="K70" s="501">
        <f t="shared" si="4"/>
        <v>42600</v>
      </c>
      <c r="L70" s="501">
        <f t="shared" si="4"/>
        <v>-2500</v>
      </c>
      <c r="M70" s="501">
        <f t="shared" si="4"/>
        <v>18700</v>
      </c>
      <c r="N70" s="501">
        <f t="shared" si="4"/>
        <v>0</v>
      </c>
      <c r="O70" s="501">
        <f t="shared" si="4"/>
        <v>0</v>
      </c>
      <c r="P70" s="501">
        <f t="shared" si="4"/>
        <v>111175</v>
      </c>
      <c r="Q70" s="502"/>
    </row>
    <row r="71" spans="1:17" ht="13.5" customHeight="1">
      <c r="A71" s="8">
        <v>1</v>
      </c>
      <c r="B71" s="8">
        <v>15</v>
      </c>
      <c r="C71" s="519" t="s">
        <v>1111</v>
      </c>
      <c r="D71" s="514"/>
      <c r="E71" s="63"/>
      <c r="F71" s="9"/>
      <c r="G71" s="9"/>
      <c r="H71" s="9"/>
      <c r="I71" s="9"/>
      <c r="J71" s="9"/>
      <c r="K71" s="520"/>
      <c r="L71" s="520"/>
      <c r="M71" s="520"/>
      <c r="N71" s="520"/>
      <c r="O71" s="9"/>
      <c r="P71" s="12"/>
      <c r="Q71" s="521"/>
    </row>
    <row r="72" spans="1:17" ht="13.5" customHeight="1">
      <c r="A72" s="8"/>
      <c r="B72" s="8"/>
      <c r="C72" s="80" t="s">
        <v>1564</v>
      </c>
      <c r="D72" s="522" t="s">
        <v>912</v>
      </c>
      <c r="E72" s="78"/>
      <c r="F72" s="9"/>
      <c r="G72" s="9"/>
      <c r="H72" s="9"/>
      <c r="I72" s="9"/>
      <c r="J72" s="9"/>
      <c r="K72" s="520"/>
      <c r="L72" s="520"/>
      <c r="M72" s="520"/>
      <c r="N72" s="520"/>
      <c r="O72" s="9"/>
      <c r="P72" s="12"/>
      <c r="Q72" s="521"/>
    </row>
    <row r="73" spans="1:17" ht="13.5" customHeight="1">
      <c r="A73" s="8"/>
      <c r="B73" s="8"/>
      <c r="C73" s="15" t="s">
        <v>1892</v>
      </c>
      <c r="D73" s="514"/>
      <c r="E73" s="63">
        <v>1</v>
      </c>
      <c r="F73" s="235"/>
      <c r="G73" s="235"/>
      <c r="H73" s="235">
        <v>-1448</v>
      </c>
      <c r="I73" s="235"/>
      <c r="J73" s="235"/>
      <c r="K73" s="235"/>
      <c r="L73" s="235"/>
      <c r="M73" s="235"/>
      <c r="N73" s="235"/>
      <c r="O73" s="235"/>
      <c r="P73" s="12">
        <f aca="true" t="shared" si="5" ref="P73:P78">SUM(F73:O73)</f>
        <v>-1448</v>
      </c>
      <c r="Q73" s="521" t="s">
        <v>1112</v>
      </c>
    </row>
    <row r="74" spans="1:17" ht="13.5" customHeight="1">
      <c r="A74" s="8"/>
      <c r="B74" s="8"/>
      <c r="C74" s="80" t="s">
        <v>995</v>
      </c>
      <c r="D74" s="522"/>
      <c r="E74" s="63">
        <v>1</v>
      </c>
      <c r="F74" s="235"/>
      <c r="G74" s="235"/>
      <c r="H74" s="235">
        <v>771</v>
      </c>
      <c r="I74" s="235"/>
      <c r="J74" s="235"/>
      <c r="K74" s="235"/>
      <c r="L74" s="235"/>
      <c r="M74" s="235"/>
      <c r="N74" s="235"/>
      <c r="O74" s="235"/>
      <c r="P74" s="12">
        <f t="shared" si="5"/>
        <v>771</v>
      </c>
      <c r="Q74" s="521" t="s">
        <v>606</v>
      </c>
    </row>
    <row r="75" spans="1:17" ht="13.5" customHeight="1">
      <c r="A75" s="8"/>
      <c r="B75" s="8"/>
      <c r="C75" s="80" t="s">
        <v>1895</v>
      </c>
      <c r="D75" s="522"/>
      <c r="E75" s="63">
        <v>2</v>
      </c>
      <c r="F75" s="235"/>
      <c r="G75" s="235"/>
      <c r="H75" s="235">
        <v>-1000</v>
      </c>
      <c r="I75" s="235"/>
      <c r="J75" s="235"/>
      <c r="K75" s="235"/>
      <c r="L75" s="235"/>
      <c r="M75" s="235"/>
      <c r="N75" s="235"/>
      <c r="O75" s="235"/>
      <c r="P75" s="12">
        <f t="shared" si="5"/>
        <v>-1000</v>
      </c>
      <c r="Q75" s="521" t="s">
        <v>624</v>
      </c>
    </row>
    <row r="76" spans="1:17" ht="13.5" customHeight="1">
      <c r="A76" s="8"/>
      <c r="B76" s="8"/>
      <c r="C76" s="80" t="s">
        <v>1897</v>
      </c>
      <c r="D76" s="522"/>
      <c r="E76" s="63">
        <v>1</v>
      </c>
      <c r="F76" s="235"/>
      <c r="G76" s="235"/>
      <c r="H76" s="235">
        <v>390</v>
      </c>
      <c r="I76" s="235"/>
      <c r="J76" s="235"/>
      <c r="K76" s="235"/>
      <c r="L76" s="235"/>
      <c r="M76" s="235"/>
      <c r="N76" s="235"/>
      <c r="O76" s="235"/>
      <c r="P76" s="12">
        <f t="shared" si="5"/>
        <v>390</v>
      </c>
      <c r="Q76" s="521" t="s">
        <v>606</v>
      </c>
    </row>
    <row r="77" spans="1:17" ht="13.5" customHeight="1">
      <c r="A77" s="8"/>
      <c r="B77" s="8"/>
      <c r="C77" s="80" t="s">
        <v>1113</v>
      </c>
      <c r="D77" s="523"/>
      <c r="E77" s="524">
        <v>1</v>
      </c>
      <c r="F77" s="235"/>
      <c r="G77" s="235"/>
      <c r="H77" s="235">
        <v>1054</v>
      </c>
      <c r="I77" s="235"/>
      <c r="J77" s="235"/>
      <c r="K77" s="235"/>
      <c r="L77" s="235"/>
      <c r="M77" s="235"/>
      <c r="N77" s="235"/>
      <c r="O77" s="235"/>
      <c r="P77" s="12">
        <f t="shared" si="5"/>
        <v>1054</v>
      </c>
      <c r="Q77" s="521" t="s">
        <v>1112</v>
      </c>
    </row>
    <row r="78" spans="1:17" ht="13.5" customHeight="1">
      <c r="A78" s="8"/>
      <c r="B78" s="8"/>
      <c r="C78" s="1214" t="s">
        <v>1114</v>
      </c>
      <c r="D78" s="1348"/>
      <c r="E78" s="524">
        <v>2</v>
      </c>
      <c r="F78" s="235"/>
      <c r="G78" s="235"/>
      <c r="H78" s="235">
        <v>3628</v>
      </c>
      <c r="I78" s="235"/>
      <c r="J78" s="235"/>
      <c r="K78" s="235"/>
      <c r="L78" s="235"/>
      <c r="M78" s="235"/>
      <c r="N78" s="235"/>
      <c r="O78" s="235"/>
      <c r="P78" s="12">
        <f t="shared" si="5"/>
        <v>3628</v>
      </c>
      <c r="Q78" s="521" t="s">
        <v>606</v>
      </c>
    </row>
    <row r="79" spans="1:17" ht="13.5" customHeight="1">
      <c r="A79" s="8"/>
      <c r="B79" s="8"/>
      <c r="C79" s="1261" t="s">
        <v>1469</v>
      </c>
      <c r="D79" s="1340"/>
      <c r="E79" s="525"/>
      <c r="F79" s="235"/>
      <c r="G79" s="235"/>
      <c r="H79" s="235"/>
      <c r="I79" s="235"/>
      <c r="J79" s="235"/>
      <c r="K79" s="235"/>
      <c r="L79" s="235"/>
      <c r="M79" s="235"/>
      <c r="N79" s="235"/>
      <c r="O79" s="235"/>
      <c r="P79" s="12"/>
      <c r="Q79" s="521"/>
    </row>
    <row r="80" spans="1:17" ht="13.5" customHeight="1">
      <c r="A80" s="8"/>
      <c r="B80" s="8"/>
      <c r="C80" s="15" t="s">
        <v>1898</v>
      </c>
      <c r="D80" s="522"/>
      <c r="E80" s="78">
        <v>1</v>
      </c>
      <c r="F80" s="235"/>
      <c r="G80" s="235"/>
      <c r="H80" s="235">
        <v>5557</v>
      </c>
      <c r="I80" s="235"/>
      <c r="J80" s="235"/>
      <c r="K80" s="235"/>
      <c r="L80" s="235"/>
      <c r="M80" s="235"/>
      <c r="N80" s="235"/>
      <c r="O80" s="235"/>
      <c r="P80" s="12">
        <f>SUM(F80:O80)</f>
        <v>5557</v>
      </c>
      <c r="Q80" s="521" t="s">
        <v>606</v>
      </c>
    </row>
    <row r="81" spans="1:17" ht="13.5" customHeight="1">
      <c r="A81" s="8"/>
      <c r="B81" s="8"/>
      <c r="C81" s="1261" t="s">
        <v>338</v>
      </c>
      <c r="D81" s="1341"/>
      <c r="E81" s="525">
        <v>1</v>
      </c>
      <c r="F81" s="235"/>
      <c r="G81" s="235"/>
      <c r="H81" s="235">
        <v>1611</v>
      </c>
      <c r="I81" s="235"/>
      <c r="J81" s="235"/>
      <c r="K81" s="235"/>
      <c r="L81" s="235"/>
      <c r="M81" s="235"/>
      <c r="N81" s="235"/>
      <c r="O81" s="235"/>
      <c r="P81" s="12">
        <f>SUM(F81:O81)</f>
        <v>1611</v>
      </c>
      <c r="Q81" s="521" t="s">
        <v>606</v>
      </c>
    </row>
    <row r="82" spans="1:17" ht="13.5" customHeight="1">
      <c r="A82" s="8"/>
      <c r="B82" s="8"/>
      <c r="C82" s="1261" t="s">
        <v>1424</v>
      </c>
      <c r="D82" s="1340"/>
      <c r="E82" s="525"/>
      <c r="F82" s="235"/>
      <c r="G82" s="235"/>
      <c r="H82" s="235"/>
      <c r="I82" s="235"/>
      <c r="J82" s="235"/>
      <c r="K82" s="235"/>
      <c r="L82" s="235"/>
      <c r="M82" s="235"/>
      <c r="N82" s="235"/>
      <c r="O82" s="235"/>
      <c r="P82" s="12"/>
      <c r="Q82" s="521"/>
    </row>
    <row r="83" spans="1:17" ht="13.5" customHeight="1">
      <c r="A83" s="8"/>
      <c r="B83" s="8"/>
      <c r="C83" s="80" t="s">
        <v>755</v>
      </c>
      <c r="D83" s="526"/>
      <c r="E83" s="525">
        <v>1</v>
      </c>
      <c r="F83" s="235"/>
      <c r="G83" s="235"/>
      <c r="H83" s="235">
        <v>-389</v>
      </c>
      <c r="I83" s="235"/>
      <c r="J83" s="235"/>
      <c r="K83" s="235"/>
      <c r="L83" s="235"/>
      <c r="M83" s="235"/>
      <c r="N83" s="235"/>
      <c r="O83" s="235"/>
      <c r="P83" s="12">
        <f>SUM(F83:O83)</f>
        <v>-389</v>
      </c>
      <c r="Q83" s="521" t="s">
        <v>606</v>
      </c>
    </row>
    <row r="84" spans="1:17" ht="24.75" customHeight="1">
      <c r="A84" s="8"/>
      <c r="B84" s="8"/>
      <c r="C84" s="1249" t="s">
        <v>381</v>
      </c>
      <c r="D84" s="1335"/>
      <c r="E84" s="525">
        <v>1</v>
      </c>
      <c r="F84" s="235"/>
      <c r="G84" s="235"/>
      <c r="H84" s="235">
        <v>17073</v>
      </c>
      <c r="I84" s="235"/>
      <c r="J84" s="235"/>
      <c r="K84" s="235"/>
      <c r="L84" s="235"/>
      <c r="M84" s="235"/>
      <c r="N84" s="235"/>
      <c r="O84" s="235"/>
      <c r="P84" s="12">
        <f>SUM(F84:O84)</f>
        <v>17073</v>
      </c>
      <c r="Q84" s="521" t="s">
        <v>606</v>
      </c>
    </row>
    <row r="85" spans="1:17" ht="24.75" customHeight="1">
      <c r="A85" s="8"/>
      <c r="B85" s="8"/>
      <c r="C85" s="1249" t="s">
        <v>1425</v>
      </c>
      <c r="D85" s="1335"/>
      <c r="E85" s="525"/>
      <c r="F85" s="235"/>
      <c r="G85" s="235"/>
      <c r="H85" s="235"/>
      <c r="I85" s="235"/>
      <c r="J85" s="235"/>
      <c r="K85" s="235"/>
      <c r="L85" s="235"/>
      <c r="M85" s="235"/>
      <c r="N85" s="235"/>
      <c r="O85" s="235"/>
      <c r="P85" s="12"/>
      <c r="Q85" s="521"/>
    </row>
    <row r="86" spans="1:17" ht="15" customHeight="1">
      <c r="A86" s="8"/>
      <c r="B86" s="8"/>
      <c r="C86" s="15" t="s">
        <v>347</v>
      </c>
      <c r="D86" s="522"/>
      <c r="E86" s="525">
        <v>1</v>
      </c>
      <c r="F86" s="235"/>
      <c r="G86" s="235"/>
      <c r="H86" s="235">
        <v>-1500</v>
      </c>
      <c r="I86" s="235"/>
      <c r="J86" s="235"/>
      <c r="K86" s="235"/>
      <c r="L86" s="235"/>
      <c r="M86" s="235"/>
      <c r="N86" s="235"/>
      <c r="O86" s="235"/>
      <c r="P86" s="12">
        <f>SUM(F86:O86)</f>
        <v>-1500</v>
      </c>
      <c r="Q86" s="521" t="s">
        <v>624</v>
      </c>
    </row>
    <row r="87" spans="1:17" ht="13.5" customHeight="1">
      <c r="A87" s="8"/>
      <c r="B87" s="8"/>
      <c r="C87" s="766" t="s">
        <v>1426</v>
      </c>
      <c r="D87" s="1336"/>
      <c r="E87" s="52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12"/>
      <c r="Q87" s="521"/>
    </row>
    <row r="88" spans="1:17" ht="13.5" customHeight="1">
      <c r="A88" s="8"/>
      <c r="B88" s="8"/>
      <c r="C88" s="15" t="s">
        <v>348</v>
      </c>
      <c r="D88" s="522"/>
      <c r="E88" s="78">
        <v>1</v>
      </c>
      <c r="F88" s="235"/>
      <c r="G88" s="235"/>
      <c r="H88" s="235">
        <v>-993</v>
      </c>
      <c r="I88" s="235"/>
      <c r="J88" s="235"/>
      <c r="K88" s="235"/>
      <c r="L88" s="235"/>
      <c r="M88" s="235"/>
      <c r="N88" s="235"/>
      <c r="O88" s="235"/>
      <c r="P88" s="12">
        <f aca="true" t="shared" si="6" ref="P88:P94">SUM(F88:O88)</f>
        <v>-993</v>
      </c>
      <c r="Q88" s="521" t="s">
        <v>624</v>
      </c>
    </row>
    <row r="89" spans="1:17" ht="13.5" customHeight="1">
      <c r="A89" s="8"/>
      <c r="B89" s="8"/>
      <c r="C89" s="15" t="s">
        <v>351</v>
      </c>
      <c r="D89" s="514"/>
      <c r="E89" s="63">
        <v>1</v>
      </c>
      <c r="F89" s="235"/>
      <c r="G89" s="235"/>
      <c r="H89" s="235">
        <v>6483</v>
      </c>
      <c r="I89" s="235"/>
      <c r="J89" s="235"/>
      <c r="K89" s="235"/>
      <c r="L89" s="235"/>
      <c r="M89" s="235"/>
      <c r="N89" s="235"/>
      <c r="O89" s="235"/>
      <c r="P89" s="12">
        <f t="shared" si="6"/>
        <v>6483</v>
      </c>
      <c r="Q89" s="521" t="s">
        <v>606</v>
      </c>
    </row>
    <row r="90" spans="1:17" ht="13.5" customHeight="1">
      <c r="A90" s="8"/>
      <c r="B90" s="8"/>
      <c r="C90" s="15" t="s">
        <v>278</v>
      </c>
      <c r="D90" s="514"/>
      <c r="E90" s="63">
        <v>2</v>
      </c>
      <c r="F90" s="235"/>
      <c r="G90" s="235"/>
      <c r="H90" s="235">
        <v>-800</v>
      </c>
      <c r="I90" s="235"/>
      <c r="J90" s="235">
        <v>650</v>
      </c>
      <c r="K90" s="235"/>
      <c r="L90" s="235"/>
      <c r="M90" s="235"/>
      <c r="N90" s="235"/>
      <c r="O90" s="235"/>
      <c r="P90" s="12">
        <f t="shared" si="6"/>
        <v>-150</v>
      </c>
      <c r="Q90" s="521" t="s">
        <v>1112</v>
      </c>
    </row>
    <row r="91" spans="1:17" ht="13.5" customHeight="1">
      <c r="A91" s="8"/>
      <c r="B91" s="8"/>
      <c r="C91" s="15" t="s">
        <v>342</v>
      </c>
      <c r="D91" s="514"/>
      <c r="E91" s="63">
        <v>1</v>
      </c>
      <c r="F91" s="235"/>
      <c r="G91" s="235"/>
      <c r="H91" s="235">
        <v>3388</v>
      </c>
      <c r="I91" s="235"/>
      <c r="J91" s="235"/>
      <c r="K91" s="235"/>
      <c r="L91" s="235"/>
      <c r="M91" s="235"/>
      <c r="N91" s="235"/>
      <c r="O91" s="235"/>
      <c r="P91" s="12">
        <f t="shared" si="6"/>
        <v>3388</v>
      </c>
      <c r="Q91" s="521" t="s">
        <v>606</v>
      </c>
    </row>
    <row r="92" spans="1:17" ht="13.5" customHeight="1">
      <c r="A92" s="8"/>
      <c r="B92" s="8"/>
      <c r="C92" s="15" t="s">
        <v>1516</v>
      </c>
      <c r="D92" s="514"/>
      <c r="E92" s="63">
        <v>2</v>
      </c>
      <c r="F92" s="235"/>
      <c r="G92" s="235"/>
      <c r="H92" s="235">
        <v>-268</v>
      </c>
      <c r="I92" s="235"/>
      <c r="J92" s="235"/>
      <c r="K92" s="235"/>
      <c r="L92" s="235"/>
      <c r="M92" s="235"/>
      <c r="N92" s="235"/>
      <c r="O92" s="235"/>
      <c r="P92" s="12">
        <f t="shared" si="6"/>
        <v>-268</v>
      </c>
      <c r="Q92" s="521" t="s">
        <v>624</v>
      </c>
    </row>
    <row r="93" spans="1:17" ht="24.75" customHeight="1">
      <c r="A93" s="8"/>
      <c r="B93" s="8"/>
      <c r="C93" s="1344" t="s">
        <v>1115</v>
      </c>
      <c r="D93" s="1345"/>
      <c r="E93" s="63">
        <v>2</v>
      </c>
      <c r="F93" s="235">
        <v>392</v>
      </c>
      <c r="G93" s="235">
        <v>53</v>
      </c>
      <c r="H93" s="235">
        <v>310</v>
      </c>
      <c r="I93" s="235"/>
      <c r="J93" s="235"/>
      <c r="K93" s="235"/>
      <c r="L93" s="235"/>
      <c r="M93" s="235"/>
      <c r="N93" s="235"/>
      <c r="O93" s="235"/>
      <c r="P93" s="12">
        <f t="shared" si="6"/>
        <v>755</v>
      </c>
      <c r="Q93" s="521" t="s">
        <v>1112</v>
      </c>
    </row>
    <row r="94" spans="1:17" ht="13.5" customHeight="1">
      <c r="A94" s="8"/>
      <c r="B94" s="8"/>
      <c r="C94" s="15" t="s">
        <v>7</v>
      </c>
      <c r="D94" s="514"/>
      <c r="E94" s="63">
        <v>2</v>
      </c>
      <c r="F94" s="235"/>
      <c r="G94" s="235"/>
      <c r="H94" s="235">
        <v>-463</v>
      </c>
      <c r="I94" s="235"/>
      <c r="J94" s="235"/>
      <c r="K94" s="235"/>
      <c r="L94" s="235"/>
      <c r="M94" s="235"/>
      <c r="N94" s="235"/>
      <c r="O94" s="235"/>
      <c r="P94" s="12">
        <f t="shared" si="6"/>
        <v>-463</v>
      </c>
      <c r="Q94" s="521" t="s">
        <v>624</v>
      </c>
    </row>
    <row r="95" spans="1:17" ht="13.5" customHeight="1">
      <c r="A95" s="8"/>
      <c r="B95" s="8"/>
      <c r="C95" s="323" t="s">
        <v>1427</v>
      </c>
      <c r="D95" s="528"/>
      <c r="E95" s="529"/>
      <c r="F95" s="235"/>
      <c r="G95" s="235"/>
      <c r="H95" s="235"/>
      <c r="I95" s="235"/>
      <c r="J95" s="235"/>
      <c r="K95" s="235"/>
      <c r="L95" s="235"/>
      <c r="M95" s="235"/>
      <c r="N95" s="235"/>
      <c r="O95" s="235"/>
      <c r="P95" s="12"/>
      <c r="Q95" s="521"/>
    </row>
    <row r="96" spans="1:17" ht="13.5" customHeight="1">
      <c r="A96" s="8"/>
      <c r="B96" s="8"/>
      <c r="C96" s="15" t="s">
        <v>350</v>
      </c>
      <c r="D96" s="528"/>
      <c r="E96" s="529">
        <v>1</v>
      </c>
      <c r="F96" s="235"/>
      <c r="G96" s="235"/>
      <c r="H96" s="235">
        <v>-4000</v>
      </c>
      <c r="I96" s="235"/>
      <c r="J96" s="235"/>
      <c r="K96" s="235"/>
      <c r="L96" s="235"/>
      <c r="M96" s="235"/>
      <c r="N96" s="235"/>
      <c r="O96" s="235"/>
      <c r="P96" s="12">
        <f>SUM(F96:O96)</f>
        <v>-4000</v>
      </c>
      <c r="Q96" s="521" t="s">
        <v>624</v>
      </c>
    </row>
    <row r="97" spans="1:17" ht="13.5" customHeight="1">
      <c r="A97" s="8"/>
      <c r="B97" s="8"/>
      <c r="C97" s="766" t="s">
        <v>1428</v>
      </c>
      <c r="D97" s="1336"/>
      <c r="E97" s="525"/>
      <c r="F97" s="235"/>
      <c r="G97" s="235"/>
      <c r="H97" s="235"/>
      <c r="I97" s="235"/>
      <c r="J97" s="235"/>
      <c r="K97" s="235"/>
      <c r="L97" s="235"/>
      <c r="M97" s="235"/>
      <c r="N97" s="235"/>
      <c r="O97" s="235"/>
      <c r="P97" s="12"/>
      <c r="Q97" s="521"/>
    </row>
    <row r="98" spans="1:17" ht="13.5" customHeight="1">
      <c r="A98" s="8"/>
      <c r="B98" s="8"/>
      <c r="C98" s="16" t="s">
        <v>1099</v>
      </c>
      <c r="D98" s="527"/>
      <c r="E98" s="525">
        <v>2</v>
      </c>
      <c r="F98" s="235"/>
      <c r="G98" s="235"/>
      <c r="H98" s="235">
        <v>6282</v>
      </c>
      <c r="I98" s="235"/>
      <c r="J98" s="235"/>
      <c r="K98" s="235"/>
      <c r="L98" s="235"/>
      <c r="M98" s="235"/>
      <c r="N98" s="235"/>
      <c r="O98" s="235"/>
      <c r="P98" s="12">
        <f>SUM(F98:O98)</f>
        <v>6282</v>
      </c>
      <c r="Q98" s="521" t="s">
        <v>606</v>
      </c>
    </row>
    <row r="99" spans="1:17" ht="13.5" customHeight="1">
      <c r="A99" s="8"/>
      <c r="B99" s="8"/>
      <c r="C99" s="15" t="s">
        <v>38</v>
      </c>
      <c r="D99" s="527"/>
      <c r="E99" s="525">
        <v>2</v>
      </c>
      <c r="F99" s="235"/>
      <c r="G99" s="235"/>
      <c r="H99" s="235">
        <v>8890</v>
      </c>
      <c r="I99" s="235"/>
      <c r="J99" s="235"/>
      <c r="K99" s="235"/>
      <c r="L99" s="235"/>
      <c r="M99" s="235"/>
      <c r="N99" s="235"/>
      <c r="O99" s="235"/>
      <c r="P99" s="12">
        <f>SUM(F99:O99)</f>
        <v>8890</v>
      </c>
      <c r="Q99" s="521" t="s">
        <v>606</v>
      </c>
    </row>
    <row r="100" spans="1:17" ht="13.5" customHeight="1">
      <c r="A100" s="8"/>
      <c r="B100" s="8"/>
      <c r="C100" s="15" t="s">
        <v>345</v>
      </c>
      <c r="D100" s="522"/>
      <c r="E100" s="78">
        <v>2</v>
      </c>
      <c r="F100" s="235"/>
      <c r="G100" s="235"/>
      <c r="H100" s="235">
        <v>-5000</v>
      </c>
      <c r="I100" s="235"/>
      <c r="J100" s="235"/>
      <c r="K100" s="235"/>
      <c r="L100" s="235"/>
      <c r="M100" s="235"/>
      <c r="N100" s="235"/>
      <c r="O100" s="235"/>
      <c r="P100" s="12">
        <f>SUM(F100:O100)</f>
        <v>-5000</v>
      </c>
      <c r="Q100" s="521" t="s">
        <v>624</v>
      </c>
    </row>
    <row r="101" spans="1:17" ht="13.5" customHeight="1">
      <c r="A101" s="8"/>
      <c r="B101" s="8"/>
      <c r="C101" s="766" t="s">
        <v>1429</v>
      </c>
      <c r="D101" s="1336"/>
      <c r="E101" s="78"/>
      <c r="F101" s="235"/>
      <c r="G101" s="235"/>
      <c r="H101" s="235"/>
      <c r="I101" s="235"/>
      <c r="J101" s="235"/>
      <c r="K101" s="235"/>
      <c r="L101" s="235"/>
      <c r="M101" s="235"/>
      <c r="N101" s="235"/>
      <c r="O101" s="235"/>
      <c r="P101" s="12"/>
      <c r="Q101" s="521"/>
    </row>
    <row r="102" spans="1:17" ht="24.75" customHeight="1">
      <c r="A102" s="8"/>
      <c r="B102" s="8"/>
      <c r="C102" s="764" t="s">
        <v>757</v>
      </c>
      <c r="D102" s="1357"/>
      <c r="E102" s="78">
        <v>1</v>
      </c>
      <c r="F102" s="235"/>
      <c r="G102" s="235"/>
      <c r="H102" s="235"/>
      <c r="I102" s="235"/>
      <c r="J102" s="235">
        <v>2807</v>
      </c>
      <c r="K102" s="235"/>
      <c r="L102" s="235"/>
      <c r="M102" s="235"/>
      <c r="N102" s="235"/>
      <c r="O102" s="235"/>
      <c r="P102" s="12">
        <f>SUM(F102:O102)</f>
        <v>2807</v>
      </c>
      <c r="Q102" s="521" t="s">
        <v>606</v>
      </c>
    </row>
    <row r="103" spans="1:17" ht="15" customHeight="1">
      <c r="A103" s="8"/>
      <c r="B103" s="8"/>
      <c r="C103" s="1214" t="s">
        <v>1116</v>
      </c>
      <c r="D103" s="1348"/>
      <c r="E103" s="78">
        <v>1</v>
      </c>
      <c r="F103" s="235"/>
      <c r="G103" s="235"/>
      <c r="H103" s="235">
        <v>1000</v>
      </c>
      <c r="I103" s="235"/>
      <c r="J103" s="235"/>
      <c r="K103" s="235"/>
      <c r="L103" s="235"/>
      <c r="M103" s="235"/>
      <c r="N103" s="235"/>
      <c r="O103" s="235"/>
      <c r="P103" s="12">
        <f>SUM(F103:O103)</f>
        <v>1000</v>
      </c>
      <c r="Q103" s="521" t="s">
        <v>624</v>
      </c>
    </row>
    <row r="104" spans="1:17" ht="15" customHeight="1">
      <c r="A104" s="8"/>
      <c r="B104" s="8"/>
      <c r="C104" s="766" t="s">
        <v>1430</v>
      </c>
      <c r="D104" s="1336"/>
      <c r="E104" s="78"/>
      <c r="F104" s="235"/>
      <c r="G104" s="235"/>
      <c r="H104" s="235"/>
      <c r="I104" s="235"/>
      <c r="J104" s="235"/>
      <c r="K104" s="235"/>
      <c r="L104" s="235"/>
      <c r="M104" s="235"/>
      <c r="N104" s="235"/>
      <c r="O104" s="235"/>
      <c r="P104" s="12"/>
      <c r="Q104" s="521"/>
    </row>
    <row r="105" spans="1:17" ht="15" customHeight="1">
      <c r="A105" s="8"/>
      <c r="B105" s="8"/>
      <c r="C105" s="766" t="s">
        <v>124</v>
      </c>
      <c r="D105" s="1336"/>
      <c r="E105" s="78">
        <v>2</v>
      </c>
      <c r="F105" s="235"/>
      <c r="G105" s="235"/>
      <c r="H105" s="235">
        <v>1570</v>
      </c>
      <c r="I105" s="235"/>
      <c r="J105" s="235"/>
      <c r="K105" s="235"/>
      <c r="L105" s="235"/>
      <c r="M105" s="235"/>
      <c r="N105" s="235"/>
      <c r="O105" s="235"/>
      <c r="P105" s="12">
        <f>SUM(F105:O105)</f>
        <v>1570</v>
      </c>
      <c r="Q105" s="521" t="s">
        <v>606</v>
      </c>
    </row>
    <row r="106" spans="1:17" ht="15" customHeight="1">
      <c r="A106" s="8"/>
      <c r="B106" s="8"/>
      <c r="C106" s="14" t="s">
        <v>1433</v>
      </c>
      <c r="D106" s="530"/>
      <c r="E106" s="78"/>
      <c r="F106" s="235"/>
      <c r="G106" s="235"/>
      <c r="H106" s="235"/>
      <c r="I106" s="235"/>
      <c r="J106" s="235"/>
      <c r="K106" s="235"/>
      <c r="L106" s="235"/>
      <c r="M106" s="235"/>
      <c r="N106" s="235"/>
      <c r="O106" s="235"/>
      <c r="P106" s="12"/>
      <c r="Q106" s="521"/>
    </row>
    <row r="107" spans="1:17" ht="15" customHeight="1">
      <c r="A107" s="8"/>
      <c r="B107" s="8"/>
      <c r="C107" s="1355" t="s">
        <v>1117</v>
      </c>
      <c r="D107" s="1356"/>
      <c r="E107" s="450">
        <v>2</v>
      </c>
      <c r="F107" s="235"/>
      <c r="G107" s="235"/>
      <c r="H107" s="235"/>
      <c r="I107" s="235"/>
      <c r="J107" s="235">
        <v>2200</v>
      </c>
      <c r="K107" s="235"/>
      <c r="L107" s="235"/>
      <c r="M107" s="235"/>
      <c r="N107" s="235"/>
      <c r="O107" s="235"/>
      <c r="P107" s="12">
        <f>SUM(F107:O107)</f>
        <v>2200</v>
      </c>
      <c r="Q107" s="521" t="s">
        <v>606</v>
      </c>
    </row>
    <row r="108" spans="1:17" ht="13.5" customHeight="1">
      <c r="A108" s="497"/>
      <c r="B108" s="497"/>
      <c r="C108" s="71" t="s">
        <v>1118</v>
      </c>
      <c r="D108" s="499"/>
      <c r="E108" s="500"/>
      <c r="F108" s="501">
        <f aca="true" t="shared" si="7" ref="F108:P108">SUM(F72:F107)</f>
        <v>392</v>
      </c>
      <c r="G108" s="501">
        <f t="shared" si="7"/>
        <v>53</v>
      </c>
      <c r="H108" s="501">
        <f t="shared" si="7"/>
        <v>42146</v>
      </c>
      <c r="I108" s="501">
        <f t="shared" si="7"/>
        <v>0</v>
      </c>
      <c r="J108" s="501">
        <f t="shared" si="7"/>
        <v>5657</v>
      </c>
      <c r="K108" s="501">
        <f t="shared" si="7"/>
        <v>0</v>
      </c>
      <c r="L108" s="501">
        <f t="shared" si="7"/>
        <v>0</v>
      </c>
      <c r="M108" s="501">
        <f t="shared" si="7"/>
        <v>0</v>
      </c>
      <c r="N108" s="501">
        <f t="shared" si="7"/>
        <v>0</v>
      </c>
      <c r="O108" s="501">
        <f t="shared" si="7"/>
        <v>0</v>
      </c>
      <c r="P108" s="501">
        <f t="shared" si="7"/>
        <v>48248</v>
      </c>
      <c r="Q108" s="502"/>
    </row>
    <row r="109" spans="1:17" ht="13.5" customHeight="1">
      <c r="A109" s="8"/>
      <c r="B109" s="8"/>
      <c r="C109" s="14" t="s">
        <v>1119</v>
      </c>
      <c r="D109" s="514"/>
      <c r="E109" s="63"/>
      <c r="F109" s="9"/>
      <c r="G109" s="9"/>
      <c r="H109" s="9"/>
      <c r="I109" s="9"/>
      <c r="J109" s="9"/>
      <c r="K109" s="235">
        <f>'[1]7'!J121</f>
        <v>30299</v>
      </c>
      <c r="L109" s="235"/>
      <c r="M109" s="235">
        <f>'[1]7'!K121</f>
        <v>248324</v>
      </c>
      <c r="N109" s="235"/>
      <c r="O109" s="9"/>
      <c r="P109" s="12">
        <f>SUM(F109:O109)</f>
        <v>278623</v>
      </c>
      <c r="Q109" s="521"/>
    </row>
    <row r="110" spans="1:17" ht="13.5" customHeight="1">
      <c r="A110" s="8"/>
      <c r="B110" s="8"/>
      <c r="C110" s="14" t="s">
        <v>1883</v>
      </c>
      <c r="D110" s="514"/>
      <c r="E110" s="63"/>
      <c r="F110" s="9"/>
      <c r="G110" s="9"/>
      <c r="H110" s="9"/>
      <c r="I110" s="9"/>
      <c r="J110" s="9"/>
      <c r="K110" s="235"/>
      <c r="L110" s="235">
        <f>'[1]8'!J155</f>
        <v>2456</v>
      </c>
      <c r="M110" s="235">
        <f>'[1]8'!K155</f>
        <v>4300</v>
      </c>
      <c r="N110" s="235"/>
      <c r="O110" s="9"/>
      <c r="P110" s="12">
        <f>SUM(F110:O110)</f>
        <v>6756</v>
      </c>
      <c r="Q110" s="521"/>
    </row>
    <row r="111" spans="1:17" ht="13.5" customHeight="1">
      <c r="A111" s="233"/>
      <c r="B111" s="233"/>
      <c r="C111" s="71" t="s">
        <v>982</v>
      </c>
      <c r="D111" s="518"/>
      <c r="E111" s="68"/>
      <c r="F111" s="501">
        <f aca="true" t="shared" si="8" ref="F111:P111">SUM(F108:F110)</f>
        <v>392</v>
      </c>
      <c r="G111" s="501">
        <f t="shared" si="8"/>
        <v>53</v>
      </c>
      <c r="H111" s="501">
        <f t="shared" si="8"/>
        <v>42146</v>
      </c>
      <c r="I111" s="501">
        <f t="shared" si="8"/>
        <v>0</v>
      </c>
      <c r="J111" s="501">
        <f t="shared" si="8"/>
        <v>5657</v>
      </c>
      <c r="K111" s="501">
        <f t="shared" si="8"/>
        <v>30299</v>
      </c>
      <c r="L111" s="501">
        <f t="shared" si="8"/>
        <v>2456</v>
      </c>
      <c r="M111" s="501">
        <f t="shared" si="8"/>
        <v>252624</v>
      </c>
      <c r="N111" s="501">
        <f t="shared" si="8"/>
        <v>0</v>
      </c>
      <c r="O111" s="501">
        <f t="shared" si="8"/>
        <v>0</v>
      </c>
      <c r="P111" s="501">
        <f t="shared" si="8"/>
        <v>333627</v>
      </c>
      <c r="Q111" s="531"/>
    </row>
    <row r="112" spans="1:17" ht="13.5" customHeight="1">
      <c r="A112" s="8">
        <v>1</v>
      </c>
      <c r="B112" s="8">
        <v>16</v>
      </c>
      <c r="C112" s="519" t="s">
        <v>1493</v>
      </c>
      <c r="D112" s="532"/>
      <c r="E112" s="77"/>
      <c r="F112" s="9"/>
      <c r="G112" s="9"/>
      <c r="H112" s="9"/>
      <c r="I112" s="9"/>
      <c r="J112" s="9"/>
      <c r="K112" s="520"/>
      <c r="L112" s="520"/>
      <c r="M112" s="520"/>
      <c r="N112" s="520"/>
      <c r="O112" s="9"/>
      <c r="P112" s="12"/>
      <c r="Q112" s="533"/>
    </row>
    <row r="113" spans="1:17" ht="13.5" customHeight="1">
      <c r="A113" s="8"/>
      <c r="B113" s="8"/>
      <c r="C113" s="1354"/>
      <c r="D113" s="1330"/>
      <c r="E113" s="524"/>
      <c r="F113" s="9"/>
      <c r="G113" s="9"/>
      <c r="H113" s="9"/>
      <c r="I113" s="9"/>
      <c r="J113" s="9"/>
      <c r="K113" s="520"/>
      <c r="L113" s="520"/>
      <c r="M113" s="520"/>
      <c r="N113" s="520"/>
      <c r="O113" s="9"/>
      <c r="P113" s="12"/>
      <c r="Q113" s="533"/>
    </row>
    <row r="114" spans="1:17" ht="13.5" customHeight="1">
      <c r="A114" s="497"/>
      <c r="B114" s="497"/>
      <c r="C114" s="71" t="s">
        <v>1120</v>
      </c>
      <c r="D114" s="518"/>
      <c r="E114" s="68"/>
      <c r="F114" s="501"/>
      <c r="G114" s="501"/>
      <c r="H114" s="501"/>
      <c r="I114" s="501"/>
      <c r="J114" s="501"/>
      <c r="K114" s="501"/>
      <c r="L114" s="501"/>
      <c r="M114" s="501"/>
      <c r="N114" s="501"/>
      <c r="O114" s="501"/>
      <c r="P114" s="501"/>
      <c r="Q114" s="531"/>
    </row>
    <row r="115" spans="1:17" ht="13.5" customHeight="1">
      <c r="A115" s="9"/>
      <c r="B115" s="9"/>
      <c r="C115" s="14" t="s">
        <v>1121</v>
      </c>
      <c r="D115" s="532"/>
      <c r="E115" s="77"/>
      <c r="F115" s="9"/>
      <c r="G115" s="9"/>
      <c r="H115" s="9"/>
      <c r="I115" s="9"/>
      <c r="J115" s="9"/>
      <c r="K115" s="235">
        <f>'[1]7'!J231</f>
        <v>307743</v>
      </c>
      <c r="L115" s="235"/>
      <c r="M115" s="235">
        <f>'[1]7'!K231</f>
        <v>6368</v>
      </c>
      <c r="N115" s="235"/>
      <c r="O115" s="9"/>
      <c r="P115" s="12">
        <f>SUM(F115:O115)</f>
        <v>314111</v>
      </c>
      <c r="Q115" s="533"/>
    </row>
    <row r="116" spans="1:17" ht="13.5" customHeight="1">
      <c r="A116" s="9"/>
      <c r="B116" s="9"/>
      <c r="C116" s="14" t="s">
        <v>1874</v>
      </c>
      <c r="D116" s="532"/>
      <c r="E116" s="77"/>
      <c r="F116" s="9"/>
      <c r="G116" s="9"/>
      <c r="H116" s="9"/>
      <c r="I116" s="9"/>
      <c r="J116" s="9"/>
      <c r="K116" s="235"/>
      <c r="L116" s="235">
        <f>'[1]8'!J175</f>
        <v>7292</v>
      </c>
      <c r="M116" s="235">
        <f>'[1]8'!K175</f>
        <v>0</v>
      </c>
      <c r="N116" s="235"/>
      <c r="O116" s="9"/>
      <c r="P116" s="12">
        <f>SUM(F116:O116)</f>
        <v>7292</v>
      </c>
      <c r="Q116" s="533"/>
    </row>
    <row r="117" spans="1:17" ht="13.5" customHeight="1">
      <c r="A117" s="233"/>
      <c r="B117" s="233"/>
      <c r="C117" s="71" t="s">
        <v>986</v>
      </c>
      <c r="D117" s="518"/>
      <c r="E117" s="68"/>
      <c r="F117" s="501">
        <f aca="true" t="shared" si="9" ref="F117:M117">SUM(F114:F116)</f>
        <v>0</v>
      </c>
      <c r="G117" s="501">
        <f t="shared" si="9"/>
        <v>0</v>
      </c>
      <c r="H117" s="501">
        <f t="shared" si="9"/>
        <v>0</v>
      </c>
      <c r="I117" s="501">
        <f t="shared" si="9"/>
        <v>0</v>
      </c>
      <c r="J117" s="501">
        <f t="shared" si="9"/>
        <v>0</v>
      </c>
      <c r="K117" s="501">
        <f t="shared" si="9"/>
        <v>307743</v>
      </c>
      <c r="L117" s="501">
        <f t="shared" si="9"/>
        <v>7292</v>
      </c>
      <c r="M117" s="501">
        <f t="shared" si="9"/>
        <v>6368</v>
      </c>
      <c r="N117" s="501"/>
      <c r="O117" s="501">
        <f>SUM(O114:O116)</f>
        <v>0</v>
      </c>
      <c r="P117" s="501">
        <f>SUM(P114:P116)</f>
        <v>321403</v>
      </c>
      <c r="Q117" s="531"/>
    </row>
    <row r="118" spans="1:17" ht="13.5" customHeight="1">
      <c r="A118" s="8">
        <v>1</v>
      </c>
      <c r="B118" s="8">
        <v>17</v>
      </c>
      <c r="C118" s="519" t="s">
        <v>52</v>
      </c>
      <c r="D118" s="532"/>
      <c r="E118" s="77"/>
      <c r="F118" s="9"/>
      <c r="G118" s="9"/>
      <c r="H118" s="9"/>
      <c r="I118" s="9"/>
      <c r="J118" s="9"/>
      <c r="K118" s="520"/>
      <c r="L118" s="520"/>
      <c r="M118" s="520"/>
      <c r="N118" s="520"/>
      <c r="O118" s="9"/>
      <c r="P118" s="12"/>
      <c r="Q118" s="533"/>
    </row>
    <row r="119" spans="1:17" ht="15" customHeight="1">
      <c r="A119" s="8"/>
      <c r="B119" s="8"/>
      <c r="C119" s="1253" t="s">
        <v>1472</v>
      </c>
      <c r="D119" s="1389"/>
      <c r="E119" s="529"/>
      <c r="F119" s="9"/>
      <c r="G119" s="9"/>
      <c r="H119" s="9"/>
      <c r="I119" s="9"/>
      <c r="J119" s="9"/>
      <c r="K119" s="520"/>
      <c r="L119" s="520"/>
      <c r="M119" s="520"/>
      <c r="N119" s="520"/>
      <c r="O119" s="9"/>
      <c r="P119" s="12"/>
      <c r="Q119" s="533"/>
    </row>
    <row r="120" spans="1:17" ht="13.5" customHeight="1">
      <c r="A120" s="8"/>
      <c r="B120" s="8"/>
      <c r="C120" s="732" t="s">
        <v>1122</v>
      </c>
      <c r="D120" s="1388"/>
      <c r="E120" s="535">
        <v>1</v>
      </c>
      <c r="F120" s="9"/>
      <c r="G120" s="9"/>
      <c r="H120" s="235">
        <v>8603</v>
      </c>
      <c r="I120" s="9"/>
      <c r="J120" s="9"/>
      <c r="K120" s="520"/>
      <c r="L120" s="520"/>
      <c r="M120" s="520"/>
      <c r="N120" s="520"/>
      <c r="O120" s="9"/>
      <c r="P120" s="12">
        <f aca="true" t="shared" si="10" ref="P120:P126">SUM(F120:O120)</f>
        <v>8603</v>
      </c>
      <c r="Q120" s="521" t="s">
        <v>606</v>
      </c>
    </row>
    <row r="121" spans="1:17" ht="13.5" customHeight="1">
      <c r="A121" s="8"/>
      <c r="B121" s="8"/>
      <c r="C121" s="14" t="s">
        <v>116</v>
      </c>
      <c r="D121" s="532"/>
      <c r="E121" s="63">
        <v>1</v>
      </c>
      <c r="F121" s="9"/>
      <c r="G121" s="9"/>
      <c r="H121" s="235">
        <v>508</v>
      </c>
      <c r="I121" s="9"/>
      <c r="J121" s="9"/>
      <c r="K121" s="520"/>
      <c r="L121" s="520"/>
      <c r="M121" s="520"/>
      <c r="N121" s="520"/>
      <c r="O121" s="9"/>
      <c r="P121" s="12">
        <f t="shared" si="10"/>
        <v>508</v>
      </c>
      <c r="Q121" s="521" t="s">
        <v>606</v>
      </c>
    </row>
    <row r="122" spans="1:17" ht="13.5" customHeight="1">
      <c r="A122" s="8"/>
      <c r="B122" s="8"/>
      <c r="C122" s="14" t="s">
        <v>1486</v>
      </c>
      <c r="D122" s="532"/>
      <c r="E122" s="63">
        <v>1</v>
      </c>
      <c r="F122" s="9"/>
      <c r="G122" s="9"/>
      <c r="H122" s="235">
        <v>2555</v>
      </c>
      <c r="I122" s="9"/>
      <c r="J122" s="9"/>
      <c r="K122" s="520"/>
      <c r="L122" s="520"/>
      <c r="M122" s="520"/>
      <c r="N122" s="520"/>
      <c r="O122" s="9"/>
      <c r="P122" s="12">
        <f t="shared" si="10"/>
        <v>2555</v>
      </c>
      <c r="Q122" s="521" t="s">
        <v>606</v>
      </c>
    </row>
    <row r="123" spans="1:17" ht="13.5" customHeight="1">
      <c r="A123" s="8"/>
      <c r="B123" s="8"/>
      <c r="C123" s="14" t="s">
        <v>1489</v>
      </c>
      <c r="D123" s="532"/>
      <c r="E123" s="63">
        <v>1</v>
      </c>
      <c r="F123" s="9"/>
      <c r="G123" s="9"/>
      <c r="H123" s="235">
        <v>420</v>
      </c>
      <c r="I123" s="9"/>
      <c r="J123" s="9"/>
      <c r="K123" s="520"/>
      <c r="L123" s="520"/>
      <c r="M123" s="520"/>
      <c r="N123" s="520"/>
      <c r="O123" s="9"/>
      <c r="P123" s="12">
        <f t="shared" si="10"/>
        <v>420</v>
      </c>
      <c r="Q123" s="521" t="s">
        <v>606</v>
      </c>
    </row>
    <row r="124" spans="1:17" ht="13.5" customHeight="1">
      <c r="A124" s="8"/>
      <c r="B124" s="8"/>
      <c r="C124" s="14" t="s">
        <v>915</v>
      </c>
      <c r="D124" s="532"/>
      <c r="E124" s="63">
        <v>1</v>
      </c>
      <c r="F124" s="9"/>
      <c r="G124" s="9"/>
      <c r="H124" s="235">
        <v>469</v>
      </c>
      <c r="I124" s="9"/>
      <c r="J124" s="9"/>
      <c r="K124" s="520"/>
      <c r="L124" s="520"/>
      <c r="M124" s="520"/>
      <c r="N124" s="520"/>
      <c r="O124" s="9"/>
      <c r="P124" s="12">
        <f t="shared" si="10"/>
        <v>469</v>
      </c>
      <c r="Q124" s="521" t="s">
        <v>606</v>
      </c>
    </row>
    <row r="125" spans="1:17" ht="24.75" customHeight="1">
      <c r="A125" s="8"/>
      <c r="B125" s="8"/>
      <c r="C125" s="1386" t="s">
        <v>1123</v>
      </c>
      <c r="D125" s="1387"/>
      <c r="E125" s="63">
        <v>1</v>
      </c>
      <c r="F125" s="9"/>
      <c r="G125" s="9"/>
      <c r="H125" s="235"/>
      <c r="I125" s="9"/>
      <c r="J125" s="235">
        <v>2500</v>
      </c>
      <c r="K125" s="520"/>
      <c r="L125" s="520"/>
      <c r="M125" s="520"/>
      <c r="N125" s="520"/>
      <c r="O125" s="9"/>
      <c r="P125" s="12">
        <f t="shared" si="10"/>
        <v>2500</v>
      </c>
      <c r="Q125" s="521" t="s">
        <v>606</v>
      </c>
    </row>
    <row r="126" spans="1:17" ht="15" customHeight="1">
      <c r="A126" s="8"/>
      <c r="B126" s="8"/>
      <c r="C126" s="1349" t="s">
        <v>1124</v>
      </c>
      <c r="D126" s="1350"/>
      <c r="E126" s="63">
        <v>1</v>
      </c>
      <c r="F126" s="9"/>
      <c r="G126" s="9"/>
      <c r="H126" s="235">
        <v>-500</v>
      </c>
      <c r="I126" s="9"/>
      <c r="J126" s="235"/>
      <c r="K126" s="520"/>
      <c r="L126" s="520"/>
      <c r="M126" s="520"/>
      <c r="N126" s="520"/>
      <c r="O126" s="9"/>
      <c r="P126" s="12">
        <f t="shared" si="10"/>
        <v>-500</v>
      </c>
      <c r="Q126" s="521" t="s">
        <v>606</v>
      </c>
    </row>
    <row r="127" spans="1:17" ht="13.5" customHeight="1">
      <c r="A127" s="8"/>
      <c r="B127" s="8"/>
      <c r="C127" s="1261" t="s">
        <v>1471</v>
      </c>
      <c r="D127" s="1340"/>
      <c r="E127" s="525"/>
      <c r="F127" s="9"/>
      <c r="G127" s="9"/>
      <c r="H127" s="235"/>
      <c r="I127" s="9"/>
      <c r="J127" s="9"/>
      <c r="K127" s="520"/>
      <c r="L127" s="520"/>
      <c r="M127" s="520"/>
      <c r="N127" s="520"/>
      <c r="O127" s="9"/>
      <c r="P127" s="12"/>
      <c r="Q127" s="521"/>
    </row>
    <row r="128" spans="1:17" ht="13.5" customHeight="1">
      <c r="A128" s="8"/>
      <c r="B128" s="8"/>
      <c r="C128" s="15" t="s">
        <v>989</v>
      </c>
      <c r="D128" s="522"/>
      <c r="E128" s="78">
        <v>1</v>
      </c>
      <c r="F128" s="9"/>
      <c r="G128" s="9"/>
      <c r="H128" s="235">
        <v>-80000</v>
      </c>
      <c r="I128" s="9"/>
      <c r="J128" s="235">
        <v>49307</v>
      </c>
      <c r="K128" s="520"/>
      <c r="L128" s="520"/>
      <c r="M128" s="520"/>
      <c r="N128" s="520"/>
      <c r="O128" s="9"/>
      <c r="P128" s="12">
        <f>SUM(F128:O128)</f>
        <v>-30693</v>
      </c>
      <c r="Q128" s="521" t="s">
        <v>606</v>
      </c>
    </row>
    <row r="129" spans="1:17" ht="13.5" customHeight="1">
      <c r="A129" s="497"/>
      <c r="B129" s="497"/>
      <c r="C129" s="71" t="s">
        <v>1125</v>
      </c>
      <c r="D129" s="518"/>
      <c r="E129" s="68"/>
      <c r="F129" s="501">
        <f aca="true" t="shared" si="11" ref="F129:P129">SUM(F120:F128)</f>
        <v>0</v>
      </c>
      <c r="G129" s="501">
        <f t="shared" si="11"/>
        <v>0</v>
      </c>
      <c r="H129" s="501">
        <f t="shared" si="11"/>
        <v>-67945</v>
      </c>
      <c r="I129" s="501">
        <f t="shared" si="11"/>
        <v>0</v>
      </c>
      <c r="J129" s="501">
        <f t="shared" si="11"/>
        <v>51807</v>
      </c>
      <c r="K129" s="501">
        <f t="shared" si="11"/>
        <v>0</v>
      </c>
      <c r="L129" s="501">
        <f t="shared" si="11"/>
        <v>0</v>
      </c>
      <c r="M129" s="501">
        <f t="shared" si="11"/>
        <v>0</v>
      </c>
      <c r="N129" s="501">
        <f t="shared" si="11"/>
        <v>0</v>
      </c>
      <c r="O129" s="501">
        <f t="shared" si="11"/>
        <v>0</v>
      </c>
      <c r="P129" s="501">
        <f t="shared" si="11"/>
        <v>-16138</v>
      </c>
      <c r="Q129" s="531"/>
    </row>
    <row r="130" spans="1:17" ht="13.5" customHeight="1">
      <c r="A130" s="8"/>
      <c r="B130" s="8"/>
      <c r="C130" s="14" t="s">
        <v>1110</v>
      </c>
      <c r="D130" s="532"/>
      <c r="E130" s="77"/>
      <c r="F130" s="9"/>
      <c r="G130" s="9"/>
      <c r="H130" s="9"/>
      <c r="I130" s="9"/>
      <c r="J130" s="9"/>
      <c r="K130" s="520">
        <f>'[1]7'!J241</f>
        <v>560</v>
      </c>
      <c r="L130" s="235"/>
      <c r="M130" s="235">
        <f>'[1]7'!K241</f>
        <v>-300</v>
      </c>
      <c r="N130" s="235"/>
      <c r="O130" s="9"/>
      <c r="P130" s="12">
        <f>SUM(F130:O130)</f>
        <v>260</v>
      </c>
      <c r="Q130" s="533"/>
    </row>
    <row r="131" spans="1:17" ht="13.5" customHeight="1">
      <c r="A131" s="8"/>
      <c r="B131" s="8"/>
      <c r="C131" s="14" t="s">
        <v>1883</v>
      </c>
      <c r="D131" s="532"/>
      <c r="E131" s="77"/>
      <c r="F131" s="9"/>
      <c r="G131" s="9"/>
      <c r="H131" s="9"/>
      <c r="I131" s="9"/>
      <c r="J131" s="9"/>
      <c r="K131" s="520"/>
      <c r="L131" s="235">
        <f>'[1]8'!J181</f>
        <v>0</v>
      </c>
      <c r="M131" s="235">
        <f>'[1]8'!K181</f>
        <v>13970</v>
      </c>
      <c r="N131" s="235"/>
      <c r="O131" s="9"/>
      <c r="P131" s="12">
        <f>SUM(F131:O131)</f>
        <v>13970</v>
      </c>
      <c r="Q131" s="533"/>
    </row>
    <row r="132" spans="1:17" ht="13.5" customHeight="1">
      <c r="A132" s="497"/>
      <c r="B132" s="497"/>
      <c r="C132" s="71" t="s">
        <v>1672</v>
      </c>
      <c r="D132" s="518"/>
      <c r="E132" s="68"/>
      <c r="F132" s="501">
        <f aca="true" t="shared" si="12" ref="F132:P132">SUM(F129:F131)</f>
        <v>0</v>
      </c>
      <c r="G132" s="501">
        <f t="shared" si="12"/>
        <v>0</v>
      </c>
      <c r="H132" s="501">
        <f t="shared" si="12"/>
        <v>-67945</v>
      </c>
      <c r="I132" s="501">
        <f t="shared" si="12"/>
        <v>0</v>
      </c>
      <c r="J132" s="501">
        <f t="shared" si="12"/>
        <v>51807</v>
      </c>
      <c r="K132" s="501">
        <f t="shared" si="12"/>
        <v>560</v>
      </c>
      <c r="L132" s="501">
        <f t="shared" si="12"/>
        <v>0</v>
      </c>
      <c r="M132" s="501">
        <f t="shared" si="12"/>
        <v>13670</v>
      </c>
      <c r="N132" s="501">
        <f t="shared" si="12"/>
        <v>0</v>
      </c>
      <c r="O132" s="501">
        <f t="shared" si="12"/>
        <v>0</v>
      </c>
      <c r="P132" s="501">
        <f t="shared" si="12"/>
        <v>-1908</v>
      </c>
      <c r="Q132" s="531"/>
    </row>
    <row r="133" spans="1:17" ht="13.5" customHeight="1">
      <c r="A133" s="8">
        <v>1</v>
      </c>
      <c r="B133" s="8">
        <v>18</v>
      </c>
      <c r="C133" s="519" t="s">
        <v>357</v>
      </c>
      <c r="D133" s="532"/>
      <c r="E133" s="77"/>
      <c r="F133" s="9"/>
      <c r="G133" s="9"/>
      <c r="H133" s="9"/>
      <c r="I133" s="9"/>
      <c r="J133" s="9"/>
      <c r="K133" s="520"/>
      <c r="L133" s="520"/>
      <c r="M133" s="520"/>
      <c r="N133" s="520"/>
      <c r="O133" s="9"/>
      <c r="P133" s="12"/>
      <c r="Q133" s="533"/>
    </row>
    <row r="134" spans="1:17" ht="24.75" customHeight="1">
      <c r="A134" s="8"/>
      <c r="B134" s="8"/>
      <c r="C134" s="1358" t="s">
        <v>1553</v>
      </c>
      <c r="D134" s="1359"/>
      <c r="E134" s="536"/>
      <c r="F134" s="9"/>
      <c r="G134" s="9"/>
      <c r="H134" s="9"/>
      <c r="I134" s="9"/>
      <c r="J134" s="9"/>
      <c r="K134" s="520"/>
      <c r="L134" s="520"/>
      <c r="M134" s="520"/>
      <c r="N134" s="520"/>
      <c r="O134" s="9"/>
      <c r="P134" s="12"/>
      <c r="Q134" s="533"/>
    </row>
    <row r="135" spans="1:17" ht="13.5" customHeight="1">
      <c r="A135" s="8"/>
      <c r="B135" s="8"/>
      <c r="C135" s="1249" t="s">
        <v>1126</v>
      </c>
      <c r="D135" s="1290"/>
      <c r="E135" s="450">
        <v>1</v>
      </c>
      <c r="F135" s="9"/>
      <c r="G135" s="9"/>
      <c r="H135" s="235">
        <v>924</v>
      </c>
      <c r="I135" s="9"/>
      <c r="J135" s="235">
        <v>1100</v>
      </c>
      <c r="K135" s="520"/>
      <c r="L135" s="520"/>
      <c r="M135" s="520"/>
      <c r="N135" s="520"/>
      <c r="O135" s="9"/>
      <c r="P135" s="12">
        <f>SUM(F135:O135)</f>
        <v>2024</v>
      </c>
      <c r="Q135" s="537" t="s">
        <v>606</v>
      </c>
    </row>
    <row r="136" spans="1:17" ht="13.5" customHeight="1">
      <c r="A136" s="8"/>
      <c r="B136" s="8"/>
      <c r="C136" s="1360" t="s">
        <v>1127</v>
      </c>
      <c r="D136" s="1361"/>
      <c r="E136" s="450">
        <v>1</v>
      </c>
      <c r="F136" s="9"/>
      <c r="G136" s="9"/>
      <c r="H136" s="235">
        <v>300</v>
      </c>
      <c r="I136" s="9"/>
      <c r="J136" s="9"/>
      <c r="K136" s="520"/>
      <c r="L136" s="520"/>
      <c r="M136" s="520"/>
      <c r="N136" s="520"/>
      <c r="O136" s="9"/>
      <c r="P136" s="12">
        <f>SUM(F136:O136)</f>
        <v>300</v>
      </c>
      <c r="Q136" s="537" t="s">
        <v>606</v>
      </c>
    </row>
    <row r="137" spans="1:17" ht="13.5" customHeight="1">
      <c r="A137" s="497"/>
      <c r="B137" s="497"/>
      <c r="C137" s="71" t="s">
        <v>1128</v>
      </c>
      <c r="D137" s="518"/>
      <c r="E137" s="68"/>
      <c r="F137" s="501">
        <f aca="true" t="shared" si="13" ref="F137:P137">SUM(F134:F136)</f>
        <v>0</v>
      </c>
      <c r="G137" s="501">
        <f t="shared" si="13"/>
        <v>0</v>
      </c>
      <c r="H137" s="501">
        <f t="shared" si="13"/>
        <v>1224</v>
      </c>
      <c r="I137" s="501">
        <f t="shared" si="13"/>
        <v>0</v>
      </c>
      <c r="J137" s="501">
        <f t="shared" si="13"/>
        <v>1100</v>
      </c>
      <c r="K137" s="501">
        <f t="shared" si="13"/>
        <v>0</v>
      </c>
      <c r="L137" s="501">
        <f t="shared" si="13"/>
        <v>0</v>
      </c>
      <c r="M137" s="501">
        <f t="shared" si="13"/>
        <v>0</v>
      </c>
      <c r="N137" s="501">
        <f t="shared" si="13"/>
        <v>0</v>
      </c>
      <c r="O137" s="501">
        <f t="shared" si="13"/>
        <v>0</v>
      </c>
      <c r="P137" s="501">
        <f t="shared" si="13"/>
        <v>2324</v>
      </c>
      <c r="Q137" s="531"/>
    </row>
    <row r="138" spans="1:17" ht="13.5" customHeight="1">
      <c r="A138" s="8"/>
      <c r="B138" s="8"/>
      <c r="C138" s="14" t="s">
        <v>1110</v>
      </c>
      <c r="D138" s="532"/>
      <c r="E138" s="77"/>
      <c r="F138" s="9"/>
      <c r="G138" s="9"/>
      <c r="H138" s="9"/>
      <c r="I138" s="9"/>
      <c r="J138" s="9"/>
      <c r="K138" s="520">
        <f>'[1]7'!J244</f>
        <v>0</v>
      </c>
      <c r="L138" s="520"/>
      <c r="M138" s="520">
        <f>'[1]7'!K244</f>
        <v>0</v>
      </c>
      <c r="N138" s="520"/>
      <c r="O138" s="9"/>
      <c r="P138" s="12">
        <f>SUM(F138:O138)</f>
        <v>0</v>
      </c>
      <c r="Q138" s="533"/>
    </row>
    <row r="139" spans="1:17" ht="13.5" customHeight="1">
      <c r="A139" s="497"/>
      <c r="B139" s="497"/>
      <c r="C139" s="71" t="s">
        <v>935</v>
      </c>
      <c r="D139" s="518"/>
      <c r="E139" s="68"/>
      <c r="F139" s="501">
        <f aca="true" t="shared" si="14" ref="F139:P139">SUM(F137:F138)</f>
        <v>0</v>
      </c>
      <c r="G139" s="501">
        <f t="shared" si="14"/>
        <v>0</v>
      </c>
      <c r="H139" s="501">
        <f t="shared" si="14"/>
        <v>1224</v>
      </c>
      <c r="I139" s="501">
        <f t="shared" si="14"/>
        <v>0</v>
      </c>
      <c r="J139" s="501">
        <f t="shared" si="14"/>
        <v>1100</v>
      </c>
      <c r="K139" s="501">
        <f t="shared" si="14"/>
        <v>0</v>
      </c>
      <c r="L139" s="501">
        <f t="shared" si="14"/>
        <v>0</v>
      </c>
      <c r="M139" s="501">
        <f t="shared" si="14"/>
        <v>0</v>
      </c>
      <c r="N139" s="501">
        <f t="shared" si="14"/>
        <v>0</v>
      </c>
      <c r="O139" s="501">
        <f t="shared" si="14"/>
        <v>0</v>
      </c>
      <c r="P139" s="501">
        <f t="shared" si="14"/>
        <v>2324</v>
      </c>
      <c r="Q139" s="531"/>
    </row>
    <row r="140" spans="1:17" ht="13.5" customHeight="1">
      <c r="A140" s="78">
        <v>1</v>
      </c>
      <c r="B140" s="78">
        <v>19</v>
      </c>
      <c r="C140" s="19" t="s">
        <v>893</v>
      </c>
      <c r="D140" s="522"/>
      <c r="E140" s="78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12"/>
      <c r="Q140" s="491"/>
    </row>
    <row r="141" spans="1:17" ht="13.5" customHeight="1">
      <c r="A141" s="78"/>
      <c r="B141" s="78"/>
      <c r="C141" s="766" t="s">
        <v>1435</v>
      </c>
      <c r="D141" s="1336"/>
      <c r="E141" s="525"/>
      <c r="F141" s="235"/>
      <c r="G141" s="235"/>
      <c r="H141" s="235"/>
      <c r="I141" s="235"/>
      <c r="J141" s="235"/>
      <c r="K141" s="235"/>
      <c r="L141" s="235"/>
      <c r="M141" s="235"/>
      <c r="N141" s="235"/>
      <c r="O141" s="235"/>
      <c r="P141" s="12"/>
      <c r="Q141" s="491"/>
    </row>
    <row r="142" spans="1:17" ht="13.5" customHeight="1">
      <c r="A142" s="78"/>
      <c r="B142" s="78"/>
      <c r="C142" s="1261" t="s">
        <v>1535</v>
      </c>
      <c r="D142" s="1341"/>
      <c r="E142" s="525">
        <v>1</v>
      </c>
      <c r="F142" s="235"/>
      <c r="G142" s="235"/>
      <c r="H142" s="235">
        <v>-10000</v>
      </c>
      <c r="I142" s="235"/>
      <c r="J142" s="235">
        <v>59263</v>
      </c>
      <c r="K142" s="235"/>
      <c r="L142" s="235"/>
      <c r="M142" s="235"/>
      <c r="N142" s="235"/>
      <c r="O142" s="235"/>
      <c r="P142" s="12">
        <f>SUM(F142:O142)</f>
        <v>49263</v>
      </c>
      <c r="Q142" s="491" t="s">
        <v>606</v>
      </c>
    </row>
    <row r="143" spans="1:17" ht="24.75" customHeight="1">
      <c r="A143" s="78"/>
      <c r="B143" s="78"/>
      <c r="C143" s="1358" t="s">
        <v>1553</v>
      </c>
      <c r="D143" s="1359"/>
      <c r="E143" s="536"/>
      <c r="F143" s="235"/>
      <c r="G143" s="235"/>
      <c r="H143" s="235"/>
      <c r="I143" s="235"/>
      <c r="J143" s="235"/>
      <c r="K143" s="235"/>
      <c r="L143" s="235"/>
      <c r="M143" s="235"/>
      <c r="N143" s="235"/>
      <c r="O143" s="235"/>
      <c r="P143" s="12"/>
      <c r="Q143" s="491"/>
    </row>
    <row r="144" spans="1:17" ht="13.5" customHeight="1">
      <c r="A144" s="78"/>
      <c r="B144" s="78"/>
      <c r="C144" s="15" t="s">
        <v>938</v>
      </c>
      <c r="D144" s="526"/>
      <c r="E144" s="525">
        <v>1</v>
      </c>
      <c r="F144" s="235"/>
      <c r="G144" s="235"/>
      <c r="H144" s="235">
        <v>119525</v>
      </c>
      <c r="I144" s="235"/>
      <c r="J144" s="235"/>
      <c r="K144" s="235"/>
      <c r="L144" s="235"/>
      <c r="M144" s="235"/>
      <c r="N144" s="235"/>
      <c r="O144" s="235"/>
      <c r="P144" s="12">
        <f aca="true" t="shared" si="15" ref="P144:P151">SUM(F144:O144)</f>
        <v>119525</v>
      </c>
      <c r="Q144" s="491" t="s">
        <v>606</v>
      </c>
    </row>
    <row r="145" spans="1:17" ht="13.5" customHeight="1">
      <c r="A145" s="78"/>
      <c r="B145" s="78"/>
      <c r="C145" s="15" t="s">
        <v>940</v>
      </c>
      <c r="D145" s="522"/>
      <c r="E145" s="78">
        <v>2</v>
      </c>
      <c r="F145" s="235"/>
      <c r="G145" s="235"/>
      <c r="H145" s="235">
        <v>140</v>
      </c>
      <c r="I145" s="235"/>
      <c r="J145" s="235"/>
      <c r="K145" s="235"/>
      <c r="L145" s="235"/>
      <c r="M145" s="235"/>
      <c r="N145" s="235"/>
      <c r="O145" s="235"/>
      <c r="P145" s="12">
        <f t="shared" si="15"/>
        <v>140</v>
      </c>
      <c r="Q145" s="491" t="s">
        <v>606</v>
      </c>
    </row>
    <row r="146" spans="1:17" ht="24.75" customHeight="1">
      <c r="A146" s="78"/>
      <c r="B146" s="78"/>
      <c r="C146" s="1362" t="s">
        <v>1129</v>
      </c>
      <c r="D146" s="1363"/>
      <c r="E146" s="78">
        <v>1</v>
      </c>
      <c r="F146" s="235"/>
      <c r="G146" s="235"/>
      <c r="H146" s="235"/>
      <c r="I146" s="235"/>
      <c r="J146" s="235">
        <v>19750</v>
      </c>
      <c r="K146" s="235"/>
      <c r="L146" s="235"/>
      <c r="M146" s="235"/>
      <c r="N146" s="235"/>
      <c r="O146" s="235"/>
      <c r="P146" s="12">
        <f t="shared" si="15"/>
        <v>19750</v>
      </c>
      <c r="Q146" s="491" t="s">
        <v>606</v>
      </c>
    </row>
    <row r="147" spans="1:17" ht="24.75" customHeight="1">
      <c r="A147" s="78"/>
      <c r="B147" s="78"/>
      <c r="C147" s="1266" t="s">
        <v>829</v>
      </c>
      <c r="D147" s="1364"/>
      <c r="E147" s="525">
        <v>1</v>
      </c>
      <c r="F147" s="235"/>
      <c r="G147" s="235"/>
      <c r="H147" s="235"/>
      <c r="I147" s="235"/>
      <c r="J147" s="235">
        <v>14114</v>
      </c>
      <c r="K147" s="235"/>
      <c r="L147" s="235"/>
      <c r="M147" s="235"/>
      <c r="N147" s="235"/>
      <c r="O147" s="235"/>
      <c r="P147" s="12">
        <f t="shared" si="15"/>
        <v>14114</v>
      </c>
      <c r="Q147" s="491" t="s">
        <v>606</v>
      </c>
    </row>
    <row r="148" spans="1:17" ht="24.75" customHeight="1">
      <c r="A148" s="78"/>
      <c r="B148" s="78"/>
      <c r="C148" s="1366" t="s">
        <v>1130</v>
      </c>
      <c r="D148" s="1367"/>
      <c r="E148" s="525">
        <v>1</v>
      </c>
      <c r="F148" s="235"/>
      <c r="G148" s="235"/>
      <c r="H148" s="235"/>
      <c r="I148" s="235"/>
      <c r="J148" s="235">
        <v>339</v>
      </c>
      <c r="K148" s="235"/>
      <c r="L148" s="235"/>
      <c r="M148" s="235"/>
      <c r="N148" s="235"/>
      <c r="O148" s="235"/>
      <c r="P148" s="12">
        <f t="shared" si="15"/>
        <v>339</v>
      </c>
      <c r="Q148" s="491" t="s">
        <v>606</v>
      </c>
    </row>
    <row r="149" spans="1:17" ht="24.75" customHeight="1">
      <c r="A149" s="78"/>
      <c r="B149" s="78"/>
      <c r="C149" s="1266" t="s">
        <v>1131</v>
      </c>
      <c r="D149" s="1364"/>
      <c r="E149" s="525">
        <v>1</v>
      </c>
      <c r="F149" s="235"/>
      <c r="G149" s="235"/>
      <c r="H149" s="235"/>
      <c r="I149" s="235"/>
      <c r="J149" s="235">
        <v>1021</v>
      </c>
      <c r="K149" s="235"/>
      <c r="L149" s="235"/>
      <c r="M149" s="235"/>
      <c r="N149" s="235"/>
      <c r="O149" s="235"/>
      <c r="P149" s="12">
        <f t="shared" si="15"/>
        <v>1021</v>
      </c>
      <c r="Q149" s="491" t="s">
        <v>606</v>
      </c>
    </row>
    <row r="150" spans="1:17" ht="13.5" customHeight="1">
      <c r="A150" s="78"/>
      <c r="B150" s="78"/>
      <c r="C150" s="14" t="s">
        <v>1433</v>
      </c>
      <c r="D150" s="534"/>
      <c r="E150" s="525">
        <v>2</v>
      </c>
      <c r="F150" s="235"/>
      <c r="G150" s="235"/>
      <c r="H150" s="235"/>
      <c r="I150" s="235"/>
      <c r="J150" s="235"/>
      <c r="K150" s="235"/>
      <c r="L150" s="235"/>
      <c r="M150" s="235"/>
      <c r="N150" s="235"/>
      <c r="O150" s="235"/>
      <c r="P150" s="12">
        <f t="shared" si="15"/>
        <v>0</v>
      </c>
      <c r="Q150" s="491" t="s">
        <v>606</v>
      </c>
    </row>
    <row r="151" spans="1:17" ht="13.5" customHeight="1">
      <c r="A151" s="78"/>
      <c r="B151" s="78"/>
      <c r="C151" s="14" t="s">
        <v>1132</v>
      </c>
      <c r="D151" s="526"/>
      <c r="E151" s="525">
        <v>2</v>
      </c>
      <c r="F151" s="235"/>
      <c r="G151" s="235"/>
      <c r="H151" s="235"/>
      <c r="I151" s="235"/>
      <c r="J151" s="235">
        <v>4900</v>
      </c>
      <c r="K151" s="235"/>
      <c r="L151" s="235"/>
      <c r="M151" s="235"/>
      <c r="N151" s="235"/>
      <c r="O151" s="235"/>
      <c r="P151" s="12">
        <f t="shared" si="15"/>
        <v>4900</v>
      </c>
      <c r="Q151" s="491" t="s">
        <v>606</v>
      </c>
    </row>
    <row r="152" spans="1:17" ht="15" customHeight="1">
      <c r="A152" s="78"/>
      <c r="B152" s="78"/>
      <c r="C152" s="1266" t="s">
        <v>1551</v>
      </c>
      <c r="D152" s="1337"/>
      <c r="E152" s="538"/>
      <c r="F152" s="235"/>
      <c r="G152" s="235"/>
      <c r="H152" s="235"/>
      <c r="I152" s="235"/>
      <c r="J152" s="235"/>
      <c r="K152" s="235"/>
      <c r="L152" s="235"/>
      <c r="M152" s="235"/>
      <c r="N152" s="235"/>
      <c r="O152" s="235"/>
      <c r="P152" s="12"/>
      <c r="Q152" s="491"/>
    </row>
    <row r="153" spans="1:17" ht="15" customHeight="1">
      <c r="A153" s="78"/>
      <c r="B153" s="78"/>
      <c r="C153" s="1263" t="s">
        <v>1133</v>
      </c>
      <c r="D153" s="1363"/>
      <c r="E153" s="538">
        <v>2</v>
      </c>
      <c r="F153" s="235"/>
      <c r="G153" s="235"/>
      <c r="H153" s="235">
        <v>54</v>
      </c>
      <c r="I153" s="235"/>
      <c r="J153" s="235"/>
      <c r="K153" s="235"/>
      <c r="L153" s="235"/>
      <c r="M153" s="235"/>
      <c r="N153" s="235"/>
      <c r="O153" s="235"/>
      <c r="P153" s="12">
        <f>SUM(F153:O153)</f>
        <v>54</v>
      </c>
      <c r="Q153" s="491" t="s">
        <v>606</v>
      </c>
    </row>
    <row r="154" spans="1:17" ht="24.75" customHeight="1">
      <c r="A154" s="78"/>
      <c r="B154" s="78"/>
      <c r="C154" s="1249" t="s">
        <v>1442</v>
      </c>
      <c r="D154" s="1335"/>
      <c r="E154" s="538"/>
      <c r="F154" s="235"/>
      <c r="G154" s="235"/>
      <c r="H154" s="235"/>
      <c r="I154" s="235"/>
      <c r="J154" s="235"/>
      <c r="K154" s="235"/>
      <c r="L154" s="235"/>
      <c r="M154" s="235"/>
      <c r="N154" s="235"/>
      <c r="O154" s="235"/>
      <c r="P154" s="12"/>
      <c r="Q154" s="491"/>
    </row>
    <row r="155" spans="1:17" ht="15" customHeight="1">
      <c r="A155" s="78"/>
      <c r="B155" s="78"/>
      <c r="C155" s="1266" t="s">
        <v>1134</v>
      </c>
      <c r="D155" s="1364"/>
      <c r="E155" s="538">
        <v>1</v>
      </c>
      <c r="F155" s="235"/>
      <c r="G155" s="235"/>
      <c r="H155" s="235">
        <v>18159</v>
      </c>
      <c r="I155" s="235"/>
      <c r="J155" s="235"/>
      <c r="K155" s="235"/>
      <c r="L155" s="235"/>
      <c r="M155" s="235"/>
      <c r="N155" s="235">
        <v>938096</v>
      </c>
      <c r="O155" s="235">
        <v>225172</v>
      </c>
      <c r="P155" s="12">
        <f>SUM(H155:O155)</f>
        <v>1181427</v>
      </c>
      <c r="Q155" s="491" t="s">
        <v>606</v>
      </c>
    </row>
    <row r="156" spans="1:17" ht="24.75" customHeight="1">
      <c r="A156" s="78"/>
      <c r="B156" s="78"/>
      <c r="C156" s="1249" t="s">
        <v>949</v>
      </c>
      <c r="D156" s="1335"/>
      <c r="E156" s="78">
        <v>1</v>
      </c>
      <c r="F156" s="9"/>
      <c r="G156" s="9"/>
      <c r="H156" s="235">
        <v>-5000</v>
      </c>
      <c r="I156" s="8"/>
      <c r="J156" s="8"/>
      <c r="K156" s="8"/>
      <c r="L156" s="9"/>
      <c r="M156" s="9"/>
      <c r="N156" s="9"/>
      <c r="O156" s="9"/>
      <c r="P156" s="12">
        <f>SUM(F156:O156)</f>
        <v>-5000</v>
      </c>
      <c r="Q156" s="491" t="s">
        <v>606</v>
      </c>
    </row>
    <row r="157" spans="1:17" ht="13.5" customHeight="1">
      <c r="A157" s="500"/>
      <c r="B157" s="500"/>
      <c r="C157" s="71" t="s">
        <v>1135</v>
      </c>
      <c r="D157" s="499"/>
      <c r="E157" s="500"/>
      <c r="F157" s="501">
        <f aca="true" t="shared" si="16" ref="F157:P157">SUM(F141:F156)</f>
        <v>0</v>
      </c>
      <c r="G157" s="501">
        <f t="shared" si="16"/>
        <v>0</v>
      </c>
      <c r="H157" s="501">
        <f t="shared" si="16"/>
        <v>122878</v>
      </c>
      <c r="I157" s="501">
        <f t="shared" si="16"/>
        <v>0</v>
      </c>
      <c r="J157" s="501">
        <f t="shared" si="16"/>
        <v>99387</v>
      </c>
      <c r="K157" s="501">
        <f t="shared" si="16"/>
        <v>0</v>
      </c>
      <c r="L157" s="501">
        <f t="shared" si="16"/>
        <v>0</v>
      </c>
      <c r="M157" s="501">
        <f t="shared" si="16"/>
        <v>0</v>
      </c>
      <c r="N157" s="501">
        <f t="shared" si="16"/>
        <v>938096</v>
      </c>
      <c r="O157" s="501">
        <f t="shared" si="16"/>
        <v>225172</v>
      </c>
      <c r="P157" s="501">
        <f t="shared" si="16"/>
        <v>1385533</v>
      </c>
      <c r="Q157" s="502"/>
    </row>
    <row r="158" spans="1:17" ht="13.5" customHeight="1">
      <c r="A158" s="8"/>
      <c r="B158" s="8"/>
      <c r="C158" s="15" t="s">
        <v>1110</v>
      </c>
      <c r="D158" s="59"/>
      <c r="E158" s="78"/>
      <c r="F158" s="9"/>
      <c r="G158" s="9"/>
      <c r="H158" s="9"/>
      <c r="I158" s="9"/>
      <c r="J158" s="9"/>
      <c r="K158" s="520">
        <f>'[1]7'!J250</f>
        <v>0</v>
      </c>
      <c r="L158" s="520"/>
      <c r="M158" s="235">
        <f>'[1]7'!K250</f>
        <v>7550</v>
      </c>
      <c r="N158" s="235"/>
      <c r="O158" s="9"/>
      <c r="P158" s="12">
        <f>SUM(F158:O158)</f>
        <v>7550</v>
      </c>
      <c r="Q158" s="491" t="s">
        <v>606</v>
      </c>
    </row>
    <row r="159" spans="1:17" ht="13.5" customHeight="1">
      <c r="A159" s="8"/>
      <c r="B159" s="8"/>
      <c r="C159" s="15" t="s">
        <v>1883</v>
      </c>
      <c r="D159" s="59"/>
      <c r="E159" s="78"/>
      <c r="F159" s="9"/>
      <c r="G159" s="9"/>
      <c r="H159" s="9"/>
      <c r="I159" s="9"/>
      <c r="J159" s="9"/>
      <c r="K159" s="520"/>
      <c r="L159" s="520">
        <f>'[1]8'!K185</f>
        <v>0</v>
      </c>
      <c r="M159" s="235">
        <f>'[1]8'!K185</f>
        <v>0</v>
      </c>
      <c r="N159" s="235"/>
      <c r="O159" s="9"/>
      <c r="P159" s="12">
        <f>SUM(F159:O159)</f>
        <v>0</v>
      </c>
      <c r="Q159" s="491"/>
    </row>
    <row r="160" spans="1:17" ht="13.5" customHeight="1">
      <c r="A160" s="497"/>
      <c r="B160" s="497"/>
      <c r="C160" s="71" t="s">
        <v>895</v>
      </c>
      <c r="D160" s="499"/>
      <c r="E160" s="500"/>
      <c r="F160" s="501">
        <f aca="true" t="shared" si="17" ref="F160:P160">SUM(F157:F159)</f>
        <v>0</v>
      </c>
      <c r="G160" s="501">
        <f t="shared" si="17"/>
        <v>0</v>
      </c>
      <c r="H160" s="501">
        <f t="shared" si="17"/>
        <v>122878</v>
      </c>
      <c r="I160" s="501">
        <f t="shared" si="17"/>
        <v>0</v>
      </c>
      <c r="J160" s="501">
        <f t="shared" si="17"/>
        <v>99387</v>
      </c>
      <c r="K160" s="501">
        <f t="shared" si="17"/>
        <v>0</v>
      </c>
      <c r="L160" s="501">
        <f t="shared" si="17"/>
        <v>0</v>
      </c>
      <c r="M160" s="501">
        <f t="shared" si="17"/>
        <v>7550</v>
      </c>
      <c r="N160" s="501">
        <f t="shared" si="17"/>
        <v>938096</v>
      </c>
      <c r="O160" s="501">
        <f t="shared" si="17"/>
        <v>225172</v>
      </c>
      <c r="P160" s="501">
        <f t="shared" si="17"/>
        <v>1393083</v>
      </c>
      <c r="Q160" s="502"/>
    </row>
    <row r="161" spans="1:17" ht="24.75" customHeight="1">
      <c r="A161" s="8">
        <v>1</v>
      </c>
      <c r="B161" s="8">
        <v>20</v>
      </c>
      <c r="C161" s="1209" t="s">
        <v>1553</v>
      </c>
      <c r="D161" s="1368"/>
      <c r="E161" s="63"/>
      <c r="F161" s="9"/>
      <c r="G161" s="9"/>
      <c r="H161" s="539"/>
      <c r="I161" s="539"/>
      <c r="J161" s="539"/>
      <c r="K161" s="539"/>
      <c r="L161" s="539"/>
      <c r="M161" s="539"/>
      <c r="N161" s="539"/>
      <c r="O161" s="539"/>
      <c r="P161" s="12">
        <f>SUM(F161:O161)</f>
        <v>0</v>
      </c>
      <c r="Q161" s="521"/>
    </row>
    <row r="162" spans="1:17" ht="13.5" customHeight="1">
      <c r="A162" s="497"/>
      <c r="B162" s="497"/>
      <c r="C162" s="71" t="s">
        <v>1886</v>
      </c>
      <c r="D162" s="499"/>
      <c r="E162" s="500">
        <v>1</v>
      </c>
      <c r="F162" s="501">
        <f>SUM(F161:F161)</f>
        <v>0</v>
      </c>
      <c r="G162" s="501">
        <f>SUM(G161:G161)</f>
        <v>0</v>
      </c>
      <c r="H162" s="501">
        <v>0</v>
      </c>
      <c r="I162" s="501">
        <f aca="true" t="shared" si="18" ref="I162:O162">SUM(I161:I161)</f>
        <v>0</v>
      </c>
      <c r="J162" s="501">
        <f t="shared" si="18"/>
        <v>0</v>
      </c>
      <c r="K162" s="501">
        <f t="shared" si="18"/>
        <v>0</v>
      </c>
      <c r="L162" s="501">
        <f t="shared" si="18"/>
        <v>0</v>
      </c>
      <c r="M162" s="501">
        <f t="shared" si="18"/>
        <v>0</v>
      </c>
      <c r="N162" s="501">
        <f t="shared" si="18"/>
        <v>0</v>
      </c>
      <c r="O162" s="501">
        <f t="shared" si="18"/>
        <v>0</v>
      </c>
      <c r="P162" s="501">
        <f>SUM(F162:O162)</f>
        <v>0</v>
      </c>
      <c r="Q162" s="502" t="s">
        <v>606</v>
      </c>
    </row>
    <row r="163" spans="1:17" ht="13.5" customHeight="1">
      <c r="A163" s="540">
        <v>1</v>
      </c>
      <c r="B163" s="540">
        <v>22</v>
      </c>
      <c r="C163" s="1333" t="s">
        <v>1090</v>
      </c>
      <c r="D163" s="1334"/>
      <c r="E163" s="541"/>
      <c r="F163" s="9"/>
      <c r="G163" s="9"/>
      <c r="H163" s="9"/>
      <c r="I163" s="9"/>
      <c r="J163" s="9"/>
      <c r="K163" s="520"/>
      <c r="L163" s="520"/>
      <c r="M163" s="520"/>
      <c r="N163" s="520"/>
      <c r="O163" s="9"/>
      <c r="P163" s="12"/>
      <c r="Q163" s="491"/>
    </row>
    <row r="164" spans="1:17" ht="13.5" customHeight="1">
      <c r="A164" s="540"/>
      <c r="B164" s="540"/>
      <c r="C164" s="1251" t="s">
        <v>1553</v>
      </c>
      <c r="D164" s="1365"/>
      <c r="E164" s="525"/>
      <c r="F164" s="235"/>
      <c r="G164" s="235"/>
      <c r="H164" s="235"/>
      <c r="I164" s="235"/>
      <c r="J164" s="235"/>
      <c r="K164" s="235"/>
      <c r="L164" s="235"/>
      <c r="M164" s="235"/>
      <c r="N164" s="235"/>
      <c r="O164" s="235"/>
      <c r="P164" s="12"/>
      <c r="Q164" s="491"/>
    </row>
    <row r="165" spans="1:17" ht="13.5" customHeight="1">
      <c r="A165" s="540"/>
      <c r="B165" s="540"/>
      <c r="C165" s="91" t="s">
        <v>920</v>
      </c>
      <c r="D165" s="542"/>
      <c r="E165" s="93">
        <v>2</v>
      </c>
      <c r="F165" s="235">
        <v>107</v>
      </c>
      <c r="G165" s="235"/>
      <c r="H165" s="235">
        <v>3922</v>
      </c>
      <c r="I165" s="235"/>
      <c r="J165" s="235"/>
      <c r="K165" s="235"/>
      <c r="L165" s="235"/>
      <c r="M165" s="235"/>
      <c r="N165" s="235"/>
      <c r="O165" s="235"/>
      <c r="P165" s="12">
        <f>SUM(F165:O165)</f>
        <v>4029</v>
      </c>
      <c r="Q165" s="521" t="s">
        <v>606</v>
      </c>
    </row>
    <row r="166" spans="1:17" ht="13.5" customHeight="1">
      <c r="A166" s="540"/>
      <c r="B166" s="540"/>
      <c r="C166" s="64" t="s">
        <v>258</v>
      </c>
      <c r="D166" s="543"/>
      <c r="E166" s="93">
        <v>2</v>
      </c>
      <c r="F166" s="235">
        <v>4030</v>
      </c>
      <c r="G166" s="235">
        <v>979</v>
      </c>
      <c r="H166" s="235">
        <v>-6205</v>
      </c>
      <c r="I166" s="235"/>
      <c r="J166" s="235">
        <v>1196</v>
      </c>
      <c r="K166" s="235"/>
      <c r="L166" s="235"/>
      <c r="M166" s="235"/>
      <c r="N166" s="235"/>
      <c r="O166" s="235"/>
      <c r="P166" s="12">
        <f>SUM(F166:O166)</f>
        <v>0</v>
      </c>
      <c r="Q166" s="521" t="s">
        <v>606</v>
      </c>
    </row>
    <row r="167" spans="1:17" ht="13.5" customHeight="1">
      <c r="A167" s="540"/>
      <c r="B167" s="540"/>
      <c r="C167" s="14" t="s">
        <v>399</v>
      </c>
      <c r="D167" s="543"/>
      <c r="E167" s="93">
        <v>1</v>
      </c>
      <c r="F167" s="235">
        <v>-1707</v>
      </c>
      <c r="G167" s="235">
        <v>-461</v>
      </c>
      <c r="H167" s="235"/>
      <c r="I167" s="235"/>
      <c r="J167" s="235"/>
      <c r="K167" s="235"/>
      <c r="L167" s="235"/>
      <c r="M167" s="235"/>
      <c r="N167" s="235"/>
      <c r="O167" s="235"/>
      <c r="P167" s="12">
        <f>SUM(F167:O167)</f>
        <v>-2168</v>
      </c>
      <c r="Q167" s="521" t="s">
        <v>606</v>
      </c>
    </row>
    <row r="168" spans="1:17" ht="13.5" customHeight="1">
      <c r="A168" s="540"/>
      <c r="B168" s="540"/>
      <c r="C168" s="1312" t="s">
        <v>831</v>
      </c>
      <c r="D168" s="1371"/>
      <c r="E168" s="93">
        <v>2</v>
      </c>
      <c r="F168" s="235"/>
      <c r="G168" s="235"/>
      <c r="H168" s="235">
        <v>-1000</v>
      </c>
      <c r="I168" s="235"/>
      <c r="J168" s="235">
        <v>407</v>
      </c>
      <c r="K168" s="235"/>
      <c r="L168" s="235"/>
      <c r="M168" s="235"/>
      <c r="N168" s="235"/>
      <c r="O168" s="235"/>
      <c r="P168" s="12">
        <f>SUM(F168:O168)</f>
        <v>-593</v>
      </c>
      <c r="Q168" s="521" t="s">
        <v>606</v>
      </c>
    </row>
    <row r="169" spans="1:17" ht="13.5" customHeight="1">
      <c r="A169" s="540"/>
      <c r="B169" s="540"/>
      <c r="C169" s="99" t="s">
        <v>1136</v>
      </c>
      <c r="D169" s="544"/>
      <c r="E169" s="93">
        <v>2</v>
      </c>
      <c r="F169" s="235"/>
      <c r="G169" s="235"/>
      <c r="H169" s="235"/>
      <c r="I169" s="235"/>
      <c r="J169" s="235">
        <v>593</v>
      </c>
      <c r="K169" s="235"/>
      <c r="L169" s="235"/>
      <c r="M169" s="235"/>
      <c r="N169" s="235"/>
      <c r="O169" s="235"/>
      <c r="P169" s="12">
        <v>593</v>
      </c>
      <c r="Q169" s="521" t="s">
        <v>606</v>
      </c>
    </row>
    <row r="170" spans="1:17" ht="13.5" customHeight="1">
      <c r="A170" s="540"/>
      <c r="B170" s="540"/>
      <c r="C170" s="64" t="s">
        <v>485</v>
      </c>
      <c r="D170" s="543"/>
      <c r="E170" s="93">
        <v>2</v>
      </c>
      <c r="F170" s="235"/>
      <c r="G170" s="235"/>
      <c r="H170" s="235"/>
      <c r="I170" s="235"/>
      <c r="J170" s="235">
        <v>5000</v>
      </c>
      <c r="K170" s="235"/>
      <c r="L170" s="235"/>
      <c r="M170" s="235"/>
      <c r="N170" s="235"/>
      <c r="O170" s="235"/>
      <c r="P170" s="12">
        <f>SUM(F170:O170)</f>
        <v>5000</v>
      </c>
      <c r="Q170" s="521" t="s">
        <v>606</v>
      </c>
    </row>
    <row r="171" spans="1:17" ht="13.5" customHeight="1">
      <c r="A171" s="540"/>
      <c r="B171" s="540"/>
      <c r="C171" s="1261" t="s">
        <v>1437</v>
      </c>
      <c r="D171" s="1340"/>
      <c r="E171" s="93"/>
      <c r="F171" s="235"/>
      <c r="G171" s="235"/>
      <c r="H171" s="235"/>
      <c r="I171" s="235"/>
      <c r="J171" s="235"/>
      <c r="K171" s="235"/>
      <c r="L171" s="235"/>
      <c r="M171" s="235"/>
      <c r="N171" s="235"/>
      <c r="O171" s="235"/>
      <c r="P171" s="12"/>
      <c r="Q171" s="521"/>
    </row>
    <row r="172" spans="1:17" ht="13.5" customHeight="1">
      <c r="A172" s="540"/>
      <c r="B172" s="540"/>
      <c r="C172" s="15" t="s">
        <v>941</v>
      </c>
      <c r="D172" s="543"/>
      <c r="E172" s="93">
        <v>2</v>
      </c>
      <c r="F172" s="235"/>
      <c r="G172" s="235"/>
      <c r="H172" s="235">
        <v>59</v>
      </c>
      <c r="I172" s="235"/>
      <c r="J172" s="235"/>
      <c r="K172" s="235"/>
      <c r="L172" s="235"/>
      <c r="M172" s="235"/>
      <c r="N172" s="235"/>
      <c r="O172" s="235"/>
      <c r="P172" s="12">
        <f>SUM(F172:O172)</f>
        <v>59</v>
      </c>
      <c r="Q172" s="521" t="s">
        <v>606</v>
      </c>
    </row>
    <row r="173" spans="1:17" ht="13.5" customHeight="1">
      <c r="A173" s="540"/>
      <c r="B173" s="540"/>
      <c r="C173" s="1261" t="s">
        <v>1474</v>
      </c>
      <c r="D173" s="1340"/>
      <c r="E173" s="93"/>
      <c r="F173" s="235"/>
      <c r="G173" s="235"/>
      <c r="H173" s="235"/>
      <c r="I173" s="235"/>
      <c r="J173" s="235"/>
      <c r="K173" s="235"/>
      <c r="L173" s="235"/>
      <c r="M173" s="235"/>
      <c r="N173" s="235"/>
      <c r="O173" s="235"/>
      <c r="P173" s="12"/>
      <c r="Q173" s="521"/>
    </row>
    <row r="174" spans="1:17" ht="13.5" customHeight="1">
      <c r="A174" s="540"/>
      <c r="B174" s="540"/>
      <c r="C174" s="15" t="s">
        <v>943</v>
      </c>
      <c r="D174" s="522"/>
      <c r="E174" s="93">
        <v>2</v>
      </c>
      <c r="F174" s="235">
        <v>1800</v>
      </c>
      <c r="G174" s="235">
        <v>1500</v>
      </c>
      <c r="H174" s="235">
        <v>-3152</v>
      </c>
      <c r="I174" s="235"/>
      <c r="J174" s="235">
        <v>500</v>
      </c>
      <c r="K174" s="235"/>
      <c r="L174" s="235"/>
      <c r="M174" s="235"/>
      <c r="N174" s="235"/>
      <c r="O174" s="235"/>
      <c r="P174" s="12">
        <f>SUM(F174:O174)</f>
        <v>648</v>
      </c>
      <c r="Q174" s="521" t="s">
        <v>606</v>
      </c>
    </row>
    <row r="175" spans="1:17" ht="13.5" customHeight="1">
      <c r="A175" s="540"/>
      <c r="B175" s="540"/>
      <c r="C175" s="64" t="s">
        <v>1426</v>
      </c>
      <c r="D175" s="137"/>
      <c r="E175" s="63"/>
      <c r="F175" s="235"/>
      <c r="G175" s="235"/>
      <c r="H175" s="235"/>
      <c r="I175" s="235"/>
      <c r="J175" s="235"/>
      <c r="K175" s="235"/>
      <c r="L175" s="235"/>
      <c r="M175" s="235"/>
      <c r="N175" s="235"/>
      <c r="O175" s="235"/>
      <c r="P175" s="12"/>
      <c r="Q175" s="521"/>
    </row>
    <row r="176" spans="1:17" ht="13.5" customHeight="1">
      <c r="A176" s="540"/>
      <c r="B176" s="540"/>
      <c r="C176" s="1249" t="s">
        <v>68</v>
      </c>
      <c r="D176" s="1335"/>
      <c r="E176" s="536">
        <v>2</v>
      </c>
      <c r="F176" s="235"/>
      <c r="G176" s="235"/>
      <c r="H176" s="235">
        <v>-100</v>
      </c>
      <c r="I176" s="235"/>
      <c r="J176" s="235">
        <v>1748</v>
      </c>
      <c r="K176" s="235"/>
      <c r="L176" s="235"/>
      <c r="M176" s="235"/>
      <c r="N176" s="235"/>
      <c r="O176" s="235"/>
      <c r="P176" s="12">
        <f>SUM(F176:O176)</f>
        <v>1648</v>
      </c>
      <c r="Q176" s="521" t="s">
        <v>606</v>
      </c>
    </row>
    <row r="177" spans="1:17" ht="13.5" customHeight="1">
      <c r="A177" s="540"/>
      <c r="B177" s="540"/>
      <c r="C177" s="141" t="s">
        <v>924</v>
      </c>
      <c r="D177" s="545"/>
      <c r="E177" s="536">
        <v>2</v>
      </c>
      <c r="F177" s="235"/>
      <c r="G177" s="235"/>
      <c r="H177" s="235">
        <v>5506</v>
      </c>
      <c r="I177" s="235"/>
      <c r="J177" s="235">
        <v>550</v>
      </c>
      <c r="K177" s="235"/>
      <c r="L177" s="235"/>
      <c r="M177" s="235"/>
      <c r="N177" s="235"/>
      <c r="O177" s="235"/>
      <c r="P177" s="12">
        <f>SUM(F177:O177)</f>
        <v>6056</v>
      </c>
      <c r="Q177" s="521" t="s">
        <v>606</v>
      </c>
    </row>
    <row r="178" spans="1:17" ht="13.5" customHeight="1">
      <c r="A178" s="540"/>
      <c r="B178" s="540"/>
      <c r="C178" s="137" t="s">
        <v>1443</v>
      </c>
      <c r="D178" s="545"/>
      <c r="E178" s="536"/>
      <c r="F178" s="235"/>
      <c r="G178" s="235"/>
      <c r="H178" s="235"/>
      <c r="I178" s="235"/>
      <c r="J178" s="235"/>
      <c r="K178" s="235"/>
      <c r="L178" s="235"/>
      <c r="M178" s="235"/>
      <c r="N178" s="235"/>
      <c r="O178" s="235"/>
      <c r="P178" s="12"/>
      <c r="Q178" s="521"/>
    </row>
    <row r="179" spans="1:17" ht="13.5" customHeight="1">
      <c r="A179" s="540"/>
      <c r="B179" s="540"/>
      <c r="C179" s="137" t="s">
        <v>925</v>
      </c>
      <c r="D179" s="546"/>
      <c r="E179" s="541">
        <v>1</v>
      </c>
      <c r="F179" s="235"/>
      <c r="G179" s="235"/>
      <c r="H179" s="235"/>
      <c r="I179" s="235"/>
      <c r="J179" s="235">
        <v>14354</v>
      </c>
      <c r="K179" s="235"/>
      <c r="L179" s="235"/>
      <c r="M179" s="235"/>
      <c r="N179" s="235"/>
      <c r="O179" s="235"/>
      <c r="P179" s="12">
        <f>SUM(F179:O179)</f>
        <v>14354</v>
      </c>
      <c r="Q179" s="521" t="s">
        <v>606</v>
      </c>
    </row>
    <row r="180" spans="1:17" ht="13.5" customHeight="1">
      <c r="A180" s="540"/>
      <c r="B180" s="540"/>
      <c r="C180" s="64" t="s">
        <v>926</v>
      </c>
      <c r="D180" s="546"/>
      <c r="E180" s="541">
        <v>1</v>
      </c>
      <c r="F180" s="235"/>
      <c r="G180" s="235"/>
      <c r="H180" s="235">
        <v>2869</v>
      </c>
      <c r="I180" s="235"/>
      <c r="J180" s="235"/>
      <c r="K180" s="235"/>
      <c r="L180" s="235"/>
      <c r="M180" s="235"/>
      <c r="N180" s="235"/>
      <c r="O180" s="235"/>
      <c r="P180" s="12">
        <f>SUM(F180:O180)</f>
        <v>2869</v>
      </c>
      <c r="Q180" s="521" t="s">
        <v>606</v>
      </c>
    </row>
    <row r="181" spans="1:17" ht="13.5" customHeight="1">
      <c r="A181" s="547"/>
      <c r="B181" s="547"/>
      <c r="C181" s="548" t="s">
        <v>1690</v>
      </c>
      <c r="D181" s="549"/>
      <c r="E181" s="443"/>
      <c r="F181" s="501">
        <f aca="true" t="shared" si="19" ref="F181:P181">SUM(F163:F180)</f>
        <v>4230</v>
      </c>
      <c r="G181" s="501">
        <f t="shared" si="19"/>
        <v>2018</v>
      </c>
      <c r="H181" s="501">
        <f t="shared" si="19"/>
        <v>1899</v>
      </c>
      <c r="I181" s="501">
        <f t="shared" si="19"/>
        <v>0</v>
      </c>
      <c r="J181" s="501">
        <f t="shared" si="19"/>
        <v>24348</v>
      </c>
      <c r="K181" s="501">
        <f t="shared" si="19"/>
        <v>0</v>
      </c>
      <c r="L181" s="501">
        <f t="shared" si="19"/>
        <v>0</v>
      </c>
      <c r="M181" s="501">
        <f t="shared" si="19"/>
        <v>0</v>
      </c>
      <c r="N181" s="501">
        <f t="shared" si="19"/>
        <v>0</v>
      </c>
      <c r="O181" s="501">
        <f t="shared" si="19"/>
        <v>0</v>
      </c>
      <c r="P181" s="501">
        <f t="shared" si="19"/>
        <v>32495</v>
      </c>
      <c r="Q181" s="531"/>
    </row>
    <row r="182" spans="1:17" ht="13.5" customHeight="1">
      <c r="A182" s="8"/>
      <c r="B182" s="8"/>
      <c r="C182" s="15" t="s">
        <v>1110</v>
      </c>
      <c r="D182" s="59"/>
      <c r="E182" s="78"/>
      <c r="F182" s="9"/>
      <c r="G182" s="9"/>
      <c r="H182" s="9"/>
      <c r="I182" s="9"/>
      <c r="J182" s="9"/>
      <c r="K182" s="235">
        <f>'[1]7'!J253</f>
        <v>250</v>
      </c>
      <c r="L182" s="235"/>
      <c r="M182" s="235">
        <f>'[1]7'!K253</f>
        <v>0</v>
      </c>
      <c r="N182" s="235"/>
      <c r="O182" s="9"/>
      <c r="P182" s="12">
        <f>SUM(F182:O182)</f>
        <v>250</v>
      </c>
      <c r="Q182" s="491" t="s">
        <v>606</v>
      </c>
    </row>
    <row r="183" spans="1:17" ht="13.5" customHeight="1">
      <c r="A183" s="497"/>
      <c r="B183" s="497"/>
      <c r="C183" s="71" t="s">
        <v>1092</v>
      </c>
      <c r="D183" s="499"/>
      <c r="E183" s="500"/>
      <c r="F183" s="501">
        <f aca="true" t="shared" si="20" ref="F183:P183">SUM(F181:F182)</f>
        <v>4230</v>
      </c>
      <c r="G183" s="501">
        <f t="shared" si="20"/>
        <v>2018</v>
      </c>
      <c r="H183" s="501">
        <f t="shared" si="20"/>
        <v>1899</v>
      </c>
      <c r="I183" s="501">
        <f t="shared" si="20"/>
        <v>0</v>
      </c>
      <c r="J183" s="501">
        <f t="shared" si="20"/>
        <v>24348</v>
      </c>
      <c r="K183" s="501">
        <f t="shared" si="20"/>
        <v>250</v>
      </c>
      <c r="L183" s="501">
        <f t="shared" si="20"/>
        <v>0</v>
      </c>
      <c r="M183" s="501">
        <f t="shared" si="20"/>
        <v>0</v>
      </c>
      <c r="N183" s="501">
        <f t="shared" si="20"/>
        <v>0</v>
      </c>
      <c r="O183" s="501">
        <f t="shared" si="20"/>
        <v>0</v>
      </c>
      <c r="P183" s="501">
        <f t="shared" si="20"/>
        <v>32745</v>
      </c>
      <c r="Q183" s="502"/>
    </row>
    <row r="184" spans="1:17" ht="13.5" customHeight="1">
      <c r="A184" s="78">
        <v>1</v>
      </c>
      <c r="B184" s="78">
        <v>30</v>
      </c>
      <c r="C184" s="19" t="s">
        <v>1137</v>
      </c>
      <c r="D184" s="522"/>
      <c r="E184" s="78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2"/>
      <c r="Q184" s="491"/>
    </row>
    <row r="185" spans="1:17" ht="13.5" customHeight="1">
      <c r="A185" s="78">
        <v>1</v>
      </c>
      <c r="B185" s="78">
        <v>31</v>
      </c>
      <c r="C185" s="19" t="s">
        <v>1692</v>
      </c>
      <c r="D185" s="522"/>
      <c r="E185" s="78"/>
      <c r="F185" s="16"/>
      <c r="G185" s="16"/>
      <c r="H185" s="16"/>
      <c r="I185" s="16"/>
      <c r="J185" s="16">
        <v>-100</v>
      </c>
      <c r="K185" s="16"/>
      <c r="L185" s="16"/>
      <c r="M185" s="16"/>
      <c r="N185" s="16"/>
      <c r="O185" s="16"/>
      <c r="P185" s="12">
        <f>SUM(J185:O185)</f>
        <v>-100</v>
      </c>
      <c r="Q185" s="491" t="s">
        <v>606</v>
      </c>
    </row>
    <row r="186" spans="1:17" ht="13.5" customHeight="1">
      <c r="A186" s="78"/>
      <c r="B186" s="78">
        <v>32</v>
      </c>
      <c r="C186" s="19" t="s">
        <v>1138</v>
      </c>
      <c r="D186" s="522"/>
      <c r="E186" s="78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2"/>
      <c r="Q186" s="491"/>
    </row>
    <row r="187" spans="1:17" ht="15" customHeight="1">
      <c r="A187" s="78"/>
      <c r="B187" s="78"/>
      <c r="C187" s="1249" t="s">
        <v>1512</v>
      </c>
      <c r="D187" s="1369"/>
      <c r="E187" s="536">
        <v>1</v>
      </c>
      <c r="F187" s="16"/>
      <c r="G187" s="16"/>
      <c r="H187" s="16"/>
      <c r="I187" s="16"/>
      <c r="J187" s="16">
        <v>30514</v>
      </c>
      <c r="K187" s="16"/>
      <c r="L187" s="16"/>
      <c r="M187" s="16"/>
      <c r="N187" s="16"/>
      <c r="O187" s="16"/>
      <c r="P187" s="12">
        <f>SUM(F187:O187)</f>
        <v>30514</v>
      </c>
      <c r="Q187" s="491" t="s">
        <v>606</v>
      </c>
    </row>
    <row r="188" spans="1:17" ht="24.75" customHeight="1">
      <c r="A188" s="78"/>
      <c r="B188" s="78"/>
      <c r="C188" s="1249" t="s">
        <v>1476</v>
      </c>
      <c r="D188" s="1335"/>
      <c r="E188" s="551">
        <v>1</v>
      </c>
      <c r="F188" s="16"/>
      <c r="G188" s="16"/>
      <c r="H188" s="16"/>
      <c r="I188" s="16"/>
      <c r="J188" s="16">
        <v>-6500</v>
      </c>
      <c r="K188" s="16"/>
      <c r="L188" s="16"/>
      <c r="M188" s="16"/>
      <c r="N188" s="16"/>
      <c r="O188" s="16"/>
      <c r="P188" s="12">
        <f>SUM(F188:O188)</f>
        <v>-6500</v>
      </c>
      <c r="Q188" s="491" t="s">
        <v>606</v>
      </c>
    </row>
    <row r="189" spans="1:17" ht="12.75" customHeight="1">
      <c r="A189" s="78"/>
      <c r="B189" s="78"/>
      <c r="C189" s="15" t="s">
        <v>1139</v>
      </c>
      <c r="D189" s="522"/>
      <c r="E189" s="78">
        <v>1</v>
      </c>
      <c r="F189" s="16"/>
      <c r="G189" s="16"/>
      <c r="H189" s="16"/>
      <c r="I189" s="16"/>
      <c r="J189" s="16">
        <v>-99769</v>
      </c>
      <c r="K189" s="16"/>
      <c r="L189" s="16"/>
      <c r="M189" s="16"/>
      <c r="N189" s="16"/>
      <c r="O189" s="16"/>
      <c r="P189" s="12">
        <f>SUM(F189:O189)</f>
        <v>-99769</v>
      </c>
      <c r="Q189" s="491" t="s">
        <v>606</v>
      </c>
    </row>
    <row r="190" spans="1:17" ht="31.5" customHeight="1">
      <c r="A190" s="78"/>
      <c r="B190" s="78"/>
      <c r="C190" s="735" t="s">
        <v>731</v>
      </c>
      <c r="D190" s="1369"/>
      <c r="E190" s="53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2"/>
      <c r="Q190" s="491"/>
    </row>
    <row r="191" spans="1:17" ht="12.75" customHeight="1">
      <c r="A191" s="78"/>
      <c r="B191" s="78"/>
      <c r="C191" s="1249" t="s">
        <v>120</v>
      </c>
      <c r="D191" s="1369"/>
      <c r="E191" s="536">
        <v>2</v>
      </c>
      <c r="F191" s="16"/>
      <c r="G191" s="16"/>
      <c r="H191" s="16"/>
      <c r="I191" s="16"/>
      <c r="J191" s="16">
        <v>-3973</v>
      </c>
      <c r="K191" s="16"/>
      <c r="L191" s="16"/>
      <c r="M191" s="16"/>
      <c r="N191" s="16"/>
      <c r="O191" s="16"/>
      <c r="P191" s="12">
        <f>SUM(F191:O191)</f>
        <v>-3973</v>
      </c>
      <c r="Q191" s="491" t="s">
        <v>606</v>
      </c>
    </row>
    <row r="192" spans="1:17" ht="31.5" customHeight="1">
      <c r="A192" s="78"/>
      <c r="B192" s="78"/>
      <c r="C192" s="735" t="s">
        <v>732</v>
      </c>
      <c r="D192" s="1369"/>
      <c r="E192" s="53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2"/>
      <c r="Q192" s="491"/>
    </row>
    <row r="193" spans="1:17" ht="12.75" customHeight="1">
      <c r="A193" s="78"/>
      <c r="B193" s="78"/>
      <c r="C193" s="15" t="s">
        <v>498</v>
      </c>
      <c r="D193" s="526"/>
      <c r="E193" s="525">
        <v>2</v>
      </c>
      <c r="F193" s="16"/>
      <c r="G193" s="16"/>
      <c r="H193" s="16"/>
      <c r="I193" s="16"/>
      <c r="J193" s="16">
        <v>-5000</v>
      </c>
      <c r="K193" s="16"/>
      <c r="L193" s="16"/>
      <c r="M193" s="16"/>
      <c r="N193" s="16"/>
      <c r="O193" s="16"/>
      <c r="P193" s="12">
        <f>SUM(F193:O193)</f>
        <v>-5000</v>
      </c>
      <c r="Q193" s="491" t="s">
        <v>606</v>
      </c>
    </row>
    <row r="194" spans="1:17" ht="12.75" customHeight="1">
      <c r="A194" s="78"/>
      <c r="B194" s="78"/>
      <c r="C194" s="1249" t="s">
        <v>913</v>
      </c>
      <c r="D194" s="1369"/>
      <c r="E194" s="536">
        <v>2</v>
      </c>
      <c r="F194" s="16"/>
      <c r="G194" s="16"/>
      <c r="H194" s="16"/>
      <c r="I194" s="16"/>
      <c r="J194" s="16">
        <v>-3000</v>
      </c>
      <c r="K194" s="16"/>
      <c r="L194" s="16"/>
      <c r="M194" s="16"/>
      <c r="N194" s="16"/>
      <c r="O194" s="16"/>
      <c r="P194" s="12">
        <f>SUM(F194:O194)</f>
        <v>-3000</v>
      </c>
      <c r="Q194" s="491" t="s">
        <v>606</v>
      </c>
    </row>
    <row r="195" spans="1:17" ht="24.75" customHeight="1">
      <c r="A195" s="78"/>
      <c r="B195" s="78"/>
      <c r="C195" s="735" t="s">
        <v>973</v>
      </c>
      <c r="D195" s="1369"/>
      <c r="E195" s="53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2"/>
      <c r="Q195" s="491"/>
    </row>
    <row r="196" spans="1:17" ht="12.75" customHeight="1">
      <c r="A196" s="78"/>
      <c r="B196" s="78"/>
      <c r="C196" s="15" t="s">
        <v>974</v>
      </c>
      <c r="D196" s="526"/>
      <c r="E196" s="525">
        <v>2</v>
      </c>
      <c r="F196" s="16"/>
      <c r="G196" s="16"/>
      <c r="H196" s="16"/>
      <c r="I196" s="16"/>
      <c r="J196" s="16">
        <v>-5000</v>
      </c>
      <c r="K196" s="16"/>
      <c r="L196" s="16"/>
      <c r="M196" s="16"/>
      <c r="N196" s="16"/>
      <c r="O196" s="16"/>
      <c r="P196" s="12">
        <f>SUM(F196:O196)</f>
        <v>-5000</v>
      </c>
      <c r="Q196" s="491" t="s">
        <v>606</v>
      </c>
    </row>
    <row r="197" spans="1:17" ht="24.75" customHeight="1">
      <c r="A197" s="78"/>
      <c r="B197" s="78"/>
      <c r="C197" s="735" t="s">
        <v>424</v>
      </c>
      <c r="D197" s="1369"/>
      <c r="E197" s="53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2"/>
      <c r="Q197" s="491"/>
    </row>
    <row r="198" spans="1:17" ht="12.75" customHeight="1">
      <c r="A198" s="78"/>
      <c r="B198" s="78"/>
      <c r="C198" s="1249" t="s">
        <v>975</v>
      </c>
      <c r="D198" s="1369"/>
      <c r="E198" s="536">
        <v>2</v>
      </c>
      <c r="F198" s="16"/>
      <c r="G198" s="16"/>
      <c r="H198" s="16"/>
      <c r="I198" s="16"/>
      <c r="J198" s="16">
        <v>-2200</v>
      </c>
      <c r="K198" s="16"/>
      <c r="L198" s="16"/>
      <c r="M198" s="16"/>
      <c r="N198" s="16"/>
      <c r="O198" s="16"/>
      <c r="P198" s="12">
        <f>SUM(F198:O198)</f>
        <v>-2200</v>
      </c>
      <c r="Q198" s="491" t="s">
        <v>606</v>
      </c>
    </row>
    <row r="199" spans="1:17" ht="31.5" customHeight="1">
      <c r="A199" s="78"/>
      <c r="B199" s="78"/>
      <c r="C199" s="1319" t="s">
        <v>1140</v>
      </c>
      <c r="D199" s="1370"/>
      <c r="E199" s="552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2"/>
      <c r="Q199" s="491"/>
    </row>
    <row r="200" spans="1:17" ht="12.75" customHeight="1">
      <c r="A200" s="78"/>
      <c r="B200" s="78"/>
      <c r="C200" s="1263" t="s">
        <v>1242</v>
      </c>
      <c r="D200" s="1369"/>
      <c r="E200" s="536">
        <v>1</v>
      </c>
      <c r="F200" s="16"/>
      <c r="G200" s="16"/>
      <c r="H200" s="16"/>
      <c r="I200" s="16"/>
      <c r="J200" s="16">
        <v>-1100</v>
      </c>
      <c r="K200" s="16"/>
      <c r="L200" s="16"/>
      <c r="M200" s="16"/>
      <c r="N200" s="16"/>
      <c r="O200" s="16"/>
      <c r="P200" s="12">
        <f>SUM(F200:O200)</f>
        <v>-1100</v>
      </c>
      <c r="Q200" s="491" t="s">
        <v>606</v>
      </c>
    </row>
    <row r="201" spans="1:17" ht="12.75" customHeight="1">
      <c r="A201" s="78"/>
      <c r="B201" s="78"/>
      <c r="C201" s="14" t="s">
        <v>1141</v>
      </c>
      <c r="D201" s="550"/>
      <c r="E201" s="536">
        <v>1</v>
      </c>
      <c r="F201" s="16"/>
      <c r="G201" s="16"/>
      <c r="H201" s="16"/>
      <c r="I201" s="16"/>
      <c r="J201" s="16">
        <v>45000</v>
      </c>
      <c r="K201" s="16"/>
      <c r="L201" s="16"/>
      <c r="M201" s="16"/>
      <c r="N201" s="16"/>
      <c r="O201" s="16"/>
      <c r="P201" s="12">
        <f>SUM(F201:O201)</f>
        <v>45000</v>
      </c>
      <c r="Q201" s="491" t="s">
        <v>606</v>
      </c>
    </row>
    <row r="202" spans="1:17" ht="12.75" customHeight="1">
      <c r="A202" s="78"/>
      <c r="B202" s="78"/>
      <c r="C202" s="139" t="s">
        <v>427</v>
      </c>
      <c r="D202" s="522"/>
      <c r="E202" s="78"/>
      <c r="F202" s="16"/>
      <c r="G202" s="16"/>
      <c r="H202" s="16"/>
      <c r="I202" s="16"/>
      <c r="J202" s="16"/>
      <c r="K202" s="16">
        <f>'[1]7'!J256</f>
        <v>0</v>
      </c>
      <c r="L202" s="16">
        <f>'[1]8'!J188</f>
        <v>0</v>
      </c>
      <c r="M202" s="16"/>
      <c r="N202" s="16"/>
      <c r="O202" s="16"/>
      <c r="P202" s="12">
        <f>SUM(K202:O202)</f>
        <v>0</v>
      </c>
      <c r="Q202" s="491" t="s">
        <v>606</v>
      </c>
    </row>
    <row r="203" spans="1:17" ht="13.5" customHeight="1">
      <c r="A203" s="68"/>
      <c r="B203" s="68"/>
      <c r="C203" s="71" t="s">
        <v>428</v>
      </c>
      <c r="D203" s="553"/>
      <c r="E203" s="68"/>
      <c r="F203" s="76">
        <f aca="true" t="shared" si="21" ref="F203:P203">SUM(F184:F202)</f>
        <v>0</v>
      </c>
      <c r="G203" s="76">
        <f t="shared" si="21"/>
        <v>0</v>
      </c>
      <c r="H203" s="76">
        <f t="shared" si="21"/>
        <v>0</v>
      </c>
      <c r="I203" s="76">
        <f t="shared" si="21"/>
        <v>0</v>
      </c>
      <c r="J203" s="76">
        <f t="shared" si="21"/>
        <v>-51128</v>
      </c>
      <c r="K203" s="76">
        <f t="shared" si="21"/>
        <v>0</v>
      </c>
      <c r="L203" s="76">
        <f t="shared" si="21"/>
        <v>0</v>
      </c>
      <c r="M203" s="76">
        <f t="shared" si="21"/>
        <v>0</v>
      </c>
      <c r="N203" s="76">
        <f t="shared" si="21"/>
        <v>0</v>
      </c>
      <c r="O203" s="76">
        <f t="shared" si="21"/>
        <v>0</v>
      </c>
      <c r="P203" s="76">
        <f t="shared" si="21"/>
        <v>-51128</v>
      </c>
      <c r="Q203" s="502"/>
    </row>
    <row r="204" spans="1:17" ht="25.5" customHeight="1">
      <c r="A204" s="68"/>
      <c r="B204" s="68"/>
      <c r="C204" s="1317" t="s">
        <v>602</v>
      </c>
      <c r="D204" s="1330"/>
      <c r="E204" s="554"/>
      <c r="F204" s="76">
        <f aca="true" t="shared" si="22" ref="F204:P204">SUM(F23+F70+F111+F117+F132+F139+F160+F162+F183+F203)</f>
        <v>5372</v>
      </c>
      <c r="G204" s="76">
        <f t="shared" si="22"/>
        <v>2274</v>
      </c>
      <c r="H204" s="76">
        <f t="shared" si="22"/>
        <v>111687</v>
      </c>
      <c r="I204" s="76">
        <f t="shared" si="22"/>
        <v>106389</v>
      </c>
      <c r="J204" s="76">
        <f t="shared" si="22"/>
        <v>167933</v>
      </c>
      <c r="K204" s="76">
        <f t="shared" si="22"/>
        <v>381452</v>
      </c>
      <c r="L204" s="76">
        <f t="shared" si="22"/>
        <v>7248</v>
      </c>
      <c r="M204" s="76">
        <f t="shared" si="22"/>
        <v>298912</v>
      </c>
      <c r="N204" s="76">
        <f t="shared" si="22"/>
        <v>938096</v>
      </c>
      <c r="O204" s="76">
        <f t="shared" si="22"/>
        <v>225172</v>
      </c>
      <c r="P204" s="76">
        <f t="shared" si="22"/>
        <v>2244535</v>
      </c>
      <c r="Q204" s="76"/>
    </row>
    <row r="205" spans="1:17" ht="12.75" customHeight="1">
      <c r="A205" s="63">
        <v>2</v>
      </c>
      <c r="B205" s="63"/>
      <c r="C205" s="180" t="s">
        <v>398</v>
      </c>
      <c r="D205" s="67"/>
      <c r="E205" s="63"/>
      <c r="F205" s="13">
        <f>'[1]táj.2.'!C20</f>
        <v>66585</v>
      </c>
      <c r="G205" s="13">
        <f>'[1]táj.2.'!D20</f>
        <v>12329</v>
      </c>
      <c r="H205" s="13">
        <f>'[1]táj.2.'!E20</f>
        <v>142599</v>
      </c>
      <c r="I205" s="13">
        <f>'[1]táj.2.'!F20</f>
        <v>0</v>
      </c>
      <c r="J205" s="13">
        <f>'[1]táj.2.'!G20</f>
        <v>7966</v>
      </c>
      <c r="K205" s="13">
        <f>'[1]táj.2.'!H20</f>
        <v>73182</v>
      </c>
      <c r="L205" s="13">
        <f>'[1]táj.2.'!I20</f>
        <v>29876</v>
      </c>
      <c r="M205" s="13">
        <f>'[1]táj.2.'!J20</f>
        <v>0</v>
      </c>
      <c r="N205" s="13"/>
      <c r="O205" s="13"/>
      <c r="P205" s="12">
        <f>SUM(F205:O205)</f>
        <v>332537</v>
      </c>
      <c r="Q205" s="70"/>
    </row>
    <row r="206" spans="1:17" ht="12.75" customHeight="1">
      <c r="A206" s="68"/>
      <c r="B206" s="68"/>
      <c r="C206" s="49" t="s">
        <v>376</v>
      </c>
      <c r="D206" s="553"/>
      <c r="E206" s="68"/>
      <c r="F206" s="76">
        <f aca="true" t="shared" si="23" ref="F206:P206">SUM(F204:F205)</f>
        <v>71957</v>
      </c>
      <c r="G206" s="76">
        <f t="shared" si="23"/>
        <v>14603</v>
      </c>
      <c r="H206" s="76">
        <f t="shared" si="23"/>
        <v>254286</v>
      </c>
      <c r="I206" s="76">
        <f t="shared" si="23"/>
        <v>106389</v>
      </c>
      <c r="J206" s="76">
        <f t="shared" si="23"/>
        <v>175899</v>
      </c>
      <c r="K206" s="76">
        <f t="shared" si="23"/>
        <v>454634</v>
      </c>
      <c r="L206" s="76">
        <f t="shared" si="23"/>
        <v>37124</v>
      </c>
      <c r="M206" s="76">
        <f t="shared" si="23"/>
        <v>298912</v>
      </c>
      <c r="N206" s="76">
        <f t="shared" si="23"/>
        <v>938096</v>
      </c>
      <c r="O206" s="76">
        <f t="shared" si="23"/>
        <v>225172</v>
      </c>
      <c r="P206" s="76">
        <f t="shared" si="23"/>
        <v>2577072</v>
      </c>
      <c r="Q206" s="76"/>
    </row>
    <row r="207" spans="3:5" ht="12.75">
      <c r="C207" s="1331"/>
      <c r="D207" s="1332"/>
      <c r="E207" s="555"/>
    </row>
  </sheetData>
  <sheetProtection/>
  <mergeCells count="95">
    <mergeCell ref="C6:D6"/>
    <mergeCell ref="C103:D103"/>
    <mergeCell ref="C104:D104"/>
    <mergeCell ref="C125:D125"/>
    <mergeCell ref="C120:D120"/>
    <mergeCell ref="C119:D119"/>
    <mergeCell ref="C105:D105"/>
    <mergeCell ref="C101:D101"/>
    <mergeCell ref="C51:D51"/>
    <mergeCell ref="C57:D57"/>
    <mergeCell ref="P1:P2"/>
    <mergeCell ref="A1:A2"/>
    <mergeCell ref="B1:B2"/>
    <mergeCell ref="C1:D2"/>
    <mergeCell ref="E1:E2"/>
    <mergeCell ref="F1:M1"/>
    <mergeCell ref="N1:O1"/>
    <mergeCell ref="C190:D190"/>
    <mergeCell ref="C168:D168"/>
    <mergeCell ref="C191:D191"/>
    <mergeCell ref="C192:D192"/>
    <mergeCell ref="C176:D176"/>
    <mergeCell ref="C187:D187"/>
    <mergeCell ref="C171:D171"/>
    <mergeCell ref="C173:D173"/>
    <mergeCell ref="C200:D200"/>
    <mergeCell ref="C194:D194"/>
    <mergeCell ref="C195:D195"/>
    <mergeCell ref="C197:D197"/>
    <mergeCell ref="C198:D198"/>
    <mergeCell ref="C199:D199"/>
    <mergeCell ref="C146:D146"/>
    <mergeCell ref="C147:D147"/>
    <mergeCell ref="C164:D164"/>
    <mergeCell ref="C148:D148"/>
    <mergeCell ref="C149:D149"/>
    <mergeCell ref="C154:D154"/>
    <mergeCell ref="C156:D156"/>
    <mergeCell ref="C153:D153"/>
    <mergeCell ref="C161:D161"/>
    <mergeCell ref="C155:D155"/>
    <mergeCell ref="C142:D142"/>
    <mergeCell ref="C143:D143"/>
    <mergeCell ref="C134:D134"/>
    <mergeCell ref="C127:D127"/>
    <mergeCell ref="C136:D136"/>
    <mergeCell ref="C135:D135"/>
    <mergeCell ref="C126:D126"/>
    <mergeCell ref="C30:D30"/>
    <mergeCell ref="C26:D26"/>
    <mergeCell ref="C28:D28"/>
    <mergeCell ref="C65:D65"/>
    <mergeCell ref="C66:D66"/>
    <mergeCell ref="C113:D113"/>
    <mergeCell ref="C107:D107"/>
    <mergeCell ref="C97:D97"/>
    <mergeCell ref="C102:D102"/>
    <mergeCell ref="C93:D93"/>
    <mergeCell ref="C79:D79"/>
    <mergeCell ref="C45:D45"/>
    <mergeCell ref="C64:D64"/>
    <mergeCell ref="C62:D62"/>
    <mergeCell ref="C47:D47"/>
    <mergeCell ref="C78:D78"/>
    <mergeCell ref="C58:D58"/>
    <mergeCell ref="C60:D60"/>
    <mergeCell ref="C40:D40"/>
    <mergeCell ref="C52:D52"/>
    <mergeCell ref="C54:D54"/>
    <mergeCell ref="C87:D87"/>
    <mergeCell ref="C82:D82"/>
    <mergeCell ref="C84:D84"/>
    <mergeCell ref="C85:D85"/>
    <mergeCell ref="C81:D81"/>
    <mergeCell ref="C44:D44"/>
    <mergeCell ref="Q1:Q2"/>
    <mergeCell ref="C204:D204"/>
    <mergeCell ref="C207:D207"/>
    <mergeCell ref="C163:D163"/>
    <mergeCell ref="C188:D188"/>
    <mergeCell ref="C141:D141"/>
    <mergeCell ref="C152:D152"/>
    <mergeCell ref="C36:D36"/>
    <mergeCell ref="C12:D12"/>
    <mergeCell ref="C13:D13"/>
    <mergeCell ref="C5:D5"/>
    <mergeCell ref="C8:D8"/>
    <mergeCell ref="C43:D43"/>
    <mergeCell ref="C10:D10"/>
    <mergeCell ref="C29:D29"/>
    <mergeCell ref="C16:D16"/>
    <mergeCell ref="C35:D35"/>
    <mergeCell ref="C37:D37"/>
    <mergeCell ref="C18:D18"/>
    <mergeCell ref="C27:D27"/>
  </mergeCells>
  <printOptions horizontalCentered="1" verticalCentered="1"/>
  <pageMargins left="0" right="0.2362204724409449" top="0.6692913385826772" bottom="1.1811023622047245" header="0.11811023622047245" footer="0.7086614173228347"/>
  <pageSetup horizontalDpi="300" verticalDpi="300" orientation="landscape" paperSize="9" scale="90" r:id="rId1"/>
  <headerFooter alignWithMargins="0">
    <oddHeader>&amp;CZALAEGERSZEG MEGYEI JOGÚ VÁROS ÖNKORMÁNYZATA
2014. ÉVI KIADÁSI ELŐIRÁNYZATAINAK MÓDOSÍTÁSA AZ I. NEGYEDÉVBEN
&amp;R&amp;"Times New Roman CE,Félkövér dőlt"6.a  melléklet mód.
Adatok: ezer Ft-ban</oddHeader>
    <oddFooter>&amp;L* kgy= közgyűlési hatáskörben           
   pm= polgármesteri hatáskörben
   biz = bizottsági hatáskörben&amp;C&amp;P. oldal&amp;RFeladat jellege:
1 =    kötelező
2=önként vállalt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143"/>
  <sheetViews>
    <sheetView zoomScaleSheetLayoutView="120" workbookViewId="0" topLeftCell="A1">
      <pane ySplit="2" topLeftCell="BM3" activePane="bottomLeft" state="frozen"/>
      <selection pane="topLeft" activeCell="A1" sqref="A1"/>
      <selection pane="bottomLeft" activeCell="C123" sqref="C123"/>
    </sheetView>
  </sheetViews>
  <sheetFormatPr defaultColWidth="9.00390625" defaultRowHeight="12.75"/>
  <cols>
    <col min="1" max="1" width="5.125" style="7" customWidth="1"/>
    <col min="2" max="2" width="5.875" style="7" customWidth="1"/>
    <col min="3" max="3" width="9.375" style="7" customWidth="1"/>
    <col min="4" max="4" width="35.125" style="7" customWidth="1"/>
    <col min="5" max="5" width="4.375" style="7" customWidth="1"/>
    <col min="6" max="6" width="10.125" style="7" customWidth="1"/>
    <col min="7" max="7" width="11.00390625" style="7" customWidth="1"/>
    <col min="8" max="8" width="10.00390625" style="7" customWidth="1"/>
    <col min="9" max="10" width="9.375" style="7" customWidth="1"/>
    <col min="11" max="11" width="10.125" style="7" customWidth="1"/>
    <col min="12" max="12" width="9.375" style="7" customWidth="1"/>
    <col min="13" max="13" width="11.00390625" style="7" bestFit="1" customWidth="1"/>
    <col min="14" max="14" width="10.125" style="7" customWidth="1"/>
    <col min="15" max="15" width="9.875" style="7" bestFit="1" customWidth="1"/>
    <col min="16" max="16" width="10.50390625" style="7" customWidth="1"/>
    <col min="17" max="17" width="7.625" style="7" customWidth="1"/>
    <col min="18" max="16384" width="9.375" style="7" customWidth="1"/>
  </cols>
  <sheetData>
    <row r="1" spans="1:17" s="485" customFormat="1" ht="24.75" customHeight="1">
      <c r="A1" s="1450" t="s">
        <v>896</v>
      </c>
      <c r="B1" s="1452" t="s">
        <v>897</v>
      </c>
      <c r="C1" s="1453" t="s">
        <v>46</v>
      </c>
      <c r="D1" s="1454"/>
      <c r="E1" s="1398" t="s">
        <v>415</v>
      </c>
      <c r="F1" s="1400"/>
      <c r="G1" s="1401"/>
      <c r="H1" s="1401"/>
      <c r="I1" s="1401"/>
      <c r="J1" s="1401"/>
      <c r="K1" s="1401"/>
      <c r="L1" s="1401"/>
      <c r="M1" s="1401"/>
      <c r="N1" s="1403" t="s">
        <v>59</v>
      </c>
      <c r="O1" s="1403"/>
      <c r="P1" s="1394" t="s">
        <v>49</v>
      </c>
      <c r="Q1" s="1390" t="s">
        <v>678</v>
      </c>
    </row>
    <row r="2" spans="1:17" ht="63.75" customHeight="1">
      <c r="A2" s="1451"/>
      <c r="B2" s="1281"/>
      <c r="C2" s="1455"/>
      <c r="D2" s="1456"/>
      <c r="E2" s="1399"/>
      <c r="F2" s="635" t="s">
        <v>280</v>
      </c>
      <c r="G2" s="635" t="s">
        <v>603</v>
      </c>
      <c r="H2" s="635" t="s">
        <v>423</v>
      </c>
      <c r="I2" s="635" t="s">
        <v>679</v>
      </c>
      <c r="J2" s="635" t="s">
        <v>1238</v>
      </c>
      <c r="K2" s="635" t="s">
        <v>1222</v>
      </c>
      <c r="L2" s="635" t="s">
        <v>1221</v>
      </c>
      <c r="M2" s="635" t="s">
        <v>680</v>
      </c>
      <c r="N2" s="635" t="s">
        <v>604</v>
      </c>
      <c r="O2" s="636" t="s">
        <v>69</v>
      </c>
      <c r="P2" s="1395"/>
      <c r="Q2" s="1391"/>
    </row>
    <row r="3" spans="1:17" ht="13.5" customHeight="1">
      <c r="A3" s="637">
        <v>1</v>
      </c>
      <c r="B3" s="637"/>
      <c r="C3" s="638" t="s">
        <v>396</v>
      </c>
      <c r="D3" s="639"/>
      <c r="E3" s="640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2"/>
      <c r="Q3" s="643"/>
    </row>
    <row r="4" spans="1:17" ht="13.5" customHeight="1">
      <c r="A4" s="565">
        <v>1</v>
      </c>
      <c r="B4" s="565">
        <v>1</v>
      </c>
      <c r="C4" s="644" t="s">
        <v>1885</v>
      </c>
      <c r="D4" s="639"/>
      <c r="E4" s="557"/>
      <c r="F4" s="566"/>
      <c r="G4" s="566"/>
      <c r="H4" s="566"/>
      <c r="I4" s="566"/>
      <c r="J4" s="566"/>
      <c r="K4" s="566"/>
      <c r="L4" s="566"/>
      <c r="M4" s="566"/>
      <c r="N4" s="566"/>
      <c r="O4" s="566"/>
      <c r="P4" s="645"/>
      <c r="Q4" s="646"/>
    </row>
    <row r="5" spans="1:17" ht="13.5" customHeight="1">
      <c r="A5" s="565">
        <v>1</v>
      </c>
      <c r="B5" s="565">
        <v>12</v>
      </c>
      <c r="C5" s="1392" t="s">
        <v>1549</v>
      </c>
      <c r="D5" s="1402"/>
      <c r="E5" s="557"/>
      <c r="F5" s="566"/>
      <c r="G5" s="566"/>
      <c r="H5" s="566"/>
      <c r="I5" s="566"/>
      <c r="J5" s="566"/>
      <c r="K5" s="566"/>
      <c r="L5" s="566"/>
      <c r="M5" s="566"/>
      <c r="N5" s="566"/>
      <c r="O5" s="566"/>
      <c r="P5" s="645"/>
      <c r="Q5" s="646"/>
    </row>
    <row r="6" spans="1:17" ht="13.5" customHeight="1">
      <c r="A6" s="565"/>
      <c r="B6" s="565"/>
      <c r="C6" s="1392" t="s">
        <v>681</v>
      </c>
      <c r="D6" s="1393"/>
      <c r="E6" s="647">
        <v>1</v>
      </c>
      <c r="F6" s="648"/>
      <c r="G6" s="648"/>
      <c r="H6" s="648"/>
      <c r="I6" s="648">
        <v>34197</v>
      </c>
      <c r="J6" s="648"/>
      <c r="K6" s="648"/>
      <c r="L6" s="566"/>
      <c r="M6" s="566"/>
      <c r="N6" s="566"/>
      <c r="O6" s="566"/>
      <c r="P6" s="645">
        <f>SUM(F6:O6)</f>
        <v>34197</v>
      </c>
      <c r="Q6" s="646" t="s">
        <v>606</v>
      </c>
    </row>
    <row r="7" spans="1:17" ht="13.5" customHeight="1">
      <c r="A7" s="565"/>
      <c r="B7" s="565"/>
      <c r="C7" s="645" t="s">
        <v>274</v>
      </c>
      <c r="D7" s="649"/>
      <c r="E7" s="647">
        <v>1</v>
      </c>
      <c r="F7" s="648"/>
      <c r="G7" s="648"/>
      <c r="H7" s="648"/>
      <c r="I7" s="648">
        <v>86468</v>
      </c>
      <c r="J7" s="648"/>
      <c r="K7" s="648"/>
      <c r="L7" s="566"/>
      <c r="M7" s="566"/>
      <c r="N7" s="566"/>
      <c r="O7" s="566"/>
      <c r="P7" s="645">
        <f>SUM(F7:O7)</f>
        <v>86468</v>
      </c>
      <c r="Q7" s="646" t="s">
        <v>606</v>
      </c>
    </row>
    <row r="8" spans="1:17" ht="13.5" customHeight="1">
      <c r="A8" s="565"/>
      <c r="B8" s="565"/>
      <c r="C8" s="1396" t="s">
        <v>1550</v>
      </c>
      <c r="D8" s="1397"/>
      <c r="E8" s="647"/>
      <c r="F8" s="648"/>
      <c r="G8" s="648"/>
      <c r="H8" s="648"/>
      <c r="I8" s="648"/>
      <c r="J8" s="648"/>
      <c r="K8" s="648"/>
      <c r="L8" s="566"/>
      <c r="M8" s="566"/>
      <c r="N8" s="566"/>
      <c r="O8" s="566"/>
      <c r="P8" s="645"/>
      <c r="Q8" s="646"/>
    </row>
    <row r="9" spans="1:17" ht="13.5" customHeight="1">
      <c r="A9" s="565"/>
      <c r="B9" s="565"/>
      <c r="C9" s="645" t="s">
        <v>102</v>
      </c>
      <c r="D9" s="593"/>
      <c r="E9" s="647">
        <v>1</v>
      </c>
      <c r="F9" s="648"/>
      <c r="G9" s="648"/>
      <c r="H9" s="648"/>
      <c r="I9" s="648">
        <v>36961</v>
      </c>
      <c r="J9" s="648"/>
      <c r="K9" s="648"/>
      <c r="L9" s="566"/>
      <c r="M9" s="566"/>
      <c r="N9" s="566"/>
      <c r="O9" s="566"/>
      <c r="P9" s="645">
        <f>SUM(F9:O9)</f>
        <v>36961</v>
      </c>
      <c r="Q9" s="646" t="s">
        <v>606</v>
      </c>
    </row>
    <row r="10" spans="1:17" ht="13.5" customHeight="1">
      <c r="A10" s="565"/>
      <c r="B10" s="565"/>
      <c r="C10" s="645" t="s">
        <v>102</v>
      </c>
      <c r="D10" s="593"/>
      <c r="E10" s="647">
        <v>1</v>
      </c>
      <c r="F10" s="648"/>
      <c r="G10" s="648"/>
      <c r="H10" s="648"/>
      <c r="I10" s="648">
        <v>1800</v>
      </c>
      <c r="J10" s="648"/>
      <c r="K10" s="648"/>
      <c r="L10" s="566"/>
      <c r="M10" s="566"/>
      <c r="N10" s="566"/>
      <c r="O10" s="566"/>
      <c r="P10" s="645">
        <f>SUM(F10:O10)</f>
        <v>1800</v>
      </c>
      <c r="Q10" s="646" t="s">
        <v>606</v>
      </c>
    </row>
    <row r="11" spans="1:17" ht="13.5" customHeight="1">
      <c r="A11" s="565"/>
      <c r="B11" s="565"/>
      <c r="C11" s="1396" t="s">
        <v>840</v>
      </c>
      <c r="D11" s="1397"/>
      <c r="E11" s="647"/>
      <c r="F11" s="648"/>
      <c r="G11" s="648"/>
      <c r="H11" s="648"/>
      <c r="I11" s="648"/>
      <c r="J11" s="648"/>
      <c r="K11" s="648"/>
      <c r="L11" s="566"/>
      <c r="M11" s="566"/>
      <c r="N11" s="566"/>
      <c r="O11" s="566"/>
      <c r="P11" s="645"/>
      <c r="Q11" s="646"/>
    </row>
    <row r="12" spans="1:17" ht="13.5" customHeight="1">
      <c r="A12" s="565"/>
      <c r="B12" s="565"/>
      <c r="C12" s="645" t="s">
        <v>682</v>
      </c>
      <c r="D12" s="649"/>
      <c r="E12" s="647">
        <v>1</v>
      </c>
      <c r="F12" s="648"/>
      <c r="G12" s="648"/>
      <c r="H12" s="648"/>
      <c r="I12" s="648">
        <v>56</v>
      </c>
      <c r="J12" s="648"/>
      <c r="K12" s="648"/>
      <c r="L12" s="566"/>
      <c r="M12" s="566"/>
      <c r="N12" s="566"/>
      <c r="O12" s="566"/>
      <c r="P12" s="645">
        <f>SUM(F12:O12)</f>
        <v>56</v>
      </c>
      <c r="Q12" s="646" t="s">
        <v>606</v>
      </c>
    </row>
    <row r="13" spans="1:17" ht="24.75" customHeight="1">
      <c r="A13" s="565"/>
      <c r="B13" s="565"/>
      <c r="C13" s="1434" t="s">
        <v>798</v>
      </c>
      <c r="D13" s="1467"/>
      <c r="E13" s="647"/>
      <c r="F13" s="648"/>
      <c r="G13" s="648"/>
      <c r="H13" s="648"/>
      <c r="I13" s="648"/>
      <c r="J13" s="648"/>
      <c r="K13" s="648"/>
      <c r="L13" s="566"/>
      <c r="M13" s="566"/>
      <c r="N13" s="566"/>
      <c r="O13" s="566"/>
      <c r="P13" s="645"/>
      <c r="Q13" s="646"/>
    </row>
    <row r="14" spans="1:17" ht="13.5" customHeight="1">
      <c r="A14" s="565"/>
      <c r="B14" s="565"/>
      <c r="C14" s="645" t="s">
        <v>799</v>
      </c>
      <c r="D14" s="649"/>
      <c r="E14" s="647">
        <v>1</v>
      </c>
      <c r="F14" s="648"/>
      <c r="G14" s="648"/>
      <c r="H14" s="648"/>
      <c r="I14" s="648">
        <v>110</v>
      </c>
      <c r="J14" s="648"/>
      <c r="K14" s="648"/>
      <c r="L14" s="566"/>
      <c r="M14" s="566"/>
      <c r="N14" s="566"/>
      <c r="O14" s="566"/>
      <c r="P14" s="645">
        <f>SUM(F14:O14)</f>
        <v>110</v>
      </c>
      <c r="Q14" s="646" t="s">
        <v>606</v>
      </c>
    </row>
    <row r="15" spans="1:17" ht="13.5" customHeight="1">
      <c r="A15" s="565"/>
      <c r="B15" s="565"/>
      <c r="C15" s="1396" t="s">
        <v>1550</v>
      </c>
      <c r="D15" s="1397"/>
      <c r="E15" s="647">
        <v>1</v>
      </c>
      <c r="F15" s="648"/>
      <c r="G15" s="648"/>
      <c r="H15" s="648"/>
      <c r="I15" s="648"/>
      <c r="J15" s="648"/>
      <c r="K15" s="648"/>
      <c r="L15" s="566"/>
      <c r="M15" s="566"/>
      <c r="N15" s="566"/>
      <c r="O15" s="566"/>
      <c r="P15" s="645"/>
      <c r="Q15" s="646"/>
    </row>
    <row r="16" spans="1:17" ht="13.5" customHeight="1">
      <c r="A16" s="565"/>
      <c r="B16" s="565"/>
      <c r="C16" s="1396" t="s">
        <v>683</v>
      </c>
      <c r="D16" s="1470"/>
      <c r="E16" s="647">
        <v>1</v>
      </c>
      <c r="F16" s="648"/>
      <c r="G16" s="648"/>
      <c r="H16" s="648"/>
      <c r="I16" s="648">
        <v>13604</v>
      </c>
      <c r="J16" s="648"/>
      <c r="K16" s="648"/>
      <c r="L16" s="566"/>
      <c r="M16" s="566"/>
      <c r="N16" s="566"/>
      <c r="O16" s="566"/>
      <c r="P16" s="645">
        <f>SUM(F16:O16)</f>
        <v>13604</v>
      </c>
      <c r="Q16" s="646" t="s">
        <v>606</v>
      </c>
    </row>
    <row r="17" spans="1:17" ht="24.75" customHeight="1">
      <c r="A17" s="565"/>
      <c r="B17" s="565"/>
      <c r="C17" s="1428" t="s">
        <v>800</v>
      </c>
      <c r="D17" s="1436"/>
      <c r="E17" s="650"/>
      <c r="F17" s="648"/>
      <c r="G17" s="648"/>
      <c r="H17" s="648"/>
      <c r="I17" s="648"/>
      <c r="J17" s="648"/>
      <c r="K17" s="648"/>
      <c r="L17" s="566"/>
      <c r="M17" s="566"/>
      <c r="N17" s="566"/>
      <c r="O17" s="566"/>
      <c r="P17" s="645"/>
      <c r="Q17" s="646"/>
    </row>
    <row r="18" spans="1:17" ht="13.5" customHeight="1">
      <c r="A18" s="565"/>
      <c r="B18" s="565"/>
      <c r="C18" s="651" t="s">
        <v>801</v>
      </c>
      <c r="D18" s="652"/>
      <c r="E18" s="650">
        <v>2</v>
      </c>
      <c r="F18" s="648"/>
      <c r="G18" s="648"/>
      <c r="H18" s="648">
        <v>900</v>
      </c>
      <c r="I18" s="648"/>
      <c r="J18" s="648"/>
      <c r="K18" s="648"/>
      <c r="L18" s="566"/>
      <c r="M18" s="566"/>
      <c r="N18" s="566"/>
      <c r="O18" s="566"/>
      <c r="P18" s="645">
        <f>SUM(F18:O18)</f>
        <v>900</v>
      </c>
      <c r="Q18" s="646" t="s">
        <v>606</v>
      </c>
    </row>
    <row r="19" spans="1:17" ht="13.5" customHeight="1">
      <c r="A19" s="565"/>
      <c r="B19" s="565"/>
      <c r="C19" s="1468" t="s">
        <v>1460</v>
      </c>
      <c r="D19" s="1469"/>
      <c r="E19" s="650"/>
      <c r="F19" s="648"/>
      <c r="G19" s="648"/>
      <c r="H19" s="648"/>
      <c r="I19" s="648"/>
      <c r="J19" s="648"/>
      <c r="K19" s="648"/>
      <c r="L19" s="566"/>
      <c r="M19" s="566"/>
      <c r="N19" s="566"/>
      <c r="O19" s="566"/>
      <c r="P19" s="645"/>
      <c r="Q19" s="646"/>
    </row>
    <row r="20" spans="1:17" ht="13.5" customHeight="1">
      <c r="A20" s="565"/>
      <c r="B20" s="565"/>
      <c r="C20" s="569" t="s">
        <v>358</v>
      </c>
      <c r="D20" s="653"/>
      <c r="E20" s="650">
        <v>1</v>
      </c>
      <c r="F20" s="648"/>
      <c r="G20" s="648"/>
      <c r="H20" s="648">
        <v>600</v>
      </c>
      <c r="I20" s="648"/>
      <c r="J20" s="648">
        <v>-600</v>
      </c>
      <c r="K20" s="648"/>
      <c r="L20" s="566"/>
      <c r="M20" s="566"/>
      <c r="N20" s="566"/>
      <c r="O20" s="566"/>
      <c r="P20" s="645">
        <f>SUM(H20:O20)</f>
        <v>0</v>
      </c>
      <c r="Q20" s="646" t="s">
        <v>606</v>
      </c>
    </row>
    <row r="21" spans="1:17" ht="13.5" customHeight="1">
      <c r="A21" s="565"/>
      <c r="B21" s="565"/>
      <c r="C21" s="1425" t="s">
        <v>1554</v>
      </c>
      <c r="D21" s="1426"/>
      <c r="E21" s="654"/>
      <c r="F21" s="648"/>
      <c r="G21" s="648"/>
      <c r="H21" s="648"/>
      <c r="I21" s="648"/>
      <c r="J21" s="648"/>
      <c r="K21" s="648"/>
      <c r="L21" s="566"/>
      <c r="M21" s="566"/>
      <c r="N21" s="566"/>
      <c r="O21" s="566"/>
      <c r="P21" s="645"/>
      <c r="Q21" s="646"/>
    </row>
    <row r="22" spans="1:17" ht="13.5" customHeight="1">
      <c r="A22" s="565"/>
      <c r="B22" s="565"/>
      <c r="C22" s="651" t="s">
        <v>802</v>
      </c>
      <c r="D22" s="655"/>
      <c r="E22" s="656">
        <v>2</v>
      </c>
      <c r="F22" s="648"/>
      <c r="G22" s="648"/>
      <c r="H22" s="648"/>
      <c r="I22" s="648"/>
      <c r="J22" s="648">
        <v>4450</v>
      </c>
      <c r="K22" s="648"/>
      <c r="L22" s="566"/>
      <c r="M22" s="566"/>
      <c r="N22" s="566"/>
      <c r="O22" s="566"/>
      <c r="P22" s="645">
        <f>SUM(F22:O22)</f>
        <v>4450</v>
      </c>
      <c r="Q22" s="646" t="s">
        <v>606</v>
      </c>
    </row>
    <row r="23" spans="1:17" ht="13.5" customHeight="1">
      <c r="A23" s="657"/>
      <c r="B23" s="657"/>
      <c r="C23" s="658" t="s">
        <v>686</v>
      </c>
      <c r="D23" s="659"/>
      <c r="E23" s="660"/>
      <c r="F23" s="661">
        <f aca="true" t="shared" si="0" ref="F23:M23">SUM(F5:F22)</f>
        <v>0</v>
      </c>
      <c r="G23" s="661">
        <f t="shared" si="0"/>
        <v>0</v>
      </c>
      <c r="H23" s="661">
        <f t="shared" si="0"/>
        <v>1500</v>
      </c>
      <c r="I23" s="661">
        <f t="shared" si="0"/>
        <v>173196</v>
      </c>
      <c r="J23" s="661">
        <f t="shared" si="0"/>
        <v>3850</v>
      </c>
      <c r="K23" s="661">
        <f t="shared" si="0"/>
        <v>0</v>
      </c>
      <c r="L23" s="661">
        <f t="shared" si="0"/>
        <v>0</v>
      </c>
      <c r="M23" s="661">
        <f t="shared" si="0"/>
        <v>0</v>
      </c>
      <c r="N23" s="661"/>
      <c r="O23" s="661">
        <f>SUM(O5:O22)</f>
        <v>0</v>
      </c>
      <c r="P23" s="661">
        <f>SUM(P5:P22)</f>
        <v>178546</v>
      </c>
      <c r="Q23" s="662"/>
    </row>
    <row r="24" spans="1:17" ht="13.5" customHeight="1">
      <c r="A24" s="565"/>
      <c r="B24" s="565"/>
      <c r="C24" s="567" t="s">
        <v>687</v>
      </c>
      <c r="D24" s="639"/>
      <c r="E24" s="663"/>
      <c r="F24" s="566"/>
      <c r="G24" s="566"/>
      <c r="H24" s="566"/>
      <c r="I24" s="566"/>
      <c r="J24" s="566"/>
      <c r="K24" s="566">
        <f>'[2]7'!J7</f>
        <v>0</v>
      </c>
      <c r="L24" s="566"/>
      <c r="M24" s="566">
        <f>'[2]7'!K7</f>
        <v>0</v>
      </c>
      <c r="N24" s="566"/>
      <c r="O24" s="566"/>
      <c r="P24" s="645">
        <f>SUM(F24:O24)</f>
        <v>0</v>
      </c>
      <c r="Q24" s="646"/>
    </row>
    <row r="25" spans="1:17" ht="13.5" customHeight="1">
      <c r="A25" s="565"/>
      <c r="B25" s="565"/>
      <c r="C25" s="567" t="s">
        <v>1874</v>
      </c>
      <c r="D25" s="639"/>
      <c r="E25" s="663"/>
      <c r="F25" s="566"/>
      <c r="G25" s="566"/>
      <c r="H25" s="566"/>
      <c r="I25" s="566"/>
      <c r="J25" s="566"/>
      <c r="K25" s="566"/>
      <c r="L25" s="566"/>
      <c r="M25" s="566"/>
      <c r="N25" s="566"/>
      <c r="O25" s="566"/>
      <c r="P25" s="645">
        <f>SUM(F25:O25)</f>
        <v>0</v>
      </c>
      <c r="Q25" s="646"/>
    </row>
    <row r="26" spans="1:17" ht="13.5" customHeight="1">
      <c r="A26" s="657"/>
      <c r="B26" s="657"/>
      <c r="C26" s="658" t="s">
        <v>253</v>
      </c>
      <c r="D26" s="659"/>
      <c r="E26" s="664"/>
      <c r="F26" s="661">
        <f aca="true" t="shared" si="1" ref="F26:M26">SUM(F23:F25)</f>
        <v>0</v>
      </c>
      <c r="G26" s="661">
        <f t="shared" si="1"/>
        <v>0</v>
      </c>
      <c r="H26" s="661">
        <f t="shared" si="1"/>
        <v>1500</v>
      </c>
      <c r="I26" s="661">
        <f t="shared" si="1"/>
        <v>173196</v>
      </c>
      <c r="J26" s="661">
        <f t="shared" si="1"/>
        <v>3850</v>
      </c>
      <c r="K26" s="661">
        <f t="shared" si="1"/>
        <v>0</v>
      </c>
      <c r="L26" s="661">
        <f t="shared" si="1"/>
        <v>0</v>
      </c>
      <c r="M26" s="661">
        <f t="shared" si="1"/>
        <v>0</v>
      </c>
      <c r="N26" s="661"/>
      <c r="O26" s="661">
        <f>SUM(O23:O25)</f>
        <v>0</v>
      </c>
      <c r="P26" s="661">
        <f>SUM(P23:P25)</f>
        <v>178546</v>
      </c>
      <c r="Q26" s="662"/>
    </row>
    <row r="27" spans="1:17" ht="13.5" customHeight="1">
      <c r="A27" s="665">
        <v>1</v>
      </c>
      <c r="B27" s="665">
        <v>13</v>
      </c>
      <c r="C27" s="562" t="s">
        <v>250</v>
      </c>
      <c r="D27" s="666"/>
      <c r="E27" s="667"/>
      <c r="F27" s="566"/>
      <c r="G27" s="566"/>
      <c r="H27" s="566"/>
      <c r="I27" s="566"/>
      <c r="J27" s="566"/>
      <c r="K27" s="566"/>
      <c r="L27" s="566"/>
      <c r="M27" s="566"/>
      <c r="N27" s="566"/>
      <c r="O27" s="566"/>
      <c r="P27" s="645"/>
      <c r="Q27" s="646"/>
    </row>
    <row r="28" spans="1:17" ht="13.5" customHeight="1">
      <c r="A28" s="665"/>
      <c r="B28" s="665"/>
      <c r="C28" s="668" t="s">
        <v>1234</v>
      </c>
      <c r="D28" s="666"/>
      <c r="E28" s="667"/>
      <c r="F28" s="566"/>
      <c r="G28" s="566"/>
      <c r="H28" s="566"/>
      <c r="I28" s="566"/>
      <c r="J28" s="566"/>
      <c r="K28" s="566"/>
      <c r="L28" s="566"/>
      <c r="M28" s="566"/>
      <c r="N28" s="566"/>
      <c r="O28" s="566"/>
      <c r="P28" s="645"/>
      <c r="Q28" s="646"/>
    </row>
    <row r="29" spans="1:17" ht="13.5" customHeight="1">
      <c r="A29" s="665"/>
      <c r="B29" s="665"/>
      <c r="C29" s="1448" t="s">
        <v>1461</v>
      </c>
      <c r="D29" s="1449"/>
      <c r="E29" s="670"/>
      <c r="F29" s="566"/>
      <c r="G29" s="566"/>
      <c r="H29" s="648"/>
      <c r="I29" s="648"/>
      <c r="J29" s="648"/>
      <c r="K29" s="566"/>
      <c r="L29" s="566"/>
      <c r="M29" s="566"/>
      <c r="N29" s="566"/>
      <c r="O29" s="566"/>
      <c r="P29" s="645"/>
      <c r="Q29" s="646"/>
    </row>
    <row r="30" spans="1:17" ht="36" customHeight="1">
      <c r="A30" s="665"/>
      <c r="B30" s="665"/>
      <c r="C30" s="1446" t="s">
        <v>803</v>
      </c>
      <c r="D30" s="1447"/>
      <c r="E30" s="671">
        <v>2</v>
      </c>
      <c r="F30" s="648">
        <v>5751</v>
      </c>
      <c r="G30" s="648">
        <v>1567</v>
      </c>
      <c r="H30" s="648"/>
      <c r="I30" s="648"/>
      <c r="J30" s="648"/>
      <c r="K30" s="566"/>
      <c r="L30" s="566"/>
      <c r="M30" s="566"/>
      <c r="N30" s="566"/>
      <c r="O30" s="566"/>
      <c r="P30" s="645">
        <f>SUM(F30:O30)</f>
        <v>7318</v>
      </c>
      <c r="Q30" s="646" t="s">
        <v>606</v>
      </c>
    </row>
    <row r="31" spans="1:17" ht="24.75" customHeight="1">
      <c r="A31" s="665"/>
      <c r="B31" s="665"/>
      <c r="C31" s="1428" t="s">
        <v>804</v>
      </c>
      <c r="D31" s="1436"/>
      <c r="E31" s="671"/>
      <c r="F31" s="648"/>
      <c r="G31" s="648"/>
      <c r="H31" s="648"/>
      <c r="I31" s="648"/>
      <c r="J31" s="648"/>
      <c r="K31" s="566"/>
      <c r="L31" s="566"/>
      <c r="M31" s="566"/>
      <c r="N31" s="566"/>
      <c r="O31" s="566"/>
      <c r="P31" s="645"/>
      <c r="Q31" s="646"/>
    </row>
    <row r="32" spans="1:17" ht="24.75" customHeight="1">
      <c r="A32" s="665"/>
      <c r="B32" s="665"/>
      <c r="C32" s="1428" t="s">
        <v>1105</v>
      </c>
      <c r="D32" s="1436"/>
      <c r="E32" s="671">
        <v>2</v>
      </c>
      <c r="F32" s="648"/>
      <c r="G32" s="648"/>
      <c r="H32" s="648"/>
      <c r="I32" s="648"/>
      <c r="J32" s="648">
        <v>-4600</v>
      </c>
      <c r="K32" s="566"/>
      <c r="L32" s="566"/>
      <c r="M32" s="566"/>
      <c r="N32" s="566"/>
      <c r="O32" s="566"/>
      <c r="P32" s="645">
        <f>SUM(F32:O32)</f>
        <v>-4600</v>
      </c>
      <c r="Q32" s="646" t="s">
        <v>643</v>
      </c>
    </row>
    <row r="33" spans="1:17" ht="15.75" customHeight="1">
      <c r="A33" s="665"/>
      <c r="B33" s="665"/>
      <c r="C33" s="1471" t="s">
        <v>1235</v>
      </c>
      <c r="D33" s="1472"/>
      <c r="E33" s="671"/>
      <c r="F33" s="648"/>
      <c r="G33" s="648"/>
      <c r="H33" s="648"/>
      <c r="I33" s="648"/>
      <c r="J33" s="648"/>
      <c r="K33" s="566"/>
      <c r="L33" s="566"/>
      <c r="M33" s="566"/>
      <c r="N33" s="566"/>
      <c r="O33" s="566"/>
      <c r="P33" s="645"/>
      <c r="Q33" s="646"/>
    </row>
    <row r="34" spans="1:17" ht="24.75" customHeight="1">
      <c r="A34" s="665"/>
      <c r="B34" s="665"/>
      <c r="C34" s="1428" t="s">
        <v>1463</v>
      </c>
      <c r="D34" s="1436"/>
      <c r="E34" s="671"/>
      <c r="F34" s="648"/>
      <c r="G34" s="648"/>
      <c r="H34" s="648"/>
      <c r="I34" s="648"/>
      <c r="J34" s="648"/>
      <c r="K34" s="566"/>
      <c r="L34" s="566"/>
      <c r="M34" s="566"/>
      <c r="N34" s="566"/>
      <c r="O34" s="566"/>
      <c r="P34" s="645"/>
      <c r="Q34" s="646"/>
    </row>
    <row r="35" spans="1:17" ht="15" customHeight="1">
      <c r="A35" s="665"/>
      <c r="B35" s="665"/>
      <c r="C35" s="1428" t="s">
        <v>1877</v>
      </c>
      <c r="D35" s="1436"/>
      <c r="E35" s="671">
        <v>2</v>
      </c>
      <c r="F35" s="648"/>
      <c r="G35" s="648"/>
      <c r="H35" s="648">
        <v>-37</v>
      </c>
      <c r="I35" s="648"/>
      <c r="J35" s="648"/>
      <c r="K35" s="566"/>
      <c r="L35" s="566"/>
      <c r="M35" s="566"/>
      <c r="N35" s="566"/>
      <c r="O35" s="566"/>
      <c r="P35" s="645">
        <f>SUM(F35:O35)</f>
        <v>-37</v>
      </c>
      <c r="Q35" s="646" t="s">
        <v>643</v>
      </c>
    </row>
    <row r="36" spans="1:17" ht="15" customHeight="1">
      <c r="A36" s="665"/>
      <c r="B36" s="665"/>
      <c r="C36" s="651" t="s">
        <v>1464</v>
      </c>
      <c r="D36" s="652"/>
      <c r="E36" s="672"/>
      <c r="F36" s="566"/>
      <c r="G36" s="566"/>
      <c r="H36" s="648"/>
      <c r="I36" s="648"/>
      <c r="J36" s="648"/>
      <c r="K36" s="566"/>
      <c r="L36" s="566"/>
      <c r="M36" s="566"/>
      <c r="N36" s="566"/>
      <c r="O36" s="566"/>
      <c r="P36" s="645"/>
      <c r="Q36" s="646"/>
    </row>
    <row r="37" spans="1:17" ht="13.5" customHeight="1">
      <c r="A37" s="665"/>
      <c r="B37" s="665"/>
      <c r="C37" s="563" t="s">
        <v>690</v>
      </c>
      <c r="D37" s="652"/>
      <c r="E37" s="650">
        <v>2</v>
      </c>
      <c r="F37" s="566"/>
      <c r="G37" s="566"/>
      <c r="H37" s="648">
        <v>637</v>
      </c>
      <c r="I37" s="648"/>
      <c r="J37" s="648"/>
      <c r="K37" s="566"/>
      <c r="L37" s="566"/>
      <c r="M37" s="566"/>
      <c r="N37" s="566"/>
      <c r="O37" s="566"/>
      <c r="P37" s="645">
        <f>SUM(F37:O37)</f>
        <v>637</v>
      </c>
      <c r="Q37" s="646" t="s">
        <v>606</v>
      </c>
    </row>
    <row r="38" spans="1:17" ht="13.5" customHeight="1">
      <c r="A38" s="665"/>
      <c r="B38" s="665"/>
      <c r="C38" s="1425" t="s">
        <v>1465</v>
      </c>
      <c r="D38" s="1426"/>
      <c r="E38" s="647"/>
      <c r="F38" s="566"/>
      <c r="G38" s="566"/>
      <c r="H38" s="648"/>
      <c r="I38" s="648"/>
      <c r="J38" s="648"/>
      <c r="K38" s="566"/>
      <c r="L38" s="566"/>
      <c r="M38" s="566"/>
      <c r="N38" s="566"/>
      <c r="O38" s="566"/>
      <c r="P38" s="645"/>
      <c r="Q38" s="646"/>
    </row>
    <row r="39" spans="1:17" ht="13.5" customHeight="1">
      <c r="A39" s="665"/>
      <c r="B39" s="665"/>
      <c r="C39" s="1428" t="s">
        <v>1295</v>
      </c>
      <c r="D39" s="1436"/>
      <c r="E39" s="673">
        <v>2</v>
      </c>
      <c r="F39" s="566"/>
      <c r="G39" s="566"/>
      <c r="H39" s="648">
        <v>50</v>
      </c>
      <c r="I39" s="648"/>
      <c r="J39" s="648">
        <v>-50</v>
      </c>
      <c r="K39" s="566"/>
      <c r="L39" s="566"/>
      <c r="M39" s="566"/>
      <c r="N39" s="566"/>
      <c r="O39" s="566"/>
      <c r="P39" s="645">
        <f>SUM(F39:O39)</f>
        <v>0</v>
      </c>
      <c r="Q39" s="646" t="s">
        <v>606</v>
      </c>
    </row>
    <row r="40" spans="1:17" ht="24.75" customHeight="1">
      <c r="A40" s="665"/>
      <c r="B40" s="665"/>
      <c r="C40" s="1457" t="s">
        <v>119</v>
      </c>
      <c r="D40" s="1458"/>
      <c r="E40" s="674">
        <v>2</v>
      </c>
      <c r="F40" s="566"/>
      <c r="G40" s="566"/>
      <c r="H40" s="648"/>
      <c r="I40" s="648"/>
      <c r="J40" s="648">
        <v>1000</v>
      </c>
      <c r="K40" s="566"/>
      <c r="L40" s="566"/>
      <c r="M40" s="566"/>
      <c r="N40" s="566"/>
      <c r="O40" s="566"/>
      <c r="P40" s="645">
        <f>SUM(F40:O40)</f>
        <v>1000</v>
      </c>
      <c r="Q40" s="646" t="s">
        <v>606</v>
      </c>
    </row>
    <row r="41" spans="1:17" ht="13.5" customHeight="1">
      <c r="A41" s="665"/>
      <c r="B41" s="665"/>
      <c r="C41" s="1461" t="s">
        <v>365</v>
      </c>
      <c r="D41" s="1462"/>
      <c r="E41" s="676"/>
      <c r="F41" s="566"/>
      <c r="G41" s="566"/>
      <c r="H41" s="648"/>
      <c r="I41" s="648"/>
      <c r="J41" s="648"/>
      <c r="K41" s="566"/>
      <c r="L41" s="566"/>
      <c r="M41" s="566"/>
      <c r="N41" s="566"/>
      <c r="O41" s="566"/>
      <c r="P41" s="645"/>
      <c r="Q41" s="646"/>
    </row>
    <row r="42" spans="1:17" ht="13.5" customHeight="1">
      <c r="A42" s="665"/>
      <c r="B42" s="665"/>
      <c r="C42" s="1425" t="s">
        <v>1555</v>
      </c>
      <c r="D42" s="1426"/>
      <c r="E42" s="647"/>
      <c r="F42" s="566"/>
      <c r="G42" s="566"/>
      <c r="H42" s="648"/>
      <c r="I42" s="648"/>
      <c r="J42" s="648"/>
      <c r="K42" s="566"/>
      <c r="L42" s="566"/>
      <c r="M42" s="566"/>
      <c r="N42" s="566"/>
      <c r="O42" s="566"/>
      <c r="P42" s="645"/>
      <c r="Q42" s="646"/>
    </row>
    <row r="43" spans="1:17" ht="13.5" customHeight="1">
      <c r="A43" s="665"/>
      <c r="B43" s="665"/>
      <c r="C43" s="563" t="s">
        <v>1101</v>
      </c>
      <c r="D43" s="652"/>
      <c r="E43" s="650">
        <v>2</v>
      </c>
      <c r="F43" s="566"/>
      <c r="G43" s="566"/>
      <c r="H43" s="648">
        <v>-50</v>
      </c>
      <c r="I43" s="648"/>
      <c r="J43" s="648">
        <v>50</v>
      </c>
      <c r="K43" s="566"/>
      <c r="L43" s="566"/>
      <c r="M43" s="566"/>
      <c r="N43" s="566"/>
      <c r="O43" s="566"/>
      <c r="P43" s="645">
        <f>SUM(F43:O43)</f>
        <v>0</v>
      </c>
      <c r="Q43" s="646" t="s">
        <v>606</v>
      </c>
    </row>
    <row r="44" spans="1:17" ht="15" customHeight="1">
      <c r="A44" s="665"/>
      <c r="B44" s="665"/>
      <c r="C44" s="1457" t="s">
        <v>1468</v>
      </c>
      <c r="D44" s="1458"/>
      <c r="E44" s="650"/>
      <c r="F44" s="566"/>
      <c r="G44" s="566"/>
      <c r="H44" s="648"/>
      <c r="I44" s="648"/>
      <c r="J44" s="648"/>
      <c r="K44" s="566"/>
      <c r="L44" s="566"/>
      <c r="M44" s="566"/>
      <c r="N44" s="566"/>
      <c r="O44" s="566"/>
      <c r="P44" s="645"/>
      <c r="Q44" s="646"/>
    </row>
    <row r="45" spans="1:17" ht="15" customHeight="1">
      <c r="A45" s="665"/>
      <c r="B45" s="665"/>
      <c r="C45" s="1425" t="s">
        <v>787</v>
      </c>
      <c r="D45" s="1426"/>
      <c r="E45" s="650">
        <v>2</v>
      </c>
      <c r="F45" s="648"/>
      <c r="G45" s="648"/>
      <c r="H45" s="648">
        <v>-50</v>
      </c>
      <c r="I45" s="648"/>
      <c r="J45" s="648">
        <v>100</v>
      </c>
      <c r="K45" s="566"/>
      <c r="L45" s="566"/>
      <c r="M45" s="566"/>
      <c r="N45" s="566"/>
      <c r="O45" s="566"/>
      <c r="P45" s="645">
        <f>SUM(F45:O45)</f>
        <v>50</v>
      </c>
      <c r="Q45" s="646" t="s">
        <v>606</v>
      </c>
    </row>
    <row r="46" spans="1:17" ht="24.75" customHeight="1">
      <c r="A46" s="665"/>
      <c r="B46" s="665"/>
      <c r="C46" s="1434" t="s">
        <v>798</v>
      </c>
      <c r="D46" s="1467"/>
      <c r="E46" s="650"/>
      <c r="F46" s="648"/>
      <c r="G46" s="648"/>
      <c r="H46" s="648"/>
      <c r="I46" s="648"/>
      <c r="J46" s="648"/>
      <c r="K46" s="566"/>
      <c r="L46" s="566"/>
      <c r="M46" s="566"/>
      <c r="N46" s="566"/>
      <c r="O46" s="566"/>
      <c r="P46" s="645"/>
      <c r="Q46" s="646"/>
    </row>
    <row r="47" spans="1:17" ht="15" customHeight="1">
      <c r="A47" s="665"/>
      <c r="B47" s="665"/>
      <c r="C47" s="563" t="s">
        <v>805</v>
      </c>
      <c r="D47" s="652"/>
      <c r="E47" s="650">
        <v>2</v>
      </c>
      <c r="F47" s="648"/>
      <c r="G47" s="648"/>
      <c r="H47" s="648">
        <v>5180</v>
      </c>
      <c r="I47" s="648"/>
      <c r="J47" s="648"/>
      <c r="K47" s="566"/>
      <c r="L47" s="566"/>
      <c r="M47" s="566"/>
      <c r="N47" s="566"/>
      <c r="O47" s="566"/>
      <c r="P47" s="645">
        <f>SUM(F47:O47)</f>
        <v>5180</v>
      </c>
      <c r="Q47" s="646" t="s">
        <v>606</v>
      </c>
    </row>
    <row r="48" spans="1:17" ht="15" customHeight="1">
      <c r="A48" s="665"/>
      <c r="B48" s="665"/>
      <c r="C48" s="563" t="s">
        <v>1557</v>
      </c>
      <c r="D48" s="652"/>
      <c r="E48" s="650"/>
      <c r="F48" s="648"/>
      <c r="G48" s="648"/>
      <c r="H48" s="648"/>
      <c r="I48" s="648"/>
      <c r="J48" s="648"/>
      <c r="K48" s="566"/>
      <c r="L48" s="566"/>
      <c r="M48" s="566"/>
      <c r="N48" s="566"/>
      <c r="O48" s="566"/>
      <c r="P48" s="645"/>
      <c r="Q48" s="646"/>
    </row>
    <row r="49" spans="1:17" ht="15" customHeight="1">
      <c r="A49" s="665"/>
      <c r="B49" s="665"/>
      <c r="C49" s="563" t="s">
        <v>806</v>
      </c>
      <c r="D49" s="652"/>
      <c r="E49" s="650">
        <v>1</v>
      </c>
      <c r="F49" s="648"/>
      <c r="G49" s="648"/>
      <c r="H49" s="648">
        <v>5572</v>
      </c>
      <c r="I49" s="648"/>
      <c r="J49" s="648"/>
      <c r="K49" s="566"/>
      <c r="L49" s="566"/>
      <c r="M49" s="566"/>
      <c r="N49" s="566"/>
      <c r="O49" s="566"/>
      <c r="P49" s="645">
        <f>SUM(F49:O49)</f>
        <v>5572</v>
      </c>
      <c r="Q49" s="646" t="s">
        <v>606</v>
      </c>
    </row>
    <row r="50" spans="1:17" ht="24.75" customHeight="1">
      <c r="A50" s="665"/>
      <c r="B50" s="665"/>
      <c r="C50" s="1459" t="s">
        <v>1467</v>
      </c>
      <c r="D50" s="1460"/>
      <c r="E50" s="650"/>
      <c r="F50" s="648"/>
      <c r="G50" s="648"/>
      <c r="H50" s="648"/>
      <c r="I50" s="648"/>
      <c r="J50" s="648"/>
      <c r="K50" s="566"/>
      <c r="L50" s="566"/>
      <c r="M50" s="566"/>
      <c r="N50" s="566"/>
      <c r="O50" s="566"/>
      <c r="P50" s="645"/>
      <c r="Q50" s="646"/>
    </row>
    <row r="51" spans="1:17" ht="15" customHeight="1">
      <c r="A51" s="665"/>
      <c r="B51" s="665"/>
      <c r="C51" s="1457" t="s">
        <v>391</v>
      </c>
      <c r="D51" s="1458"/>
      <c r="E51" s="650">
        <v>2</v>
      </c>
      <c r="F51" s="648"/>
      <c r="G51" s="648"/>
      <c r="H51" s="648">
        <v>-300</v>
      </c>
      <c r="I51" s="648"/>
      <c r="J51" s="648"/>
      <c r="K51" s="566"/>
      <c r="L51" s="566"/>
      <c r="M51" s="566"/>
      <c r="N51" s="566"/>
      <c r="O51" s="566"/>
      <c r="P51" s="645">
        <f>SUM(F51:O51)</f>
        <v>-300</v>
      </c>
      <c r="Q51" s="646" t="s">
        <v>643</v>
      </c>
    </row>
    <row r="52" spans="1:17" ht="13.5" customHeight="1">
      <c r="A52" s="665"/>
      <c r="B52" s="665"/>
      <c r="C52" s="675" t="s">
        <v>1686</v>
      </c>
      <c r="D52" s="652"/>
      <c r="E52" s="650"/>
      <c r="F52" s="566"/>
      <c r="G52" s="566"/>
      <c r="H52" s="648"/>
      <c r="I52" s="648"/>
      <c r="J52" s="648"/>
      <c r="K52" s="566"/>
      <c r="L52" s="566"/>
      <c r="M52" s="566"/>
      <c r="N52" s="566"/>
      <c r="O52" s="566"/>
      <c r="P52" s="645"/>
      <c r="Q52" s="646"/>
    </row>
    <row r="53" spans="1:17" ht="13.5" customHeight="1">
      <c r="A53" s="665"/>
      <c r="B53" s="665"/>
      <c r="C53" s="1448" t="s">
        <v>1560</v>
      </c>
      <c r="D53" s="1449"/>
      <c r="E53" s="650"/>
      <c r="F53" s="566"/>
      <c r="G53" s="566"/>
      <c r="H53" s="648"/>
      <c r="I53" s="648"/>
      <c r="J53" s="648"/>
      <c r="K53" s="566"/>
      <c r="L53" s="566"/>
      <c r="M53" s="566"/>
      <c r="N53" s="566"/>
      <c r="O53" s="566"/>
      <c r="P53" s="645"/>
      <c r="Q53" s="646"/>
    </row>
    <row r="54" spans="1:17" ht="13.5" customHeight="1">
      <c r="A54" s="665"/>
      <c r="B54" s="665"/>
      <c r="C54" s="563" t="s">
        <v>1687</v>
      </c>
      <c r="D54" s="669"/>
      <c r="E54" s="650">
        <v>2</v>
      </c>
      <c r="F54" s="566"/>
      <c r="G54" s="566"/>
      <c r="H54" s="648"/>
      <c r="I54" s="648"/>
      <c r="J54" s="648">
        <v>2000</v>
      </c>
      <c r="K54" s="566"/>
      <c r="L54" s="566"/>
      <c r="M54" s="566"/>
      <c r="N54" s="566"/>
      <c r="O54" s="566"/>
      <c r="P54" s="645">
        <f>SUM(F54:O54)</f>
        <v>2000</v>
      </c>
      <c r="Q54" s="646" t="s">
        <v>606</v>
      </c>
    </row>
    <row r="55" spans="1:17" ht="13.5" customHeight="1">
      <c r="A55" s="665"/>
      <c r="B55" s="665"/>
      <c r="C55" s="563" t="s">
        <v>807</v>
      </c>
      <c r="D55" s="652"/>
      <c r="E55" s="650">
        <v>2</v>
      </c>
      <c r="F55" s="566"/>
      <c r="G55" s="566"/>
      <c r="H55" s="648"/>
      <c r="I55" s="648"/>
      <c r="J55" s="648">
        <v>15000</v>
      </c>
      <c r="K55" s="566"/>
      <c r="L55" s="566"/>
      <c r="M55" s="566"/>
      <c r="N55" s="566"/>
      <c r="O55" s="566"/>
      <c r="P55" s="645">
        <f>SUM(F55:O55)</f>
        <v>15000</v>
      </c>
      <c r="Q55" s="646" t="s">
        <v>606</v>
      </c>
    </row>
    <row r="56" spans="1:17" ht="13.5" customHeight="1">
      <c r="A56" s="665"/>
      <c r="B56" s="665"/>
      <c r="C56" s="1448" t="s">
        <v>1561</v>
      </c>
      <c r="D56" s="1449"/>
      <c r="E56" s="647"/>
      <c r="F56" s="566"/>
      <c r="G56" s="566"/>
      <c r="H56" s="648"/>
      <c r="I56" s="648"/>
      <c r="J56" s="648"/>
      <c r="K56" s="566"/>
      <c r="L56" s="566"/>
      <c r="M56" s="566"/>
      <c r="N56" s="566"/>
      <c r="O56" s="566"/>
      <c r="P56" s="645"/>
      <c r="Q56" s="646"/>
    </row>
    <row r="57" spans="1:17" ht="13.5" customHeight="1">
      <c r="A57" s="665"/>
      <c r="B57" s="665"/>
      <c r="C57" s="1406" t="s">
        <v>910</v>
      </c>
      <c r="D57" s="1463"/>
      <c r="E57" s="665">
        <v>1</v>
      </c>
      <c r="F57" s="566"/>
      <c r="G57" s="566"/>
      <c r="H57" s="648">
        <v>-500</v>
      </c>
      <c r="I57" s="648"/>
      <c r="J57" s="648">
        <v>500</v>
      </c>
      <c r="K57" s="566"/>
      <c r="L57" s="566"/>
      <c r="M57" s="566"/>
      <c r="N57" s="566"/>
      <c r="O57" s="566"/>
      <c r="P57" s="645">
        <f>SUM(F57:O57)</f>
        <v>0</v>
      </c>
      <c r="Q57" s="646" t="s">
        <v>606</v>
      </c>
    </row>
    <row r="58" spans="1:17" ht="13.5" customHeight="1">
      <c r="A58" s="665"/>
      <c r="B58" s="665"/>
      <c r="C58" s="569" t="s">
        <v>808</v>
      </c>
      <c r="D58" s="653"/>
      <c r="E58" s="650">
        <v>1</v>
      </c>
      <c r="F58" s="566"/>
      <c r="G58" s="566"/>
      <c r="H58" s="648"/>
      <c r="I58" s="648"/>
      <c r="J58" s="648">
        <v>-4000</v>
      </c>
      <c r="K58" s="566"/>
      <c r="L58" s="566"/>
      <c r="M58" s="566"/>
      <c r="N58" s="566"/>
      <c r="O58" s="566"/>
      <c r="P58" s="645">
        <f>SUM(F58:O58)</f>
        <v>-4000</v>
      </c>
      <c r="Q58" s="646" t="s">
        <v>606</v>
      </c>
    </row>
    <row r="59" spans="1:17" ht="13.5" customHeight="1">
      <c r="A59" s="665"/>
      <c r="B59" s="665"/>
      <c r="C59" s="1423" t="s">
        <v>1562</v>
      </c>
      <c r="D59" s="1439"/>
      <c r="E59" s="647"/>
      <c r="F59" s="566"/>
      <c r="G59" s="566"/>
      <c r="H59" s="648"/>
      <c r="I59" s="648"/>
      <c r="J59" s="648"/>
      <c r="K59" s="566"/>
      <c r="L59" s="566"/>
      <c r="M59" s="566"/>
      <c r="N59" s="566"/>
      <c r="O59" s="566"/>
      <c r="P59" s="645"/>
      <c r="Q59" s="646"/>
    </row>
    <row r="60" spans="1:17" ht="13.5" customHeight="1">
      <c r="A60" s="665"/>
      <c r="B60" s="665"/>
      <c r="C60" s="569" t="s">
        <v>694</v>
      </c>
      <c r="D60" s="649"/>
      <c r="E60" s="676">
        <v>1</v>
      </c>
      <c r="F60" s="648">
        <v>100</v>
      </c>
      <c r="G60" s="648">
        <v>30</v>
      </c>
      <c r="H60" s="648">
        <v>-130</v>
      </c>
      <c r="I60" s="648"/>
      <c r="J60" s="648"/>
      <c r="K60" s="566"/>
      <c r="L60" s="566"/>
      <c r="M60" s="566"/>
      <c r="N60" s="566"/>
      <c r="O60" s="566"/>
      <c r="P60" s="645">
        <f>SUM(F60:O60)</f>
        <v>0</v>
      </c>
      <c r="Q60" s="646" t="s">
        <v>606</v>
      </c>
    </row>
    <row r="61" spans="1:17" ht="13.5" customHeight="1">
      <c r="A61" s="678"/>
      <c r="B61" s="678"/>
      <c r="C61" s="679" t="s">
        <v>251</v>
      </c>
      <c r="D61" s="680"/>
      <c r="E61" s="678"/>
      <c r="F61" s="661">
        <f aca="true" t="shared" si="2" ref="F61:P61">SUM(F29:F60)</f>
        <v>5851</v>
      </c>
      <c r="G61" s="661">
        <f t="shared" si="2"/>
        <v>1597</v>
      </c>
      <c r="H61" s="661">
        <f t="shared" si="2"/>
        <v>10372</v>
      </c>
      <c r="I61" s="661">
        <f t="shared" si="2"/>
        <v>0</v>
      </c>
      <c r="J61" s="661">
        <f t="shared" si="2"/>
        <v>10000</v>
      </c>
      <c r="K61" s="661">
        <f t="shared" si="2"/>
        <v>0</v>
      </c>
      <c r="L61" s="661">
        <f t="shared" si="2"/>
        <v>0</v>
      </c>
      <c r="M61" s="661">
        <f t="shared" si="2"/>
        <v>0</v>
      </c>
      <c r="N61" s="661">
        <f t="shared" si="2"/>
        <v>0</v>
      </c>
      <c r="O61" s="661">
        <f t="shared" si="2"/>
        <v>0</v>
      </c>
      <c r="P61" s="661">
        <f t="shared" si="2"/>
        <v>27820</v>
      </c>
      <c r="Q61" s="661"/>
    </row>
    <row r="62" spans="1:17" ht="13.5" customHeight="1">
      <c r="A62" s="565"/>
      <c r="B62" s="565"/>
      <c r="C62" s="563" t="s">
        <v>1110</v>
      </c>
      <c r="D62" s="639"/>
      <c r="E62" s="681"/>
      <c r="F62" s="566"/>
      <c r="G62" s="566"/>
      <c r="H62" s="566"/>
      <c r="I62" s="566"/>
      <c r="J62" s="566"/>
      <c r="K62" s="648">
        <f>'[2]7'!J33</f>
        <v>20682</v>
      </c>
      <c r="L62" s="648"/>
      <c r="M62" s="648">
        <f>'[2]7'!K33</f>
        <v>0</v>
      </c>
      <c r="N62" s="648"/>
      <c r="O62" s="565"/>
      <c r="P62" s="645">
        <f>SUM(F62:O62)</f>
        <v>20682</v>
      </c>
      <c r="Q62" s="646"/>
    </row>
    <row r="63" spans="1:17" ht="13.5" customHeight="1">
      <c r="A63" s="565"/>
      <c r="B63" s="565"/>
      <c r="C63" s="563" t="s">
        <v>1874</v>
      </c>
      <c r="D63" s="639"/>
      <c r="E63" s="681"/>
      <c r="F63" s="566"/>
      <c r="G63" s="566"/>
      <c r="H63" s="566"/>
      <c r="I63" s="566"/>
      <c r="J63" s="566"/>
      <c r="K63" s="648"/>
      <c r="L63" s="648">
        <f>'[2]8'!J48</f>
        <v>-17000</v>
      </c>
      <c r="M63" s="648">
        <f>'[2]8'!K48</f>
        <v>17000</v>
      </c>
      <c r="N63" s="648"/>
      <c r="O63" s="565"/>
      <c r="P63" s="645">
        <f>SUM(F63:O63)</f>
        <v>0</v>
      </c>
      <c r="Q63" s="646"/>
    </row>
    <row r="64" spans="1:17" ht="13.5" customHeight="1">
      <c r="A64" s="657"/>
      <c r="B64" s="657"/>
      <c r="C64" s="682" t="s">
        <v>252</v>
      </c>
      <c r="D64" s="659"/>
      <c r="E64" s="660"/>
      <c r="F64" s="661">
        <f aca="true" t="shared" si="3" ref="F64:P64">SUM(F61:F63)</f>
        <v>5851</v>
      </c>
      <c r="G64" s="661">
        <f t="shared" si="3"/>
        <v>1597</v>
      </c>
      <c r="H64" s="661">
        <f t="shared" si="3"/>
        <v>10372</v>
      </c>
      <c r="I64" s="661">
        <f t="shared" si="3"/>
        <v>0</v>
      </c>
      <c r="J64" s="661">
        <f t="shared" si="3"/>
        <v>10000</v>
      </c>
      <c r="K64" s="661">
        <f t="shared" si="3"/>
        <v>20682</v>
      </c>
      <c r="L64" s="661">
        <f t="shared" si="3"/>
        <v>-17000</v>
      </c>
      <c r="M64" s="661">
        <f t="shared" si="3"/>
        <v>17000</v>
      </c>
      <c r="N64" s="661">
        <f t="shared" si="3"/>
        <v>0</v>
      </c>
      <c r="O64" s="661">
        <f t="shared" si="3"/>
        <v>0</v>
      </c>
      <c r="P64" s="661">
        <f t="shared" si="3"/>
        <v>48502</v>
      </c>
      <c r="Q64" s="662"/>
    </row>
    <row r="65" spans="1:17" ht="13.5" customHeight="1">
      <c r="A65" s="565">
        <v>1</v>
      </c>
      <c r="B65" s="565">
        <v>15</v>
      </c>
      <c r="C65" s="683" t="s">
        <v>1111</v>
      </c>
      <c r="D65" s="684"/>
      <c r="E65" s="665"/>
      <c r="F65" s="566"/>
      <c r="G65" s="566"/>
      <c r="H65" s="566"/>
      <c r="I65" s="566"/>
      <c r="J65" s="566"/>
      <c r="K65" s="685"/>
      <c r="L65" s="685"/>
      <c r="M65" s="685"/>
      <c r="N65" s="685"/>
      <c r="O65" s="566"/>
      <c r="P65" s="645"/>
      <c r="Q65" s="686"/>
    </row>
    <row r="66" spans="1:17" ht="13.5" customHeight="1">
      <c r="A66" s="565"/>
      <c r="B66" s="565"/>
      <c r="C66" s="677" t="s">
        <v>1564</v>
      </c>
      <c r="D66" s="687" t="s">
        <v>912</v>
      </c>
      <c r="E66" s="681"/>
      <c r="F66" s="566"/>
      <c r="G66" s="566"/>
      <c r="H66" s="566"/>
      <c r="I66" s="566"/>
      <c r="J66" s="566"/>
      <c r="K66" s="685"/>
      <c r="L66" s="685"/>
      <c r="M66" s="685"/>
      <c r="N66" s="685"/>
      <c r="O66" s="566"/>
      <c r="P66" s="645"/>
      <c r="Q66" s="686"/>
    </row>
    <row r="67" spans="1:17" ht="13.5" customHeight="1">
      <c r="A67" s="565"/>
      <c r="B67" s="565"/>
      <c r="C67" s="569" t="s">
        <v>1892</v>
      </c>
      <c r="D67" s="684"/>
      <c r="E67" s="665">
        <v>1</v>
      </c>
      <c r="F67" s="648"/>
      <c r="G67" s="648"/>
      <c r="H67" s="648">
        <v>119</v>
      </c>
      <c r="I67" s="648"/>
      <c r="J67" s="648"/>
      <c r="K67" s="648"/>
      <c r="L67" s="648"/>
      <c r="M67" s="648"/>
      <c r="N67" s="648"/>
      <c r="O67" s="648"/>
      <c r="P67" s="645">
        <f>SUM(F67:O67)</f>
        <v>119</v>
      </c>
      <c r="Q67" s="686" t="s">
        <v>809</v>
      </c>
    </row>
    <row r="68" spans="1:17" ht="13.5" customHeight="1">
      <c r="A68" s="565"/>
      <c r="B68" s="565"/>
      <c r="C68" s="1406" t="s">
        <v>1469</v>
      </c>
      <c r="D68" s="1427"/>
      <c r="E68" s="688"/>
      <c r="F68" s="648"/>
      <c r="G68" s="648"/>
      <c r="H68" s="648"/>
      <c r="I68" s="648"/>
      <c r="J68" s="648"/>
      <c r="K68" s="648"/>
      <c r="L68" s="648"/>
      <c r="M68" s="648"/>
      <c r="N68" s="648"/>
      <c r="O68" s="648"/>
      <c r="P68" s="645"/>
      <c r="Q68" s="686"/>
    </row>
    <row r="69" spans="1:17" ht="13.5" customHeight="1">
      <c r="A69" s="565"/>
      <c r="B69" s="565"/>
      <c r="C69" s="569" t="s">
        <v>1898</v>
      </c>
      <c r="D69" s="687"/>
      <c r="E69" s="681">
        <v>1</v>
      </c>
      <c r="F69" s="648"/>
      <c r="G69" s="648"/>
      <c r="H69" s="648">
        <v>-2650</v>
      </c>
      <c r="I69" s="648"/>
      <c r="J69" s="648"/>
      <c r="K69" s="648"/>
      <c r="L69" s="648"/>
      <c r="M69" s="648"/>
      <c r="N69" s="648"/>
      <c r="O69" s="648"/>
      <c r="P69" s="645">
        <f>SUM(F69:O69)</f>
        <v>-2650</v>
      </c>
      <c r="Q69" s="686" t="s">
        <v>624</v>
      </c>
    </row>
    <row r="70" spans="1:17" ht="13.5" customHeight="1">
      <c r="A70" s="565"/>
      <c r="B70" s="565"/>
      <c r="C70" s="1406" t="s">
        <v>338</v>
      </c>
      <c r="D70" s="1407"/>
      <c r="E70" s="688">
        <v>1</v>
      </c>
      <c r="F70" s="648"/>
      <c r="G70" s="648"/>
      <c r="H70" s="648">
        <v>950</v>
      </c>
      <c r="I70" s="648"/>
      <c r="J70" s="648"/>
      <c r="K70" s="648"/>
      <c r="L70" s="648"/>
      <c r="M70" s="648"/>
      <c r="N70" s="648"/>
      <c r="O70" s="648"/>
      <c r="P70" s="645">
        <f>SUM(F70:O70)</f>
        <v>950</v>
      </c>
      <c r="Q70" s="686" t="s">
        <v>606</v>
      </c>
    </row>
    <row r="71" spans="1:17" ht="13.5" customHeight="1">
      <c r="A71" s="565"/>
      <c r="B71" s="565"/>
      <c r="C71" s="1423" t="s">
        <v>1426</v>
      </c>
      <c r="D71" s="1424"/>
      <c r="E71" s="688"/>
      <c r="F71" s="648"/>
      <c r="G71" s="648"/>
      <c r="H71" s="648"/>
      <c r="I71" s="648"/>
      <c r="J71" s="648"/>
      <c r="K71" s="648"/>
      <c r="L71" s="648"/>
      <c r="M71" s="648"/>
      <c r="N71" s="648"/>
      <c r="O71" s="648"/>
      <c r="P71" s="645"/>
      <c r="Q71" s="686"/>
    </row>
    <row r="72" spans="1:17" ht="24.75" customHeight="1">
      <c r="A72" s="565"/>
      <c r="B72" s="565"/>
      <c r="C72" s="1437" t="s">
        <v>1115</v>
      </c>
      <c r="D72" s="1438"/>
      <c r="E72" s="665">
        <v>2</v>
      </c>
      <c r="F72" s="648">
        <v>655</v>
      </c>
      <c r="G72" s="648">
        <v>80</v>
      </c>
      <c r="H72" s="648"/>
      <c r="I72" s="648"/>
      <c r="J72" s="648"/>
      <c r="K72" s="648"/>
      <c r="L72" s="648"/>
      <c r="M72" s="648"/>
      <c r="N72" s="648"/>
      <c r="O72" s="648"/>
      <c r="P72" s="645">
        <f>SUM(F72:O72)</f>
        <v>735</v>
      </c>
      <c r="Q72" s="686" t="s">
        <v>606</v>
      </c>
    </row>
    <row r="73" spans="1:17" ht="24.75" customHeight="1">
      <c r="A73" s="565"/>
      <c r="B73" s="565"/>
      <c r="C73" s="1423" t="s">
        <v>1429</v>
      </c>
      <c r="D73" s="1439"/>
      <c r="E73" s="665"/>
      <c r="F73" s="648"/>
      <c r="G73" s="648"/>
      <c r="H73" s="648"/>
      <c r="I73" s="648"/>
      <c r="J73" s="648"/>
      <c r="K73" s="648"/>
      <c r="L73" s="648"/>
      <c r="M73" s="648"/>
      <c r="N73" s="648"/>
      <c r="O73" s="648"/>
      <c r="P73" s="645"/>
      <c r="Q73" s="686"/>
    </row>
    <row r="74" spans="1:17" ht="24.75" customHeight="1">
      <c r="A74" s="565"/>
      <c r="B74" s="565"/>
      <c r="C74" s="1432" t="s">
        <v>757</v>
      </c>
      <c r="D74" s="1433"/>
      <c r="E74" s="665">
        <v>1</v>
      </c>
      <c r="F74" s="648"/>
      <c r="G74" s="648"/>
      <c r="H74" s="648"/>
      <c r="I74" s="648"/>
      <c r="J74" s="648">
        <v>-2808</v>
      </c>
      <c r="K74" s="648"/>
      <c r="L74" s="648"/>
      <c r="M74" s="648"/>
      <c r="N74" s="648"/>
      <c r="O74" s="648"/>
      <c r="P74" s="645">
        <f>SUM(F74:O74)</f>
        <v>-2808</v>
      </c>
      <c r="Q74" s="686" t="s">
        <v>624</v>
      </c>
    </row>
    <row r="75" spans="1:17" ht="15" customHeight="1">
      <c r="A75" s="565"/>
      <c r="B75" s="565"/>
      <c r="C75" s="563" t="s">
        <v>1433</v>
      </c>
      <c r="D75" s="690"/>
      <c r="E75" s="681"/>
      <c r="F75" s="648"/>
      <c r="G75" s="648"/>
      <c r="H75" s="648"/>
      <c r="I75" s="648"/>
      <c r="J75" s="648"/>
      <c r="K75" s="648"/>
      <c r="L75" s="648"/>
      <c r="M75" s="648"/>
      <c r="N75" s="648"/>
      <c r="O75" s="648"/>
      <c r="P75" s="645"/>
      <c r="Q75" s="686"/>
    </row>
    <row r="76" spans="1:17" ht="15" customHeight="1">
      <c r="A76" s="565"/>
      <c r="B76" s="565"/>
      <c r="C76" s="1442" t="s">
        <v>1117</v>
      </c>
      <c r="D76" s="1443"/>
      <c r="E76" s="575">
        <v>2</v>
      </c>
      <c r="F76" s="648"/>
      <c r="G76" s="648"/>
      <c r="H76" s="648"/>
      <c r="I76" s="648"/>
      <c r="J76" s="648">
        <v>-250</v>
      </c>
      <c r="K76" s="648"/>
      <c r="L76" s="648"/>
      <c r="M76" s="648"/>
      <c r="N76" s="648"/>
      <c r="O76" s="648"/>
      <c r="P76" s="645">
        <f>SUM(F76:O76)</f>
        <v>-250</v>
      </c>
      <c r="Q76" s="686" t="s">
        <v>606</v>
      </c>
    </row>
    <row r="77" spans="1:17" ht="13.5" customHeight="1">
      <c r="A77" s="657"/>
      <c r="B77" s="657"/>
      <c r="C77" s="682" t="s">
        <v>1118</v>
      </c>
      <c r="D77" s="659"/>
      <c r="E77" s="660"/>
      <c r="F77" s="661">
        <f aca="true" t="shared" si="4" ref="F77:P77">SUM(F66:F76)</f>
        <v>655</v>
      </c>
      <c r="G77" s="661">
        <f t="shared" si="4"/>
        <v>80</v>
      </c>
      <c r="H77" s="661">
        <f t="shared" si="4"/>
        <v>-1581</v>
      </c>
      <c r="I77" s="661">
        <f t="shared" si="4"/>
        <v>0</v>
      </c>
      <c r="J77" s="661">
        <f t="shared" si="4"/>
        <v>-3058</v>
      </c>
      <c r="K77" s="661">
        <f t="shared" si="4"/>
        <v>0</v>
      </c>
      <c r="L77" s="661">
        <f t="shared" si="4"/>
        <v>0</v>
      </c>
      <c r="M77" s="661">
        <f t="shared" si="4"/>
        <v>0</v>
      </c>
      <c r="N77" s="661">
        <f t="shared" si="4"/>
        <v>0</v>
      </c>
      <c r="O77" s="661">
        <f t="shared" si="4"/>
        <v>0</v>
      </c>
      <c r="P77" s="661">
        <f t="shared" si="4"/>
        <v>-3904</v>
      </c>
      <c r="Q77" s="662"/>
    </row>
    <row r="78" spans="1:17" ht="13.5" customHeight="1">
      <c r="A78" s="565"/>
      <c r="B78" s="565"/>
      <c r="C78" s="563" t="s">
        <v>1119</v>
      </c>
      <c r="D78" s="684"/>
      <c r="E78" s="665"/>
      <c r="F78" s="566"/>
      <c r="G78" s="566"/>
      <c r="H78" s="566"/>
      <c r="I78" s="566"/>
      <c r="J78" s="566"/>
      <c r="K78" s="648">
        <f>'[2]7'!J123</f>
        <v>6757</v>
      </c>
      <c r="L78" s="648"/>
      <c r="M78" s="648">
        <f>'[2]7'!K123</f>
        <v>-33986</v>
      </c>
      <c r="N78" s="648"/>
      <c r="O78" s="566"/>
      <c r="P78" s="645">
        <f>SUM(F78:O78)</f>
        <v>-27229</v>
      </c>
      <c r="Q78" s="686"/>
    </row>
    <row r="79" spans="1:17" ht="13.5" customHeight="1">
      <c r="A79" s="565"/>
      <c r="B79" s="565"/>
      <c r="C79" s="563" t="s">
        <v>1883</v>
      </c>
      <c r="D79" s="684"/>
      <c r="E79" s="665"/>
      <c r="F79" s="566"/>
      <c r="G79" s="566"/>
      <c r="H79" s="566"/>
      <c r="I79" s="566"/>
      <c r="J79" s="566"/>
      <c r="K79" s="648"/>
      <c r="L79" s="648">
        <f>'[2]8'!J159</f>
        <v>-2219</v>
      </c>
      <c r="M79" s="648">
        <f>'[2]8'!K159</f>
        <v>0</v>
      </c>
      <c r="N79" s="648"/>
      <c r="O79" s="566"/>
      <c r="P79" s="645">
        <f>SUM(F79:O79)</f>
        <v>-2219</v>
      </c>
      <c r="Q79" s="686"/>
    </row>
    <row r="80" spans="1:17" ht="13.5" customHeight="1">
      <c r="A80" s="635"/>
      <c r="B80" s="635"/>
      <c r="C80" s="682" t="s">
        <v>982</v>
      </c>
      <c r="D80" s="680"/>
      <c r="E80" s="678"/>
      <c r="F80" s="661">
        <f aca="true" t="shared" si="5" ref="F80:P80">SUM(F77:F79)</f>
        <v>655</v>
      </c>
      <c r="G80" s="661">
        <f t="shared" si="5"/>
        <v>80</v>
      </c>
      <c r="H80" s="661">
        <f t="shared" si="5"/>
        <v>-1581</v>
      </c>
      <c r="I80" s="661">
        <f t="shared" si="5"/>
        <v>0</v>
      </c>
      <c r="J80" s="661">
        <f t="shared" si="5"/>
        <v>-3058</v>
      </c>
      <c r="K80" s="661">
        <f t="shared" si="5"/>
        <v>6757</v>
      </c>
      <c r="L80" s="661">
        <f t="shared" si="5"/>
        <v>-2219</v>
      </c>
      <c r="M80" s="661">
        <f t="shared" si="5"/>
        <v>-33986</v>
      </c>
      <c r="N80" s="661">
        <f t="shared" si="5"/>
        <v>0</v>
      </c>
      <c r="O80" s="661">
        <f t="shared" si="5"/>
        <v>0</v>
      </c>
      <c r="P80" s="661">
        <f t="shared" si="5"/>
        <v>-33352</v>
      </c>
      <c r="Q80" s="691"/>
    </row>
    <row r="81" spans="1:17" ht="13.5" customHeight="1">
      <c r="A81" s="565">
        <v>1</v>
      </c>
      <c r="B81" s="565">
        <v>16</v>
      </c>
      <c r="C81" s="683" t="s">
        <v>1493</v>
      </c>
      <c r="D81" s="692"/>
      <c r="E81" s="693"/>
      <c r="F81" s="566"/>
      <c r="G81" s="566"/>
      <c r="H81" s="566"/>
      <c r="I81" s="566"/>
      <c r="J81" s="566"/>
      <c r="K81" s="685"/>
      <c r="L81" s="685"/>
      <c r="M81" s="685"/>
      <c r="N81" s="685"/>
      <c r="O81" s="566"/>
      <c r="P81" s="645"/>
      <c r="Q81" s="694"/>
    </row>
    <row r="82" spans="1:17" ht="13.5" customHeight="1">
      <c r="A82" s="565"/>
      <c r="B82" s="565"/>
      <c r="C82" s="1440" t="s">
        <v>810</v>
      </c>
      <c r="D82" s="1441"/>
      <c r="E82" s="693"/>
      <c r="F82" s="566"/>
      <c r="G82" s="566"/>
      <c r="H82" s="566"/>
      <c r="I82" s="566"/>
      <c r="J82" s="566"/>
      <c r="K82" s="685"/>
      <c r="L82" s="685"/>
      <c r="M82" s="685"/>
      <c r="N82" s="685"/>
      <c r="O82" s="566"/>
      <c r="P82" s="645"/>
      <c r="Q82" s="694"/>
    </row>
    <row r="83" spans="1:17" ht="36" customHeight="1">
      <c r="A83" s="565"/>
      <c r="B83" s="565"/>
      <c r="C83" s="1418" t="s">
        <v>1298</v>
      </c>
      <c r="D83" s="1409"/>
      <c r="E83" s="695">
        <v>2</v>
      </c>
      <c r="F83" s="566"/>
      <c r="G83" s="566"/>
      <c r="H83" s="648">
        <v>13208</v>
      </c>
      <c r="I83" s="648"/>
      <c r="J83" s="648">
        <v>13208</v>
      </c>
      <c r="K83" s="648"/>
      <c r="L83" s="648"/>
      <c r="M83" s="648"/>
      <c r="N83" s="648"/>
      <c r="O83" s="648"/>
      <c r="P83" s="696">
        <f>SUM(H83:O83)</f>
        <v>26416</v>
      </c>
      <c r="Q83" s="697" t="s">
        <v>606</v>
      </c>
    </row>
    <row r="84" spans="1:17" ht="13.5" customHeight="1">
      <c r="A84" s="657"/>
      <c r="B84" s="657"/>
      <c r="C84" s="682" t="s">
        <v>1120</v>
      </c>
      <c r="D84" s="680"/>
      <c r="E84" s="678"/>
      <c r="F84" s="661"/>
      <c r="G84" s="661"/>
      <c r="H84" s="661">
        <f>SUM(H83)</f>
        <v>13208</v>
      </c>
      <c r="I84" s="661"/>
      <c r="J84" s="661">
        <f>SUM(J83)</f>
        <v>13208</v>
      </c>
      <c r="K84" s="661"/>
      <c r="L84" s="661"/>
      <c r="M84" s="661"/>
      <c r="N84" s="661"/>
      <c r="O84" s="661"/>
      <c r="P84" s="661">
        <f>SUM(P83)</f>
        <v>26416</v>
      </c>
      <c r="Q84" s="691"/>
    </row>
    <row r="85" spans="1:17" ht="13.5" customHeight="1">
      <c r="A85" s="566"/>
      <c r="B85" s="566"/>
      <c r="C85" s="563" t="s">
        <v>1121</v>
      </c>
      <c r="D85" s="692"/>
      <c r="E85" s="693"/>
      <c r="F85" s="566"/>
      <c r="G85" s="566"/>
      <c r="H85" s="566"/>
      <c r="I85" s="566"/>
      <c r="J85" s="566"/>
      <c r="K85" s="648">
        <f>'[2]7'!J234</f>
        <v>-42384</v>
      </c>
      <c r="L85" s="648"/>
      <c r="M85" s="648">
        <f>'[2]7'!K234</f>
        <v>0</v>
      </c>
      <c r="N85" s="648"/>
      <c r="O85" s="566"/>
      <c r="P85" s="645">
        <f>SUM(F85:O85)</f>
        <v>-42384</v>
      </c>
      <c r="Q85" s="694"/>
    </row>
    <row r="86" spans="1:17" ht="13.5" customHeight="1">
      <c r="A86" s="566"/>
      <c r="B86" s="566"/>
      <c r="C86" s="563" t="s">
        <v>1874</v>
      </c>
      <c r="D86" s="692"/>
      <c r="E86" s="693"/>
      <c r="F86" s="566"/>
      <c r="G86" s="566"/>
      <c r="H86" s="566"/>
      <c r="I86" s="566"/>
      <c r="J86" s="566"/>
      <c r="K86" s="648"/>
      <c r="L86" s="648">
        <f>'[2]8'!J179</f>
        <v>0</v>
      </c>
      <c r="M86" s="648">
        <f>'[2]8'!K179</f>
        <v>0</v>
      </c>
      <c r="N86" s="648"/>
      <c r="O86" s="566"/>
      <c r="P86" s="645">
        <f>SUM(F86:O86)</f>
        <v>0</v>
      </c>
      <c r="Q86" s="694"/>
    </row>
    <row r="87" spans="1:17" ht="13.5" customHeight="1">
      <c r="A87" s="635"/>
      <c r="B87" s="635"/>
      <c r="C87" s="682" t="s">
        <v>986</v>
      </c>
      <c r="D87" s="680"/>
      <c r="E87" s="678"/>
      <c r="F87" s="661">
        <f aca="true" t="shared" si="6" ref="F87:M87">SUM(F84:F86)</f>
        <v>0</v>
      </c>
      <c r="G87" s="661">
        <f t="shared" si="6"/>
        <v>0</v>
      </c>
      <c r="H87" s="661">
        <f t="shared" si="6"/>
        <v>13208</v>
      </c>
      <c r="I87" s="661">
        <f t="shared" si="6"/>
        <v>0</v>
      </c>
      <c r="J87" s="661">
        <f t="shared" si="6"/>
        <v>13208</v>
      </c>
      <c r="K87" s="661">
        <f t="shared" si="6"/>
        <v>-42384</v>
      </c>
      <c r="L87" s="661">
        <f t="shared" si="6"/>
        <v>0</v>
      </c>
      <c r="M87" s="661">
        <f t="shared" si="6"/>
        <v>0</v>
      </c>
      <c r="N87" s="661"/>
      <c r="O87" s="661">
        <f>SUM(O84:O86)</f>
        <v>0</v>
      </c>
      <c r="P87" s="661">
        <f>SUM(P84:P86)</f>
        <v>-15968</v>
      </c>
      <c r="Q87" s="691"/>
    </row>
    <row r="88" spans="1:17" ht="13.5" customHeight="1">
      <c r="A88" s="565">
        <v>1</v>
      </c>
      <c r="B88" s="565">
        <v>17</v>
      </c>
      <c r="C88" s="683" t="s">
        <v>52</v>
      </c>
      <c r="D88" s="692"/>
      <c r="E88" s="693"/>
      <c r="F88" s="566"/>
      <c r="G88" s="566"/>
      <c r="H88" s="566"/>
      <c r="I88" s="566"/>
      <c r="J88" s="566"/>
      <c r="K88" s="685"/>
      <c r="L88" s="685"/>
      <c r="M88" s="685"/>
      <c r="N88" s="685"/>
      <c r="O88" s="566"/>
      <c r="P88" s="645"/>
      <c r="Q88" s="694"/>
    </row>
    <row r="89" spans="1:17" ht="15" customHeight="1">
      <c r="A89" s="565"/>
      <c r="B89" s="565"/>
      <c r="C89" s="1444" t="s">
        <v>1472</v>
      </c>
      <c r="D89" s="1445"/>
      <c r="E89" s="698"/>
      <c r="F89" s="566"/>
      <c r="G89" s="566"/>
      <c r="H89" s="566"/>
      <c r="I89" s="566"/>
      <c r="J89" s="566"/>
      <c r="K89" s="685"/>
      <c r="L89" s="685"/>
      <c r="M89" s="685"/>
      <c r="N89" s="685"/>
      <c r="O89" s="566"/>
      <c r="P89" s="645"/>
      <c r="Q89" s="694"/>
    </row>
    <row r="90" spans="1:17" ht="15" customHeight="1">
      <c r="A90" s="565"/>
      <c r="B90" s="565"/>
      <c r="C90" s="1416" t="s">
        <v>811</v>
      </c>
      <c r="D90" s="1417"/>
      <c r="E90" s="665">
        <v>1</v>
      </c>
      <c r="F90" s="566"/>
      <c r="G90" s="566"/>
      <c r="H90" s="648">
        <v>2500</v>
      </c>
      <c r="I90" s="566"/>
      <c r="J90" s="648"/>
      <c r="K90" s="685"/>
      <c r="L90" s="685"/>
      <c r="M90" s="685"/>
      <c r="N90" s="685"/>
      <c r="O90" s="566"/>
      <c r="P90" s="645">
        <f>SUM(F90:O90)</f>
        <v>2500</v>
      </c>
      <c r="Q90" s="686" t="s">
        <v>606</v>
      </c>
    </row>
    <row r="91" spans="1:17" ht="24.75" customHeight="1">
      <c r="A91" s="565"/>
      <c r="B91" s="565"/>
      <c r="C91" s="1404" t="s">
        <v>1442</v>
      </c>
      <c r="D91" s="1405"/>
      <c r="E91" s="665"/>
      <c r="F91" s="566"/>
      <c r="G91" s="566"/>
      <c r="H91" s="648"/>
      <c r="I91" s="566"/>
      <c r="J91" s="648"/>
      <c r="K91" s="685"/>
      <c r="L91" s="685"/>
      <c r="M91" s="685"/>
      <c r="N91" s="685"/>
      <c r="O91" s="566"/>
      <c r="P91" s="645"/>
      <c r="Q91" s="686"/>
    </row>
    <row r="92" spans="1:17" ht="15" customHeight="1">
      <c r="A92" s="565"/>
      <c r="B92" s="565"/>
      <c r="C92" s="1465" t="s">
        <v>812</v>
      </c>
      <c r="D92" s="1466"/>
      <c r="E92" s="665">
        <v>1</v>
      </c>
      <c r="F92" s="566"/>
      <c r="G92" s="566"/>
      <c r="H92" s="648"/>
      <c r="I92" s="566"/>
      <c r="J92" s="648"/>
      <c r="K92" s="685"/>
      <c r="L92" s="685"/>
      <c r="M92" s="685"/>
      <c r="N92" s="685"/>
      <c r="O92" s="648">
        <v>61342</v>
      </c>
      <c r="P92" s="645">
        <f>SUM(F92:O92)</f>
        <v>61342</v>
      </c>
      <c r="Q92" s="686" t="s">
        <v>606</v>
      </c>
    </row>
    <row r="93" spans="1:17" ht="13.5" customHeight="1">
      <c r="A93" s="657"/>
      <c r="B93" s="657"/>
      <c r="C93" s="682" t="s">
        <v>1125</v>
      </c>
      <c r="D93" s="680"/>
      <c r="E93" s="678"/>
      <c r="F93" s="661">
        <f aca="true" t="shared" si="7" ref="F93:P93">SUM(F90+F92)</f>
        <v>0</v>
      </c>
      <c r="G93" s="661">
        <f t="shared" si="7"/>
        <v>0</v>
      </c>
      <c r="H93" s="661">
        <f t="shared" si="7"/>
        <v>2500</v>
      </c>
      <c r="I93" s="661">
        <f t="shared" si="7"/>
        <v>0</v>
      </c>
      <c r="J93" s="661">
        <f t="shared" si="7"/>
        <v>0</v>
      </c>
      <c r="K93" s="661">
        <f t="shared" si="7"/>
        <v>0</v>
      </c>
      <c r="L93" s="661">
        <f t="shared" si="7"/>
        <v>0</v>
      </c>
      <c r="M93" s="661">
        <f t="shared" si="7"/>
        <v>0</v>
      </c>
      <c r="N93" s="661">
        <f t="shared" si="7"/>
        <v>0</v>
      </c>
      <c r="O93" s="661">
        <f t="shared" si="7"/>
        <v>61342</v>
      </c>
      <c r="P93" s="661">
        <f t="shared" si="7"/>
        <v>63842</v>
      </c>
      <c r="Q93" s="691"/>
    </row>
    <row r="94" spans="1:17" ht="13.5" customHeight="1">
      <c r="A94" s="565"/>
      <c r="B94" s="565"/>
      <c r="C94" s="563" t="s">
        <v>1110</v>
      </c>
      <c r="D94" s="692"/>
      <c r="E94" s="693"/>
      <c r="F94" s="566"/>
      <c r="G94" s="566"/>
      <c r="H94" s="566"/>
      <c r="I94" s="566"/>
      <c r="J94" s="566"/>
      <c r="K94" s="685">
        <f>'[2]7'!J245</f>
        <v>2500</v>
      </c>
      <c r="L94" s="648"/>
      <c r="M94" s="648">
        <f>'[2]7'!K245</f>
        <v>0</v>
      </c>
      <c r="N94" s="648"/>
      <c r="O94" s="566"/>
      <c r="P94" s="645">
        <f>SUM(F94:O94)</f>
        <v>2500</v>
      </c>
      <c r="Q94" s="694"/>
    </row>
    <row r="95" spans="1:17" ht="13.5" customHeight="1">
      <c r="A95" s="565"/>
      <c r="B95" s="565"/>
      <c r="C95" s="563" t="s">
        <v>1883</v>
      </c>
      <c r="D95" s="692"/>
      <c r="E95" s="693"/>
      <c r="F95" s="566"/>
      <c r="G95" s="566"/>
      <c r="H95" s="566"/>
      <c r="I95" s="566"/>
      <c r="J95" s="566"/>
      <c r="K95" s="685"/>
      <c r="L95" s="648">
        <f>'[2]8'!J185</f>
        <v>0</v>
      </c>
      <c r="M95" s="648">
        <f>'[2]8'!K185</f>
        <v>0</v>
      </c>
      <c r="N95" s="648"/>
      <c r="O95" s="566"/>
      <c r="P95" s="645">
        <f>SUM(F95:O95)</f>
        <v>0</v>
      </c>
      <c r="Q95" s="694"/>
    </row>
    <row r="96" spans="1:17" ht="13.5" customHeight="1">
      <c r="A96" s="657"/>
      <c r="B96" s="657"/>
      <c r="C96" s="682" t="s">
        <v>1672</v>
      </c>
      <c r="D96" s="680"/>
      <c r="E96" s="678"/>
      <c r="F96" s="661">
        <f aca="true" t="shared" si="8" ref="F96:P96">SUM(F93:F95)</f>
        <v>0</v>
      </c>
      <c r="G96" s="661">
        <f t="shared" si="8"/>
        <v>0</v>
      </c>
      <c r="H96" s="661">
        <f t="shared" si="8"/>
        <v>2500</v>
      </c>
      <c r="I96" s="661">
        <f t="shared" si="8"/>
        <v>0</v>
      </c>
      <c r="J96" s="661">
        <f t="shared" si="8"/>
        <v>0</v>
      </c>
      <c r="K96" s="661">
        <f t="shared" si="8"/>
        <v>2500</v>
      </c>
      <c r="L96" s="661">
        <f t="shared" si="8"/>
        <v>0</v>
      </c>
      <c r="M96" s="661">
        <f t="shared" si="8"/>
        <v>0</v>
      </c>
      <c r="N96" s="661">
        <f t="shared" si="8"/>
        <v>0</v>
      </c>
      <c r="O96" s="661">
        <f t="shared" si="8"/>
        <v>61342</v>
      </c>
      <c r="P96" s="661">
        <f t="shared" si="8"/>
        <v>66342</v>
      </c>
      <c r="Q96" s="691"/>
    </row>
    <row r="97" spans="1:17" ht="13.5" customHeight="1">
      <c r="A97" s="565">
        <v>1</v>
      </c>
      <c r="B97" s="565">
        <v>18</v>
      </c>
      <c r="C97" s="683" t="s">
        <v>357</v>
      </c>
      <c r="D97" s="692"/>
      <c r="E97" s="693"/>
      <c r="F97" s="566"/>
      <c r="G97" s="566"/>
      <c r="H97" s="566"/>
      <c r="I97" s="566"/>
      <c r="J97" s="566"/>
      <c r="K97" s="685"/>
      <c r="L97" s="685"/>
      <c r="M97" s="685"/>
      <c r="N97" s="685"/>
      <c r="O97" s="566"/>
      <c r="P97" s="645"/>
      <c r="Q97" s="694"/>
    </row>
    <row r="98" spans="1:17" ht="13.5" customHeight="1">
      <c r="A98" s="565"/>
      <c r="B98" s="565"/>
      <c r="C98" s="1430" t="s">
        <v>1553</v>
      </c>
      <c r="D98" s="1464"/>
      <c r="E98" s="693"/>
      <c r="F98" s="566"/>
      <c r="G98" s="566"/>
      <c r="H98" s="566"/>
      <c r="I98" s="566"/>
      <c r="J98" s="566"/>
      <c r="K98" s="685"/>
      <c r="L98" s="685"/>
      <c r="M98" s="685"/>
      <c r="N98" s="685"/>
      <c r="O98" s="566"/>
      <c r="P98" s="645"/>
      <c r="Q98" s="694"/>
    </row>
    <row r="99" spans="1:17" ht="24.75" customHeight="1">
      <c r="A99" s="565"/>
      <c r="B99" s="565"/>
      <c r="C99" s="1432" t="s">
        <v>100</v>
      </c>
      <c r="D99" s="1433"/>
      <c r="E99" s="575"/>
      <c r="F99" s="566"/>
      <c r="G99" s="566"/>
      <c r="H99" s="648">
        <v>6000</v>
      </c>
      <c r="I99" s="566"/>
      <c r="J99" s="566"/>
      <c r="K99" s="685"/>
      <c r="L99" s="685"/>
      <c r="M99" s="685"/>
      <c r="N99" s="685"/>
      <c r="O99" s="566"/>
      <c r="P99" s="645">
        <f>SUM(H99:O99)</f>
        <v>6000</v>
      </c>
      <c r="Q99" s="697" t="s">
        <v>606</v>
      </c>
    </row>
    <row r="100" spans="1:17" ht="13.5" customHeight="1">
      <c r="A100" s="657"/>
      <c r="B100" s="657"/>
      <c r="C100" s="682" t="s">
        <v>1128</v>
      </c>
      <c r="D100" s="680"/>
      <c r="E100" s="678"/>
      <c r="F100" s="661">
        <f aca="true" t="shared" si="9" ref="F100:P100">SUM(F99:F99)</f>
        <v>0</v>
      </c>
      <c r="G100" s="661">
        <f t="shared" si="9"/>
        <v>0</v>
      </c>
      <c r="H100" s="661">
        <f t="shared" si="9"/>
        <v>6000</v>
      </c>
      <c r="I100" s="661">
        <f t="shared" si="9"/>
        <v>0</v>
      </c>
      <c r="J100" s="661">
        <f t="shared" si="9"/>
        <v>0</v>
      </c>
      <c r="K100" s="661">
        <f t="shared" si="9"/>
        <v>0</v>
      </c>
      <c r="L100" s="661">
        <f t="shared" si="9"/>
        <v>0</v>
      </c>
      <c r="M100" s="661">
        <f t="shared" si="9"/>
        <v>0</v>
      </c>
      <c r="N100" s="661">
        <f t="shared" si="9"/>
        <v>0</v>
      </c>
      <c r="O100" s="661">
        <f t="shared" si="9"/>
        <v>0</v>
      </c>
      <c r="P100" s="661">
        <f t="shared" si="9"/>
        <v>6000</v>
      </c>
      <c r="Q100" s="691"/>
    </row>
    <row r="101" spans="1:17" ht="13.5" customHeight="1">
      <c r="A101" s="565"/>
      <c r="B101" s="565"/>
      <c r="C101" s="563" t="s">
        <v>1110</v>
      </c>
      <c r="D101" s="692"/>
      <c r="E101" s="693"/>
      <c r="F101" s="566"/>
      <c r="G101" s="566"/>
      <c r="H101" s="566"/>
      <c r="I101" s="566"/>
      <c r="J101" s="566"/>
      <c r="K101" s="685">
        <f>'[2]7'!J248</f>
        <v>0</v>
      </c>
      <c r="L101" s="685"/>
      <c r="M101" s="685">
        <f>'[2]7'!K248</f>
        <v>0</v>
      </c>
      <c r="N101" s="685"/>
      <c r="O101" s="566"/>
      <c r="P101" s="645">
        <f>SUM(F101:O101)</f>
        <v>0</v>
      </c>
      <c r="Q101" s="694"/>
    </row>
    <row r="102" spans="1:17" ht="13.5" customHeight="1">
      <c r="A102" s="657"/>
      <c r="B102" s="657"/>
      <c r="C102" s="682" t="s">
        <v>935</v>
      </c>
      <c r="D102" s="680"/>
      <c r="E102" s="678"/>
      <c r="F102" s="661">
        <f aca="true" t="shared" si="10" ref="F102:P102">SUM(F100:F101)</f>
        <v>0</v>
      </c>
      <c r="G102" s="661">
        <f t="shared" si="10"/>
        <v>0</v>
      </c>
      <c r="H102" s="661">
        <f t="shared" si="10"/>
        <v>6000</v>
      </c>
      <c r="I102" s="661">
        <f t="shared" si="10"/>
        <v>0</v>
      </c>
      <c r="J102" s="661">
        <f t="shared" si="10"/>
        <v>0</v>
      </c>
      <c r="K102" s="661">
        <f t="shared" si="10"/>
        <v>0</v>
      </c>
      <c r="L102" s="661">
        <f t="shared" si="10"/>
        <v>0</v>
      </c>
      <c r="M102" s="661">
        <f t="shared" si="10"/>
        <v>0</v>
      </c>
      <c r="N102" s="661">
        <f t="shared" si="10"/>
        <v>0</v>
      </c>
      <c r="O102" s="661">
        <f t="shared" si="10"/>
        <v>0</v>
      </c>
      <c r="P102" s="661">
        <f t="shared" si="10"/>
        <v>6000</v>
      </c>
      <c r="Q102" s="691"/>
    </row>
    <row r="103" spans="1:17" ht="13.5" customHeight="1">
      <c r="A103" s="681">
        <v>1</v>
      </c>
      <c r="B103" s="681">
        <v>19</v>
      </c>
      <c r="C103" s="699" t="s">
        <v>893</v>
      </c>
      <c r="D103" s="687"/>
      <c r="E103" s="681"/>
      <c r="F103" s="566"/>
      <c r="G103" s="566"/>
      <c r="H103" s="566"/>
      <c r="I103" s="566"/>
      <c r="J103" s="566"/>
      <c r="K103" s="566"/>
      <c r="L103" s="566"/>
      <c r="M103" s="566"/>
      <c r="N103" s="566"/>
      <c r="O103" s="566"/>
      <c r="P103" s="645"/>
      <c r="Q103" s="646"/>
    </row>
    <row r="104" spans="1:17" ht="13.5" customHeight="1">
      <c r="A104" s="681"/>
      <c r="B104" s="681"/>
      <c r="C104" s="1423" t="s">
        <v>1435</v>
      </c>
      <c r="D104" s="1424"/>
      <c r="E104" s="688"/>
      <c r="F104" s="648"/>
      <c r="G104" s="648"/>
      <c r="H104" s="648"/>
      <c r="I104" s="648"/>
      <c r="J104" s="648"/>
      <c r="K104" s="648"/>
      <c r="L104" s="648"/>
      <c r="M104" s="648"/>
      <c r="N104" s="648"/>
      <c r="O104" s="648"/>
      <c r="P104" s="645"/>
      <c r="Q104" s="646"/>
    </row>
    <row r="105" spans="1:17" ht="13.5" customHeight="1">
      <c r="A105" s="681"/>
      <c r="B105" s="681"/>
      <c r="C105" s="1406" t="s">
        <v>1535</v>
      </c>
      <c r="D105" s="1407"/>
      <c r="E105" s="688">
        <v>1</v>
      </c>
      <c r="F105" s="648"/>
      <c r="G105" s="648"/>
      <c r="H105" s="648">
        <v>105</v>
      </c>
      <c r="I105" s="648"/>
      <c r="J105" s="648">
        <v>-105</v>
      </c>
      <c r="K105" s="648"/>
      <c r="L105" s="648"/>
      <c r="M105" s="648"/>
      <c r="N105" s="648"/>
      <c r="O105" s="648"/>
      <c r="P105" s="645">
        <f>SUM(F105:O105)</f>
        <v>0</v>
      </c>
      <c r="Q105" s="646" t="s">
        <v>606</v>
      </c>
    </row>
    <row r="106" spans="1:17" ht="24.75" customHeight="1">
      <c r="A106" s="681"/>
      <c r="B106" s="681"/>
      <c r="C106" s="1412" t="s">
        <v>1553</v>
      </c>
      <c r="D106" s="1413"/>
      <c r="E106" s="700"/>
      <c r="F106" s="648"/>
      <c r="G106" s="648"/>
      <c r="H106" s="648"/>
      <c r="I106" s="648"/>
      <c r="J106" s="648"/>
      <c r="K106" s="648"/>
      <c r="L106" s="648"/>
      <c r="M106" s="648"/>
      <c r="N106" s="648"/>
      <c r="O106" s="648"/>
      <c r="P106" s="645"/>
      <c r="Q106" s="646"/>
    </row>
    <row r="107" spans="1:17" ht="13.5" customHeight="1">
      <c r="A107" s="681"/>
      <c r="B107" s="681"/>
      <c r="C107" s="569" t="s">
        <v>938</v>
      </c>
      <c r="D107" s="689"/>
      <c r="E107" s="688">
        <v>1</v>
      </c>
      <c r="F107" s="648"/>
      <c r="G107" s="648"/>
      <c r="H107" s="648">
        <v>-38408</v>
      </c>
      <c r="I107" s="648"/>
      <c r="J107" s="648"/>
      <c r="K107" s="648"/>
      <c r="L107" s="648"/>
      <c r="M107" s="648"/>
      <c r="N107" s="648"/>
      <c r="O107" s="648"/>
      <c r="P107" s="645">
        <f>SUM(F107:O107)</f>
        <v>-38408</v>
      </c>
      <c r="Q107" s="646" t="s">
        <v>606</v>
      </c>
    </row>
    <row r="108" spans="1:17" ht="24.75" customHeight="1">
      <c r="A108" s="681"/>
      <c r="B108" s="681"/>
      <c r="C108" s="1414" t="s">
        <v>1129</v>
      </c>
      <c r="D108" s="1415"/>
      <c r="E108" s="681">
        <v>1</v>
      </c>
      <c r="F108" s="648"/>
      <c r="G108" s="648"/>
      <c r="H108" s="648"/>
      <c r="I108" s="648"/>
      <c r="J108" s="648">
        <v>4704</v>
      </c>
      <c r="K108" s="648"/>
      <c r="L108" s="648"/>
      <c r="M108" s="648"/>
      <c r="N108" s="648"/>
      <c r="O108" s="648"/>
      <c r="P108" s="645">
        <f>SUM(F108:O108)</f>
        <v>4704</v>
      </c>
      <c r="Q108" s="646" t="s">
        <v>606</v>
      </c>
    </row>
    <row r="109" spans="1:17" ht="24.75" customHeight="1">
      <c r="A109" s="681"/>
      <c r="B109" s="681"/>
      <c r="C109" s="1428" t="s">
        <v>829</v>
      </c>
      <c r="D109" s="1429"/>
      <c r="E109" s="688">
        <v>1</v>
      </c>
      <c r="F109" s="648"/>
      <c r="G109" s="648"/>
      <c r="H109" s="648"/>
      <c r="I109" s="648"/>
      <c r="J109" s="648">
        <v>8298</v>
      </c>
      <c r="K109" s="648"/>
      <c r="L109" s="648"/>
      <c r="M109" s="648"/>
      <c r="N109" s="648"/>
      <c r="O109" s="648"/>
      <c r="P109" s="645">
        <f>SUM(F109:O109)</f>
        <v>8298</v>
      </c>
      <c r="Q109" s="646" t="s">
        <v>606</v>
      </c>
    </row>
    <row r="110" spans="1:17" ht="24.75" customHeight="1">
      <c r="A110" s="681"/>
      <c r="B110" s="681"/>
      <c r="C110" s="1404" t="s">
        <v>1442</v>
      </c>
      <c r="D110" s="1405"/>
      <c r="E110" s="701"/>
      <c r="F110" s="648"/>
      <c r="G110" s="648"/>
      <c r="H110" s="648"/>
      <c r="I110" s="648"/>
      <c r="J110" s="648"/>
      <c r="K110" s="648"/>
      <c r="L110" s="648"/>
      <c r="M110" s="648"/>
      <c r="N110" s="648"/>
      <c r="O110" s="648"/>
      <c r="P110" s="645"/>
      <c r="Q110" s="646"/>
    </row>
    <row r="111" spans="1:17" ht="15" customHeight="1">
      <c r="A111" s="681"/>
      <c r="B111" s="681"/>
      <c r="C111" s="1432" t="s">
        <v>813</v>
      </c>
      <c r="D111" s="1433"/>
      <c r="E111" s="701">
        <v>1</v>
      </c>
      <c r="F111" s="648"/>
      <c r="G111" s="648"/>
      <c r="H111" s="648"/>
      <c r="I111" s="648"/>
      <c r="J111" s="648"/>
      <c r="K111" s="648"/>
      <c r="L111" s="648"/>
      <c r="M111" s="648"/>
      <c r="N111" s="648"/>
      <c r="O111" s="648">
        <v>-5572</v>
      </c>
      <c r="P111" s="645">
        <v>-5572</v>
      </c>
      <c r="Q111" s="646" t="s">
        <v>606</v>
      </c>
    </row>
    <row r="112" spans="1:17" ht="15" customHeight="1">
      <c r="A112" s="681"/>
      <c r="B112" s="681"/>
      <c r="C112" s="1428" t="s">
        <v>1134</v>
      </c>
      <c r="D112" s="1429"/>
      <c r="E112" s="701">
        <v>1</v>
      </c>
      <c r="F112" s="648"/>
      <c r="G112" s="648"/>
      <c r="H112" s="648">
        <v>84913</v>
      </c>
      <c r="I112" s="648"/>
      <c r="J112" s="648"/>
      <c r="K112" s="648"/>
      <c r="L112" s="648"/>
      <c r="M112" s="648"/>
      <c r="N112" s="648"/>
      <c r="O112" s="648">
        <v>-22400</v>
      </c>
      <c r="P112" s="645">
        <f>SUM(H112:O112)</f>
        <v>62513</v>
      </c>
      <c r="Q112" s="646" t="s">
        <v>606</v>
      </c>
    </row>
    <row r="113" spans="1:17" ht="15" customHeight="1">
      <c r="A113" s="681"/>
      <c r="B113" s="681"/>
      <c r="C113" s="1428" t="s">
        <v>812</v>
      </c>
      <c r="D113" s="1436"/>
      <c r="E113" s="701">
        <v>1</v>
      </c>
      <c r="F113" s="648"/>
      <c r="G113" s="648"/>
      <c r="H113" s="648"/>
      <c r="I113" s="648"/>
      <c r="J113" s="648"/>
      <c r="K113" s="648"/>
      <c r="L113" s="648"/>
      <c r="M113" s="648"/>
      <c r="N113" s="648"/>
      <c r="O113" s="648">
        <v>161359</v>
      </c>
      <c r="P113" s="645">
        <f>SUM(H113:O113)</f>
        <v>161359</v>
      </c>
      <c r="Q113" s="646" t="s">
        <v>606</v>
      </c>
    </row>
    <row r="114" spans="1:17" ht="13.5" customHeight="1">
      <c r="A114" s="660"/>
      <c r="B114" s="660"/>
      <c r="C114" s="682" t="s">
        <v>1135</v>
      </c>
      <c r="D114" s="659"/>
      <c r="E114" s="660"/>
      <c r="F114" s="661">
        <f aca="true" t="shared" si="11" ref="F114:P114">SUM(F104:F113)</f>
        <v>0</v>
      </c>
      <c r="G114" s="661">
        <f t="shared" si="11"/>
        <v>0</v>
      </c>
      <c r="H114" s="661">
        <f t="shared" si="11"/>
        <v>46610</v>
      </c>
      <c r="I114" s="661">
        <f t="shared" si="11"/>
        <v>0</v>
      </c>
      <c r="J114" s="661">
        <f t="shared" si="11"/>
        <v>12897</v>
      </c>
      <c r="K114" s="661">
        <f t="shared" si="11"/>
        <v>0</v>
      </c>
      <c r="L114" s="661">
        <f t="shared" si="11"/>
        <v>0</v>
      </c>
      <c r="M114" s="661">
        <f t="shared" si="11"/>
        <v>0</v>
      </c>
      <c r="N114" s="661">
        <f t="shared" si="11"/>
        <v>0</v>
      </c>
      <c r="O114" s="661">
        <f t="shared" si="11"/>
        <v>133387</v>
      </c>
      <c r="P114" s="661">
        <f t="shared" si="11"/>
        <v>192894</v>
      </c>
      <c r="Q114" s="662"/>
    </row>
    <row r="115" spans="1:17" ht="13.5" customHeight="1">
      <c r="A115" s="565"/>
      <c r="B115" s="565"/>
      <c r="C115" s="569" t="s">
        <v>1110</v>
      </c>
      <c r="D115" s="639"/>
      <c r="E115" s="681"/>
      <c r="F115" s="566"/>
      <c r="G115" s="566"/>
      <c r="H115" s="566"/>
      <c r="I115" s="566"/>
      <c r="J115" s="566"/>
      <c r="K115" s="685">
        <f>'[2]7'!J255</f>
        <v>0</v>
      </c>
      <c r="L115" s="685"/>
      <c r="M115" s="648">
        <f>'[2]7'!K255</f>
        <v>0</v>
      </c>
      <c r="N115" s="648"/>
      <c r="O115" s="566"/>
      <c r="P115" s="645">
        <f>SUM(F115:O115)</f>
        <v>0</v>
      </c>
      <c r="Q115" s="646"/>
    </row>
    <row r="116" spans="1:17" ht="13.5" customHeight="1">
      <c r="A116" s="565"/>
      <c r="B116" s="565"/>
      <c r="C116" s="569" t="s">
        <v>1883</v>
      </c>
      <c r="D116" s="639"/>
      <c r="E116" s="681"/>
      <c r="F116" s="566"/>
      <c r="G116" s="566"/>
      <c r="H116" s="566"/>
      <c r="I116" s="566"/>
      <c r="J116" s="566"/>
      <c r="K116" s="685"/>
      <c r="L116" s="685">
        <f>'[2]8'!K189</f>
        <v>0</v>
      </c>
      <c r="M116" s="648">
        <f>'[2]8'!K189</f>
        <v>0</v>
      </c>
      <c r="N116" s="648"/>
      <c r="O116" s="566"/>
      <c r="P116" s="645">
        <f>SUM(F116:O116)</f>
        <v>0</v>
      </c>
      <c r="Q116" s="646"/>
    </row>
    <row r="117" spans="1:17" ht="13.5" customHeight="1">
      <c r="A117" s="657"/>
      <c r="B117" s="657"/>
      <c r="C117" s="682" t="s">
        <v>895</v>
      </c>
      <c r="D117" s="659"/>
      <c r="E117" s="660"/>
      <c r="F117" s="661">
        <f aca="true" t="shared" si="12" ref="F117:P117">SUM(F114:F116)</f>
        <v>0</v>
      </c>
      <c r="G117" s="661">
        <f t="shared" si="12"/>
        <v>0</v>
      </c>
      <c r="H117" s="661">
        <f t="shared" si="12"/>
        <v>46610</v>
      </c>
      <c r="I117" s="661">
        <f t="shared" si="12"/>
        <v>0</v>
      </c>
      <c r="J117" s="661">
        <f t="shared" si="12"/>
        <v>12897</v>
      </c>
      <c r="K117" s="661">
        <f t="shared" si="12"/>
        <v>0</v>
      </c>
      <c r="L117" s="661">
        <f t="shared" si="12"/>
        <v>0</v>
      </c>
      <c r="M117" s="661">
        <f t="shared" si="12"/>
        <v>0</v>
      </c>
      <c r="N117" s="661">
        <f t="shared" si="12"/>
        <v>0</v>
      </c>
      <c r="O117" s="661">
        <f t="shared" si="12"/>
        <v>133387</v>
      </c>
      <c r="P117" s="661">
        <f t="shared" si="12"/>
        <v>192894</v>
      </c>
      <c r="Q117" s="662"/>
    </row>
    <row r="118" spans="1:17" ht="24.75" customHeight="1">
      <c r="A118" s="565">
        <v>1</v>
      </c>
      <c r="B118" s="565">
        <v>20</v>
      </c>
      <c r="C118" s="1434" t="s">
        <v>1553</v>
      </c>
      <c r="D118" s="1435"/>
      <c r="E118" s="665"/>
      <c r="F118" s="566"/>
      <c r="G118" s="566"/>
      <c r="H118" s="702"/>
      <c r="I118" s="702"/>
      <c r="J118" s="702"/>
      <c r="K118" s="702"/>
      <c r="L118" s="702"/>
      <c r="M118" s="702"/>
      <c r="N118" s="702"/>
      <c r="O118" s="702"/>
      <c r="P118" s="645">
        <f>SUM(F118:O118)</f>
        <v>0</v>
      </c>
      <c r="Q118" s="686"/>
    </row>
    <row r="119" spans="1:17" ht="13.5" customHeight="1">
      <c r="A119" s="657"/>
      <c r="B119" s="657"/>
      <c r="C119" s="682" t="s">
        <v>1886</v>
      </c>
      <c r="D119" s="659"/>
      <c r="E119" s="660">
        <v>1</v>
      </c>
      <c r="F119" s="661">
        <f>SUM(F118:F118)</f>
        <v>0</v>
      </c>
      <c r="G119" s="661">
        <f>SUM(G118:G118)</f>
        <v>0</v>
      </c>
      <c r="H119" s="661">
        <v>0</v>
      </c>
      <c r="I119" s="661">
        <f aca="true" t="shared" si="13" ref="I119:O119">SUM(I118:I118)</f>
        <v>0</v>
      </c>
      <c r="J119" s="661">
        <f t="shared" si="13"/>
        <v>0</v>
      </c>
      <c r="K119" s="661">
        <f t="shared" si="13"/>
        <v>0</v>
      </c>
      <c r="L119" s="661">
        <f t="shared" si="13"/>
        <v>0</v>
      </c>
      <c r="M119" s="661">
        <f t="shared" si="13"/>
        <v>0</v>
      </c>
      <c r="N119" s="661">
        <f t="shared" si="13"/>
        <v>0</v>
      </c>
      <c r="O119" s="661">
        <f t="shared" si="13"/>
        <v>0</v>
      </c>
      <c r="P119" s="661">
        <f>SUM(F119:O119)</f>
        <v>0</v>
      </c>
      <c r="Q119" s="662" t="s">
        <v>606</v>
      </c>
    </row>
    <row r="120" spans="1:17" ht="13.5" customHeight="1">
      <c r="A120" s="703">
        <v>1</v>
      </c>
      <c r="B120" s="703">
        <v>22</v>
      </c>
      <c r="C120" s="1421" t="s">
        <v>1090</v>
      </c>
      <c r="D120" s="1422"/>
      <c r="E120" s="704"/>
      <c r="F120" s="566"/>
      <c r="G120" s="566"/>
      <c r="H120" s="566"/>
      <c r="I120" s="566"/>
      <c r="J120" s="566"/>
      <c r="K120" s="685"/>
      <c r="L120" s="685"/>
      <c r="M120" s="685"/>
      <c r="N120" s="685"/>
      <c r="O120" s="566"/>
      <c r="P120" s="645"/>
      <c r="Q120" s="646"/>
    </row>
    <row r="121" spans="1:17" ht="13.5" customHeight="1">
      <c r="A121" s="703"/>
      <c r="B121" s="703"/>
      <c r="C121" s="1430" t="s">
        <v>1553</v>
      </c>
      <c r="D121" s="1431"/>
      <c r="E121" s="688"/>
      <c r="F121" s="648"/>
      <c r="G121" s="648"/>
      <c r="H121" s="648"/>
      <c r="I121" s="648"/>
      <c r="J121" s="648"/>
      <c r="K121" s="648"/>
      <c r="L121" s="648"/>
      <c r="M121" s="648"/>
      <c r="N121" s="648"/>
      <c r="O121" s="648"/>
      <c r="P121" s="645"/>
      <c r="Q121" s="646"/>
    </row>
    <row r="122" spans="1:17" ht="13.5" customHeight="1">
      <c r="A122" s="703"/>
      <c r="B122" s="703"/>
      <c r="C122" s="705" t="s">
        <v>920</v>
      </c>
      <c r="D122" s="706"/>
      <c r="E122" s="707">
        <v>2</v>
      </c>
      <c r="F122" s="648">
        <v>3000</v>
      </c>
      <c r="G122" s="648">
        <v>1500</v>
      </c>
      <c r="H122" s="648">
        <v>-4500</v>
      </c>
      <c r="I122" s="648"/>
      <c r="J122" s="648"/>
      <c r="K122" s="648"/>
      <c r="L122" s="648"/>
      <c r="M122" s="648"/>
      <c r="N122" s="648"/>
      <c r="O122" s="648"/>
      <c r="P122" s="645">
        <f>SUM(F122:O122)</f>
        <v>0</v>
      </c>
      <c r="Q122" s="686" t="s">
        <v>606</v>
      </c>
    </row>
    <row r="123" spans="1:17" ht="13.5" customHeight="1">
      <c r="A123" s="703"/>
      <c r="B123" s="703"/>
      <c r="C123" s="569" t="s">
        <v>814</v>
      </c>
      <c r="D123" s="706"/>
      <c r="E123" s="707">
        <v>2</v>
      </c>
      <c r="F123" s="648"/>
      <c r="G123" s="648"/>
      <c r="H123" s="648"/>
      <c r="I123" s="648"/>
      <c r="J123" s="648">
        <v>1000</v>
      </c>
      <c r="K123" s="648"/>
      <c r="L123" s="648"/>
      <c r="M123" s="648"/>
      <c r="N123" s="648"/>
      <c r="O123" s="648"/>
      <c r="P123" s="645">
        <v>1000</v>
      </c>
      <c r="Q123" s="686" t="s">
        <v>606</v>
      </c>
    </row>
    <row r="124" spans="1:17" ht="13.5" customHeight="1">
      <c r="A124" s="703"/>
      <c r="B124" s="703"/>
      <c r="C124" s="1406" t="s">
        <v>1474</v>
      </c>
      <c r="D124" s="1427"/>
      <c r="E124" s="707"/>
      <c r="F124" s="648"/>
      <c r="G124" s="648"/>
      <c r="H124" s="648"/>
      <c r="I124" s="648"/>
      <c r="J124" s="648"/>
      <c r="K124" s="648"/>
      <c r="L124" s="648"/>
      <c r="M124" s="648"/>
      <c r="N124" s="648"/>
      <c r="O124" s="648"/>
      <c r="P124" s="645"/>
      <c r="Q124" s="686"/>
    </row>
    <row r="125" spans="1:17" ht="13.5" customHeight="1">
      <c r="A125" s="703"/>
      <c r="B125" s="703"/>
      <c r="C125" s="569" t="s">
        <v>943</v>
      </c>
      <c r="D125" s="687"/>
      <c r="E125" s="707">
        <v>2</v>
      </c>
      <c r="F125" s="648">
        <v>5000</v>
      </c>
      <c r="G125" s="648">
        <v>2500</v>
      </c>
      <c r="H125" s="648">
        <v>-7000</v>
      </c>
      <c r="I125" s="648"/>
      <c r="J125" s="648"/>
      <c r="K125" s="648"/>
      <c r="L125" s="648"/>
      <c r="M125" s="648"/>
      <c r="N125" s="648"/>
      <c r="O125" s="648"/>
      <c r="P125" s="645">
        <f>SUM(F125:O125)</f>
        <v>500</v>
      </c>
      <c r="Q125" s="686" t="s">
        <v>606</v>
      </c>
    </row>
    <row r="126" spans="1:17" ht="13.5" customHeight="1">
      <c r="A126" s="703"/>
      <c r="B126" s="703"/>
      <c r="C126" s="651" t="s">
        <v>1426</v>
      </c>
      <c r="D126" s="708"/>
      <c r="E126" s="665"/>
      <c r="F126" s="648"/>
      <c r="G126" s="648"/>
      <c r="H126" s="648"/>
      <c r="I126" s="648"/>
      <c r="J126" s="648"/>
      <c r="K126" s="648"/>
      <c r="L126" s="648"/>
      <c r="M126" s="648"/>
      <c r="N126" s="648"/>
      <c r="O126" s="648"/>
      <c r="P126" s="645"/>
      <c r="Q126" s="686"/>
    </row>
    <row r="127" spans="1:17" ht="13.5" customHeight="1">
      <c r="A127" s="703"/>
      <c r="B127" s="703"/>
      <c r="C127" s="709" t="s">
        <v>924</v>
      </c>
      <c r="D127" s="710"/>
      <c r="E127" s="700">
        <v>2</v>
      </c>
      <c r="F127" s="648">
        <v>62</v>
      </c>
      <c r="G127" s="648">
        <v>31</v>
      </c>
      <c r="H127" s="648">
        <v>-1576</v>
      </c>
      <c r="I127" s="648"/>
      <c r="J127" s="648">
        <v>1353</v>
      </c>
      <c r="K127" s="648"/>
      <c r="L127" s="648"/>
      <c r="M127" s="648"/>
      <c r="N127" s="648"/>
      <c r="O127" s="648"/>
      <c r="P127" s="645">
        <f>SUM(F127:O127)</f>
        <v>-130</v>
      </c>
      <c r="Q127" s="686" t="s">
        <v>606</v>
      </c>
    </row>
    <row r="128" spans="1:17" ht="13.5" customHeight="1">
      <c r="A128" s="711"/>
      <c r="B128" s="711"/>
      <c r="C128" s="712" t="s">
        <v>1690</v>
      </c>
      <c r="D128" s="713"/>
      <c r="E128" s="714"/>
      <c r="F128" s="661">
        <f aca="true" t="shared" si="14" ref="F128:P128">SUM(F120:F127)</f>
        <v>8062</v>
      </c>
      <c r="G128" s="661">
        <f t="shared" si="14"/>
        <v>4031</v>
      </c>
      <c r="H128" s="661">
        <f t="shared" si="14"/>
        <v>-13076</v>
      </c>
      <c r="I128" s="661">
        <f t="shared" si="14"/>
        <v>0</v>
      </c>
      <c r="J128" s="661">
        <f t="shared" si="14"/>
        <v>2353</v>
      </c>
      <c r="K128" s="661">
        <f t="shared" si="14"/>
        <v>0</v>
      </c>
      <c r="L128" s="661">
        <f t="shared" si="14"/>
        <v>0</v>
      </c>
      <c r="M128" s="661">
        <f t="shared" si="14"/>
        <v>0</v>
      </c>
      <c r="N128" s="661">
        <f t="shared" si="14"/>
        <v>0</v>
      </c>
      <c r="O128" s="661">
        <f t="shared" si="14"/>
        <v>0</v>
      </c>
      <c r="P128" s="661">
        <f t="shared" si="14"/>
        <v>1370</v>
      </c>
      <c r="Q128" s="691"/>
    </row>
    <row r="129" spans="1:17" ht="13.5" customHeight="1">
      <c r="A129" s="565"/>
      <c r="B129" s="565"/>
      <c r="C129" s="569" t="s">
        <v>1110</v>
      </c>
      <c r="D129" s="639"/>
      <c r="E129" s="681"/>
      <c r="F129" s="566"/>
      <c r="G129" s="566"/>
      <c r="H129" s="566"/>
      <c r="I129" s="566"/>
      <c r="J129" s="566"/>
      <c r="K129" s="648">
        <f>'[2]7'!J258</f>
        <v>0</v>
      </c>
      <c r="L129" s="648"/>
      <c r="M129" s="648">
        <f>'[2]7'!K258</f>
        <v>130</v>
      </c>
      <c r="N129" s="648"/>
      <c r="O129" s="566"/>
      <c r="P129" s="645">
        <f>SUM(F129:O129)</f>
        <v>130</v>
      </c>
      <c r="Q129" s="646" t="s">
        <v>606</v>
      </c>
    </row>
    <row r="130" spans="1:17" ht="13.5" customHeight="1">
      <c r="A130" s="657"/>
      <c r="B130" s="657"/>
      <c r="C130" s="682" t="s">
        <v>1092</v>
      </c>
      <c r="D130" s="659"/>
      <c r="E130" s="660"/>
      <c r="F130" s="661">
        <f aca="true" t="shared" si="15" ref="F130:P130">SUM(F128:F129)</f>
        <v>8062</v>
      </c>
      <c r="G130" s="661">
        <f t="shared" si="15"/>
        <v>4031</v>
      </c>
      <c r="H130" s="661">
        <f t="shared" si="15"/>
        <v>-13076</v>
      </c>
      <c r="I130" s="661">
        <f t="shared" si="15"/>
        <v>0</v>
      </c>
      <c r="J130" s="661">
        <f t="shared" si="15"/>
        <v>2353</v>
      </c>
      <c r="K130" s="661">
        <f t="shared" si="15"/>
        <v>0</v>
      </c>
      <c r="L130" s="661">
        <f t="shared" si="15"/>
        <v>0</v>
      </c>
      <c r="M130" s="661">
        <f t="shared" si="15"/>
        <v>130</v>
      </c>
      <c r="N130" s="661">
        <f t="shared" si="15"/>
        <v>0</v>
      </c>
      <c r="O130" s="661">
        <f t="shared" si="15"/>
        <v>0</v>
      </c>
      <c r="P130" s="661">
        <f t="shared" si="15"/>
        <v>1500</v>
      </c>
      <c r="Q130" s="662"/>
    </row>
    <row r="131" spans="1:17" ht="13.5" customHeight="1">
      <c r="A131" s="681">
        <v>1</v>
      </c>
      <c r="B131" s="681">
        <v>30</v>
      </c>
      <c r="C131" s="699" t="s">
        <v>1137</v>
      </c>
      <c r="D131" s="687"/>
      <c r="E131" s="681"/>
      <c r="F131" s="557"/>
      <c r="G131" s="557"/>
      <c r="H131" s="557"/>
      <c r="I131" s="557"/>
      <c r="J131" s="557"/>
      <c r="K131" s="557"/>
      <c r="L131" s="557"/>
      <c r="M131" s="557"/>
      <c r="N131" s="557"/>
      <c r="O131" s="557"/>
      <c r="P131" s="645"/>
      <c r="Q131" s="646"/>
    </row>
    <row r="132" spans="1:17" ht="13.5" customHeight="1">
      <c r="A132" s="681"/>
      <c r="B132" s="715">
        <v>31</v>
      </c>
      <c r="C132" s="699" t="s">
        <v>1692</v>
      </c>
      <c r="D132" s="556"/>
      <c r="E132" s="681">
        <v>1</v>
      </c>
      <c r="F132" s="557"/>
      <c r="G132" s="557"/>
      <c r="H132" s="557"/>
      <c r="I132" s="557"/>
      <c r="J132" s="557">
        <v>-1000</v>
      </c>
      <c r="K132" s="557"/>
      <c r="L132" s="557"/>
      <c r="M132" s="557"/>
      <c r="N132" s="557"/>
      <c r="O132" s="557"/>
      <c r="P132" s="645">
        <v>-1000</v>
      </c>
      <c r="Q132" s="646" t="s">
        <v>606</v>
      </c>
    </row>
    <row r="133" spans="1:17" ht="13.5" customHeight="1">
      <c r="A133" s="681"/>
      <c r="B133" s="681">
        <v>32</v>
      </c>
      <c r="C133" s="699" t="s">
        <v>1138</v>
      </c>
      <c r="D133" s="687"/>
      <c r="E133" s="681"/>
      <c r="F133" s="557"/>
      <c r="G133" s="557"/>
      <c r="H133" s="557"/>
      <c r="I133" s="557"/>
      <c r="J133" s="557"/>
      <c r="K133" s="557"/>
      <c r="L133" s="557"/>
      <c r="M133" s="557"/>
      <c r="N133" s="557"/>
      <c r="O133" s="557"/>
      <c r="P133" s="645"/>
      <c r="Q133" s="646"/>
    </row>
    <row r="134" spans="1:17" ht="12.75" customHeight="1">
      <c r="A134" s="681"/>
      <c r="B134" s="681"/>
      <c r="C134" s="569" t="s">
        <v>1139</v>
      </c>
      <c r="D134" s="687"/>
      <c r="E134" s="681">
        <v>1</v>
      </c>
      <c r="F134" s="557"/>
      <c r="G134" s="557"/>
      <c r="H134" s="557"/>
      <c r="I134" s="557"/>
      <c r="J134" s="557">
        <v>-37000</v>
      </c>
      <c r="K134" s="557"/>
      <c r="L134" s="557"/>
      <c r="M134" s="557"/>
      <c r="N134" s="557"/>
      <c r="O134" s="557"/>
      <c r="P134" s="645">
        <f>SUM(F134:O134)</f>
        <v>-37000</v>
      </c>
      <c r="Q134" s="646" t="s">
        <v>606</v>
      </c>
    </row>
    <row r="135" spans="1:17" ht="36" customHeight="1">
      <c r="A135" s="681"/>
      <c r="B135" s="681"/>
      <c r="C135" s="1410" t="s">
        <v>731</v>
      </c>
      <c r="D135" s="1411"/>
      <c r="E135" s="700"/>
      <c r="F135" s="557"/>
      <c r="G135" s="557"/>
      <c r="H135" s="557"/>
      <c r="I135" s="557"/>
      <c r="J135" s="557"/>
      <c r="K135" s="557"/>
      <c r="L135" s="557"/>
      <c r="M135" s="557"/>
      <c r="N135" s="557"/>
      <c r="O135" s="557"/>
      <c r="P135" s="645"/>
      <c r="Q135" s="646"/>
    </row>
    <row r="136" spans="1:17" ht="12.75" customHeight="1">
      <c r="A136" s="681"/>
      <c r="B136" s="681"/>
      <c r="C136" s="1425" t="s">
        <v>121</v>
      </c>
      <c r="D136" s="1426"/>
      <c r="E136" s="700">
        <v>2</v>
      </c>
      <c r="F136" s="557"/>
      <c r="G136" s="557"/>
      <c r="H136" s="557"/>
      <c r="I136" s="557"/>
      <c r="J136" s="557">
        <v>-4450</v>
      </c>
      <c r="K136" s="557"/>
      <c r="L136" s="557"/>
      <c r="M136" s="557"/>
      <c r="N136" s="557"/>
      <c r="O136" s="557"/>
      <c r="P136" s="645">
        <f>SUM(F136:O136)</f>
        <v>-4450</v>
      </c>
      <c r="Q136" s="646" t="s">
        <v>815</v>
      </c>
    </row>
    <row r="137" spans="1:17" ht="12.75" customHeight="1">
      <c r="A137" s="681"/>
      <c r="B137" s="681"/>
      <c r="C137" s="569" t="s">
        <v>1240</v>
      </c>
      <c r="D137" s="716"/>
      <c r="E137" s="700">
        <v>2</v>
      </c>
      <c r="F137" s="557"/>
      <c r="G137" s="557"/>
      <c r="H137" s="557"/>
      <c r="I137" s="557"/>
      <c r="J137" s="557">
        <v>-900</v>
      </c>
      <c r="K137" s="557"/>
      <c r="L137" s="557"/>
      <c r="M137" s="557"/>
      <c r="N137" s="557"/>
      <c r="O137" s="557"/>
      <c r="P137" s="645">
        <f>SUM(F137:O137)</f>
        <v>-900</v>
      </c>
      <c r="Q137" s="646" t="s">
        <v>815</v>
      </c>
    </row>
    <row r="138" spans="1:17" ht="12.75" customHeight="1">
      <c r="A138" s="681"/>
      <c r="B138" s="681"/>
      <c r="C138" s="717" t="s">
        <v>427</v>
      </c>
      <c r="D138" s="687"/>
      <c r="E138" s="681"/>
      <c r="F138" s="557"/>
      <c r="G138" s="557"/>
      <c r="H138" s="557"/>
      <c r="I138" s="557"/>
      <c r="J138" s="557"/>
      <c r="K138" s="557">
        <f>'[2]7'!J261</f>
        <v>0</v>
      </c>
      <c r="L138" s="557">
        <f>'[2]8'!J192</f>
        <v>0</v>
      </c>
      <c r="M138" s="557"/>
      <c r="N138" s="557"/>
      <c r="O138" s="557"/>
      <c r="P138" s="645">
        <f>SUM(K138:O138)</f>
        <v>0</v>
      </c>
      <c r="Q138" s="646"/>
    </row>
    <row r="139" spans="1:17" ht="13.5" customHeight="1">
      <c r="A139" s="678"/>
      <c r="B139" s="678"/>
      <c r="C139" s="682" t="s">
        <v>428</v>
      </c>
      <c r="D139" s="718"/>
      <c r="E139" s="678"/>
      <c r="F139" s="719">
        <f aca="true" t="shared" si="16" ref="F139:P139">SUM(F131:F138)</f>
        <v>0</v>
      </c>
      <c r="G139" s="719">
        <f t="shared" si="16"/>
        <v>0</v>
      </c>
      <c r="H139" s="719">
        <f t="shared" si="16"/>
        <v>0</v>
      </c>
      <c r="I139" s="719">
        <f t="shared" si="16"/>
        <v>0</v>
      </c>
      <c r="J139" s="719">
        <f t="shared" si="16"/>
        <v>-43350</v>
      </c>
      <c r="K139" s="719">
        <f t="shared" si="16"/>
        <v>0</v>
      </c>
      <c r="L139" s="719">
        <f t="shared" si="16"/>
        <v>0</v>
      </c>
      <c r="M139" s="719">
        <f t="shared" si="16"/>
        <v>0</v>
      </c>
      <c r="N139" s="719">
        <f t="shared" si="16"/>
        <v>0</v>
      </c>
      <c r="O139" s="719">
        <f t="shared" si="16"/>
        <v>0</v>
      </c>
      <c r="P139" s="719">
        <f t="shared" si="16"/>
        <v>-43350</v>
      </c>
      <c r="Q139" s="662"/>
    </row>
    <row r="140" spans="1:17" ht="25.5" customHeight="1">
      <c r="A140" s="678"/>
      <c r="B140" s="678"/>
      <c r="C140" s="1408" t="s">
        <v>602</v>
      </c>
      <c r="D140" s="1409"/>
      <c r="E140" s="720"/>
      <c r="F140" s="719">
        <f aca="true" t="shared" si="17" ref="F140:P140">SUM(F26+F64+F80+F87+F96+F102+F117+F119+F130+F139)</f>
        <v>14568</v>
      </c>
      <c r="G140" s="719">
        <f t="shared" si="17"/>
        <v>5708</v>
      </c>
      <c r="H140" s="719">
        <f t="shared" si="17"/>
        <v>65533</v>
      </c>
      <c r="I140" s="719">
        <f t="shared" si="17"/>
        <v>173196</v>
      </c>
      <c r="J140" s="719">
        <f t="shared" si="17"/>
        <v>-4100</v>
      </c>
      <c r="K140" s="719">
        <f t="shared" si="17"/>
        <v>-12445</v>
      </c>
      <c r="L140" s="719">
        <f t="shared" si="17"/>
        <v>-19219</v>
      </c>
      <c r="M140" s="719">
        <f t="shared" si="17"/>
        <v>-16856</v>
      </c>
      <c r="N140" s="719">
        <f t="shared" si="17"/>
        <v>0</v>
      </c>
      <c r="O140" s="719">
        <f t="shared" si="17"/>
        <v>194729</v>
      </c>
      <c r="P140" s="719">
        <f t="shared" si="17"/>
        <v>401114</v>
      </c>
      <c r="Q140" s="719"/>
    </row>
    <row r="141" spans="1:17" ht="12.75" customHeight="1">
      <c r="A141" s="665">
        <v>2</v>
      </c>
      <c r="B141" s="665"/>
      <c r="C141" s="577" t="s">
        <v>398</v>
      </c>
      <c r="D141" s="721"/>
      <c r="E141" s="665"/>
      <c r="F141" s="558">
        <f>'[2]táj.2.'!C20</f>
        <v>16790</v>
      </c>
      <c r="G141" s="558">
        <f>'[2]táj.2.'!D20</f>
        <v>581</v>
      </c>
      <c r="H141" s="558">
        <f>'[2]táj.2.'!E20</f>
        <v>3585</v>
      </c>
      <c r="I141" s="558">
        <f>'[2]táj.2.'!F20</f>
        <v>0</v>
      </c>
      <c r="J141" s="558">
        <f>'[2]táj.2.'!G20</f>
        <v>1379</v>
      </c>
      <c r="K141" s="558">
        <f>'[2]táj.2.'!H20</f>
        <v>37742</v>
      </c>
      <c r="L141" s="558">
        <f>'[2]táj.2.'!I20</f>
        <v>7528</v>
      </c>
      <c r="M141" s="558">
        <f>'[2]táj.2.'!J20</f>
        <v>0</v>
      </c>
      <c r="N141" s="558"/>
      <c r="O141" s="558"/>
      <c r="P141" s="645">
        <f>SUM(F141:O141)</f>
        <v>67605</v>
      </c>
      <c r="Q141" s="722"/>
    </row>
    <row r="142" spans="1:17" ht="12.75" customHeight="1">
      <c r="A142" s="678"/>
      <c r="B142" s="678"/>
      <c r="C142" s="564" t="s">
        <v>376</v>
      </c>
      <c r="D142" s="718"/>
      <c r="E142" s="678"/>
      <c r="F142" s="719">
        <f aca="true" t="shared" si="18" ref="F142:P142">SUM(F140:F141)</f>
        <v>31358</v>
      </c>
      <c r="G142" s="719">
        <f t="shared" si="18"/>
        <v>6289</v>
      </c>
      <c r="H142" s="719">
        <f t="shared" si="18"/>
        <v>69118</v>
      </c>
      <c r="I142" s="719">
        <f t="shared" si="18"/>
        <v>173196</v>
      </c>
      <c r="J142" s="719">
        <f t="shared" si="18"/>
        <v>-2721</v>
      </c>
      <c r="K142" s="719">
        <f t="shared" si="18"/>
        <v>25297</v>
      </c>
      <c r="L142" s="719">
        <f t="shared" si="18"/>
        <v>-11691</v>
      </c>
      <c r="M142" s="719">
        <f t="shared" si="18"/>
        <v>-16856</v>
      </c>
      <c r="N142" s="719">
        <f t="shared" si="18"/>
        <v>0</v>
      </c>
      <c r="O142" s="719">
        <f t="shared" si="18"/>
        <v>194729</v>
      </c>
      <c r="P142" s="719">
        <f t="shared" si="18"/>
        <v>468719</v>
      </c>
      <c r="Q142" s="719"/>
    </row>
    <row r="143" spans="3:5" ht="12.75">
      <c r="C143" s="1419"/>
      <c r="D143" s="1420"/>
      <c r="E143" s="555"/>
    </row>
  </sheetData>
  <sheetProtection/>
  <mergeCells count="71">
    <mergeCell ref="C98:D98"/>
    <mergeCell ref="C91:D91"/>
    <mergeCell ref="C92:D92"/>
    <mergeCell ref="C13:D13"/>
    <mergeCell ref="C46:D46"/>
    <mergeCell ref="C39:D39"/>
    <mergeCell ref="C19:D19"/>
    <mergeCell ref="C15:D15"/>
    <mergeCell ref="C16:D16"/>
    <mergeCell ref="C33:D33"/>
    <mergeCell ref="C41:D41"/>
    <mergeCell ref="C53:D53"/>
    <mergeCell ref="C57:D57"/>
    <mergeCell ref="C42:D42"/>
    <mergeCell ref="C44:D44"/>
    <mergeCell ref="C45:D45"/>
    <mergeCell ref="C71:D71"/>
    <mergeCell ref="C70:D70"/>
    <mergeCell ref="C50:D50"/>
    <mergeCell ref="C51:D51"/>
    <mergeCell ref="C68:D68"/>
    <mergeCell ref="A1:A2"/>
    <mergeCell ref="B1:B2"/>
    <mergeCell ref="C1:D2"/>
    <mergeCell ref="C59:D59"/>
    <mergeCell ref="C56:D56"/>
    <mergeCell ref="C11:D11"/>
    <mergeCell ref="C40:D40"/>
    <mergeCell ref="C21:D21"/>
    <mergeCell ref="C31:D31"/>
    <mergeCell ref="C32:D32"/>
    <mergeCell ref="C17:D17"/>
    <mergeCell ref="C30:D30"/>
    <mergeCell ref="C29:D29"/>
    <mergeCell ref="C38:D38"/>
    <mergeCell ref="C34:D34"/>
    <mergeCell ref="C35:D35"/>
    <mergeCell ref="C99:D99"/>
    <mergeCell ref="C118:D118"/>
    <mergeCell ref="C113:D113"/>
    <mergeCell ref="C72:D72"/>
    <mergeCell ref="C111:D111"/>
    <mergeCell ref="C73:D73"/>
    <mergeCell ref="C74:D74"/>
    <mergeCell ref="C82:D82"/>
    <mergeCell ref="C76:D76"/>
    <mergeCell ref="C89:D89"/>
    <mergeCell ref="C90:D90"/>
    <mergeCell ref="C83:D83"/>
    <mergeCell ref="C143:D143"/>
    <mergeCell ref="C120:D120"/>
    <mergeCell ref="C104:D104"/>
    <mergeCell ref="C136:D136"/>
    <mergeCell ref="C124:D124"/>
    <mergeCell ref="C112:D112"/>
    <mergeCell ref="C109:D109"/>
    <mergeCell ref="C121:D121"/>
    <mergeCell ref="C110:D110"/>
    <mergeCell ref="C105:D105"/>
    <mergeCell ref="C140:D140"/>
    <mergeCell ref="C135:D135"/>
    <mergeCell ref="C106:D106"/>
    <mergeCell ref="C108:D108"/>
    <mergeCell ref="Q1:Q2"/>
    <mergeCell ref="C6:D6"/>
    <mergeCell ref="P1:P2"/>
    <mergeCell ref="C8:D8"/>
    <mergeCell ref="E1:E2"/>
    <mergeCell ref="F1:M1"/>
    <mergeCell ref="C5:D5"/>
    <mergeCell ref="N1:O1"/>
  </mergeCells>
  <printOptions horizontalCentered="1" verticalCentered="1"/>
  <pageMargins left="0" right="0.2362204724409449" top="0.6692913385826772" bottom="1.1811023622047245" header="0.11811023622047245" footer="0.7086614173228347"/>
  <pageSetup horizontalDpi="300" verticalDpi="300" orientation="landscape" paperSize="9" scale="90" r:id="rId1"/>
  <headerFooter alignWithMargins="0">
    <oddHeader>&amp;CZALAEGERSZEG MEGYEI JOGÚ VÁROS ÖNKORMÁNYZATA
2014. ÉVI KIADÁSI ELŐIRÁNYZATAINAK MÓDOSÍTÁSA A II. NEGYEDÉVBEN
&amp;R&amp;"Times New Roman CE,Félkövér dőlt"6.a  melléklet mód.
Adatok: ezer Ft-ban</oddHeader>
    <oddFooter>&amp;L* kgy= közgyűlési hatáskörben           
   pm= polgármesteri hatáskörben
   biz = bizottsági hatáskörben&amp;C&amp;P. oldal&amp;RFeladat jellege:
1 =    kötelező
2=önként vállalt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R171"/>
  <sheetViews>
    <sheetView zoomScaleSheetLayoutView="120" workbookViewId="0" topLeftCell="A1">
      <pane ySplit="2" topLeftCell="BM149" activePane="bottomLeft" state="frozen"/>
      <selection pane="topLeft" activeCell="A1" sqref="A1"/>
      <selection pane="bottomLeft" activeCell="P95" sqref="P95:P97"/>
    </sheetView>
  </sheetViews>
  <sheetFormatPr defaultColWidth="9.00390625" defaultRowHeight="12.75"/>
  <cols>
    <col min="1" max="1" width="5.125" style="7" customWidth="1"/>
    <col min="2" max="2" width="5.875" style="7" customWidth="1"/>
    <col min="3" max="3" width="9.375" style="7" customWidth="1"/>
    <col min="4" max="4" width="35.125" style="7" customWidth="1"/>
    <col min="5" max="5" width="4.375" style="7" customWidth="1"/>
    <col min="6" max="6" width="10.125" style="7" customWidth="1"/>
    <col min="7" max="7" width="11.00390625" style="7" customWidth="1"/>
    <col min="8" max="8" width="10.00390625" style="7" customWidth="1"/>
    <col min="9" max="10" width="9.375" style="7" customWidth="1"/>
    <col min="11" max="11" width="10.125" style="7" customWidth="1"/>
    <col min="12" max="12" width="9.375" style="7" customWidth="1"/>
    <col min="13" max="13" width="11.00390625" style="7" bestFit="1" customWidth="1"/>
    <col min="14" max="14" width="10.125" style="7" customWidth="1"/>
    <col min="15" max="15" width="9.875" style="7" bestFit="1" customWidth="1"/>
    <col min="16" max="16" width="10.50390625" style="7" customWidth="1"/>
    <col min="17" max="17" width="7.625" style="7" customWidth="1"/>
    <col min="18" max="16384" width="9.375" style="7" customWidth="1"/>
  </cols>
  <sheetData>
    <row r="1" spans="1:17" s="485" customFormat="1" ht="24.75" customHeight="1">
      <c r="A1" s="1374" t="s">
        <v>896</v>
      </c>
      <c r="B1" s="1376" t="s">
        <v>897</v>
      </c>
      <c r="C1" s="1377" t="s">
        <v>46</v>
      </c>
      <c r="D1" s="1378"/>
      <c r="E1" s="1381" t="s">
        <v>415</v>
      </c>
      <c r="F1" s="1383"/>
      <c r="G1" s="1384"/>
      <c r="H1" s="1384"/>
      <c r="I1" s="1384"/>
      <c r="J1" s="1384"/>
      <c r="K1" s="1384"/>
      <c r="L1" s="1384"/>
      <c r="M1" s="1384"/>
      <c r="N1" s="1305" t="s">
        <v>59</v>
      </c>
      <c r="O1" s="1305"/>
      <c r="P1" s="1372" t="s">
        <v>49</v>
      </c>
      <c r="Q1" s="1328" t="s">
        <v>678</v>
      </c>
    </row>
    <row r="2" spans="1:17" ht="63.75" customHeight="1">
      <c r="A2" s="1375"/>
      <c r="B2" s="1273"/>
      <c r="C2" s="1379"/>
      <c r="D2" s="1380"/>
      <c r="E2" s="1382"/>
      <c r="F2" s="233" t="s">
        <v>280</v>
      </c>
      <c r="G2" s="233" t="s">
        <v>603</v>
      </c>
      <c r="H2" s="233" t="s">
        <v>423</v>
      </c>
      <c r="I2" s="233" t="s">
        <v>679</v>
      </c>
      <c r="J2" s="233" t="s">
        <v>1238</v>
      </c>
      <c r="K2" s="233" t="s">
        <v>1222</v>
      </c>
      <c r="L2" s="233" t="s">
        <v>1221</v>
      </c>
      <c r="M2" s="233" t="s">
        <v>680</v>
      </c>
      <c r="N2" s="233" t="s">
        <v>604</v>
      </c>
      <c r="O2" s="486" t="s">
        <v>69</v>
      </c>
      <c r="P2" s="1373"/>
      <c r="Q2" s="1329"/>
    </row>
    <row r="3" spans="1:17" ht="13.5" customHeight="1">
      <c r="A3" s="269">
        <v>1</v>
      </c>
      <c r="B3" s="269"/>
      <c r="C3" s="487" t="s">
        <v>396</v>
      </c>
      <c r="D3" s="59"/>
      <c r="E3" s="271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9"/>
      <c r="Q3" s="490"/>
    </row>
    <row r="4" spans="1:17" ht="13.5" customHeight="1">
      <c r="A4" s="8">
        <v>1</v>
      </c>
      <c r="B4" s="8">
        <v>1</v>
      </c>
      <c r="C4" s="58" t="s">
        <v>1885</v>
      </c>
      <c r="D4" s="59"/>
      <c r="E4" s="16"/>
      <c r="F4" s="9"/>
      <c r="G4" s="9"/>
      <c r="H4" s="9"/>
      <c r="I4" s="9"/>
      <c r="J4" s="9"/>
      <c r="K4" s="9"/>
      <c r="L4" s="9"/>
      <c r="M4" s="9"/>
      <c r="N4" s="9"/>
      <c r="O4" s="9"/>
      <c r="P4" s="12"/>
      <c r="Q4" s="491"/>
    </row>
    <row r="5" spans="1:17" ht="13.5" customHeight="1">
      <c r="A5" s="8">
        <v>1</v>
      </c>
      <c r="B5" s="8">
        <v>12</v>
      </c>
      <c r="C5" s="1216" t="s">
        <v>1549</v>
      </c>
      <c r="D5" s="1217"/>
      <c r="E5" s="16"/>
      <c r="F5" s="9"/>
      <c r="G5" s="9"/>
      <c r="H5" s="9"/>
      <c r="I5" s="9"/>
      <c r="J5" s="9"/>
      <c r="K5" s="9"/>
      <c r="L5" s="9"/>
      <c r="M5" s="9"/>
      <c r="N5" s="9"/>
      <c r="O5" s="9"/>
      <c r="P5" s="12"/>
      <c r="Q5" s="491"/>
    </row>
    <row r="6" spans="1:17" ht="13.5" customHeight="1">
      <c r="A6" s="8"/>
      <c r="B6" s="8"/>
      <c r="C6" s="1216" t="s">
        <v>681</v>
      </c>
      <c r="D6" s="1385"/>
      <c r="E6" s="492">
        <v>1</v>
      </c>
      <c r="F6" s="235"/>
      <c r="G6" s="235"/>
      <c r="H6" s="235"/>
      <c r="I6" s="235">
        <v>-200</v>
      </c>
      <c r="J6" s="235"/>
      <c r="K6" s="235"/>
      <c r="L6" s="9"/>
      <c r="M6" s="9"/>
      <c r="N6" s="9"/>
      <c r="O6" s="9"/>
      <c r="P6" s="12">
        <f>SUM(F6:O6)</f>
        <v>-200</v>
      </c>
      <c r="Q6" s="491" t="s">
        <v>606</v>
      </c>
    </row>
    <row r="7" spans="1:17" ht="13.5" customHeight="1">
      <c r="A7" s="8"/>
      <c r="B7" s="8"/>
      <c r="C7" s="12" t="s">
        <v>274</v>
      </c>
      <c r="D7" s="140"/>
      <c r="E7" s="492">
        <v>1</v>
      </c>
      <c r="F7" s="235"/>
      <c r="G7" s="235"/>
      <c r="H7" s="235"/>
      <c r="I7" s="235">
        <v>-800</v>
      </c>
      <c r="J7" s="235"/>
      <c r="K7" s="235"/>
      <c r="L7" s="9"/>
      <c r="M7" s="9"/>
      <c r="N7" s="9"/>
      <c r="O7" s="9"/>
      <c r="P7" s="12">
        <f>SUM(F7:O7)</f>
        <v>-800</v>
      </c>
      <c r="Q7" s="491" t="s">
        <v>606</v>
      </c>
    </row>
    <row r="8" spans="1:17" ht="13.5" customHeight="1">
      <c r="A8" s="8"/>
      <c r="B8" s="8"/>
      <c r="C8" s="1218" t="s">
        <v>840</v>
      </c>
      <c r="D8" s="1219"/>
      <c r="E8" s="492"/>
      <c r="F8" s="235"/>
      <c r="G8" s="235"/>
      <c r="H8" s="235"/>
      <c r="I8" s="235"/>
      <c r="J8" s="235"/>
      <c r="K8" s="235"/>
      <c r="L8" s="9"/>
      <c r="M8" s="9"/>
      <c r="N8" s="9"/>
      <c r="O8" s="9"/>
      <c r="P8" s="12"/>
      <c r="Q8" s="491"/>
    </row>
    <row r="9" spans="1:17" ht="13.5" customHeight="1">
      <c r="A9" s="8"/>
      <c r="B9" s="8"/>
      <c r="C9" s="12" t="s">
        <v>682</v>
      </c>
      <c r="D9" s="140"/>
      <c r="E9" s="492">
        <v>1</v>
      </c>
      <c r="F9" s="235"/>
      <c r="G9" s="235"/>
      <c r="H9" s="235"/>
      <c r="I9" s="235">
        <v>8</v>
      </c>
      <c r="J9" s="235"/>
      <c r="K9" s="235"/>
      <c r="L9" s="9"/>
      <c r="M9" s="9"/>
      <c r="N9" s="9"/>
      <c r="O9" s="9"/>
      <c r="P9" s="12">
        <f>SUM(F9:O9)</f>
        <v>8</v>
      </c>
      <c r="Q9" s="491" t="s">
        <v>606</v>
      </c>
    </row>
    <row r="10" spans="1:17" ht="13.5" customHeight="1">
      <c r="A10" s="8"/>
      <c r="B10" s="8"/>
      <c r="C10" s="12" t="s">
        <v>104</v>
      </c>
      <c r="D10" s="140"/>
      <c r="E10" s="492">
        <v>2</v>
      </c>
      <c r="F10" s="235"/>
      <c r="G10" s="235"/>
      <c r="H10" s="235"/>
      <c r="I10" s="235">
        <v>1774</v>
      </c>
      <c r="J10" s="235"/>
      <c r="K10" s="235"/>
      <c r="L10" s="9"/>
      <c r="M10" s="9"/>
      <c r="N10" s="9"/>
      <c r="O10" s="9"/>
      <c r="P10" s="12">
        <f>SUM(F10:O10)</f>
        <v>1774</v>
      </c>
      <c r="Q10" s="491" t="s">
        <v>606</v>
      </c>
    </row>
    <row r="11" spans="1:17" ht="13.5" customHeight="1">
      <c r="A11" s="8"/>
      <c r="B11" s="8"/>
      <c r="C11" s="12" t="s">
        <v>576</v>
      </c>
      <c r="D11" s="140"/>
      <c r="E11" s="492">
        <v>1</v>
      </c>
      <c r="F11" s="235"/>
      <c r="G11" s="235"/>
      <c r="H11" s="235"/>
      <c r="I11" s="235">
        <v>6682</v>
      </c>
      <c r="J11" s="235"/>
      <c r="K11" s="235"/>
      <c r="L11" s="9"/>
      <c r="M11" s="9"/>
      <c r="N11" s="9"/>
      <c r="O11" s="9"/>
      <c r="P11" s="12">
        <f>SUM(F11:O11)</f>
        <v>6682</v>
      </c>
      <c r="Q11" s="491" t="s">
        <v>606</v>
      </c>
    </row>
    <row r="12" spans="1:17" ht="13.5" customHeight="1">
      <c r="A12" s="8"/>
      <c r="B12" s="8"/>
      <c r="C12" s="12" t="s">
        <v>107</v>
      </c>
      <c r="D12" s="140"/>
      <c r="E12" s="492">
        <v>1</v>
      </c>
      <c r="F12" s="235"/>
      <c r="G12" s="235"/>
      <c r="H12" s="235">
        <v>-2770</v>
      </c>
      <c r="I12" s="235">
        <v>4900</v>
      </c>
      <c r="J12" s="235"/>
      <c r="K12" s="235"/>
      <c r="L12" s="9"/>
      <c r="M12" s="9"/>
      <c r="N12" s="9"/>
      <c r="O12" s="9"/>
      <c r="P12" s="12">
        <f>SUM(F12:O12)</f>
        <v>2130</v>
      </c>
      <c r="Q12" s="491" t="s">
        <v>606</v>
      </c>
    </row>
    <row r="13" spans="1:17" ht="24.75" customHeight="1">
      <c r="A13" s="8"/>
      <c r="B13" s="8"/>
      <c r="C13" s="1209" t="s">
        <v>798</v>
      </c>
      <c r="D13" s="1210"/>
      <c r="E13" s="492"/>
      <c r="F13" s="235"/>
      <c r="G13" s="235"/>
      <c r="H13" s="235"/>
      <c r="I13" s="235"/>
      <c r="J13" s="235"/>
      <c r="K13" s="235"/>
      <c r="L13" s="9"/>
      <c r="M13" s="9"/>
      <c r="N13" s="9"/>
      <c r="O13" s="9"/>
      <c r="P13" s="12"/>
      <c r="Q13" s="491"/>
    </row>
    <row r="14" spans="1:17" ht="13.5" customHeight="1">
      <c r="A14" s="8"/>
      <c r="B14" s="8"/>
      <c r="C14" s="12" t="s">
        <v>799</v>
      </c>
      <c r="D14" s="140"/>
      <c r="E14" s="492">
        <v>1</v>
      </c>
      <c r="F14" s="235"/>
      <c r="G14" s="235"/>
      <c r="H14" s="235"/>
      <c r="I14" s="235">
        <v>10</v>
      </c>
      <c r="J14" s="235"/>
      <c r="K14" s="235"/>
      <c r="L14" s="9"/>
      <c r="M14" s="9"/>
      <c r="N14" s="9"/>
      <c r="O14" s="9"/>
      <c r="P14" s="12">
        <f>SUM(F14:O14)</f>
        <v>10</v>
      </c>
      <c r="Q14" s="491" t="s">
        <v>606</v>
      </c>
    </row>
    <row r="15" spans="1:17" ht="13.5" customHeight="1">
      <c r="A15" s="8"/>
      <c r="B15" s="8"/>
      <c r="C15" s="1251" t="s">
        <v>1553</v>
      </c>
      <c r="D15" s="1252"/>
      <c r="E15" s="492"/>
      <c r="F15" s="235"/>
      <c r="G15" s="235"/>
      <c r="H15" s="235"/>
      <c r="I15" s="235"/>
      <c r="J15" s="235"/>
      <c r="K15" s="235"/>
      <c r="L15" s="9"/>
      <c r="M15" s="9"/>
      <c r="N15" s="9"/>
      <c r="O15" s="9"/>
      <c r="P15" s="12"/>
      <c r="Q15" s="491"/>
    </row>
    <row r="16" spans="1:17" ht="13.5" customHeight="1">
      <c r="A16" s="8"/>
      <c r="B16" s="8"/>
      <c r="C16" s="91" t="s">
        <v>921</v>
      </c>
      <c r="D16" s="94"/>
      <c r="E16" s="492">
        <v>2</v>
      </c>
      <c r="F16" s="235"/>
      <c r="G16" s="235"/>
      <c r="H16" s="235">
        <v>-765</v>
      </c>
      <c r="I16" s="235"/>
      <c r="J16" s="235"/>
      <c r="K16" s="235"/>
      <c r="L16" s="9"/>
      <c r="M16" s="9"/>
      <c r="N16" s="9"/>
      <c r="O16" s="9"/>
      <c r="P16" s="12">
        <f>SUM(F16:O16)</f>
        <v>-765</v>
      </c>
      <c r="Q16" s="491" t="s">
        <v>606</v>
      </c>
    </row>
    <row r="17" spans="1:17" ht="24.75" customHeight="1">
      <c r="A17" s="8"/>
      <c r="B17" s="8"/>
      <c r="C17" s="732" t="s">
        <v>1459</v>
      </c>
      <c r="D17" s="733"/>
      <c r="E17" s="493"/>
      <c r="F17" s="235"/>
      <c r="G17" s="235"/>
      <c r="H17" s="235"/>
      <c r="I17" s="235"/>
      <c r="J17" s="235"/>
      <c r="K17" s="235"/>
      <c r="L17" s="9"/>
      <c r="M17" s="9"/>
      <c r="N17" s="9"/>
      <c r="O17" s="9"/>
      <c r="P17" s="12"/>
      <c r="Q17" s="491"/>
    </row>
    <row r="18" spans="1:17" ht="13.5" customHeight="1">
      <c r="A18" s="8"/>
      <c r="B18" s="8"/>
      <c r="C18" s="12" t="s">
        <v>53</v>
      </c>
      <c r="D18" s="140"/>
      <c r="E18" s="493">
        <v>2</v>
      </c>
      <c r="F18" s="235"/>
      <c r="G18" s="235"/>
      <c r="H18" s="235"/>
      <c r="I18" s="235">
        <v>-1774</v>
      </c>
      <c r="J18" s="235"/>
      <c r="K18" s="235"/>
      <c r="L18" s="9"/>
      <c r="M18" s="9"/>
      <c r="N18" s="9"/>
      <c r="O18" s="9"/>
      <c r="P18" s="12">
        <f>SUM(F18:O18)</f>
        <v>-1774</v>
      </c>
      <c r="Q18" s="491" t="s">
        <v>606</v>
      </c>
    </row>
    <row r="19" spans="1:17" ht="13.5" customHeight="1">
      <c r="A19" s="8"/>
      <c r="B19" s="8"/>
      <c r="C19" s="1214" t="s">
        <v>1458</v>
      </c>
      <c r="D19" s="1215"/>
      <c r="E19" s="493"/>
      <c r="F19" s="235"/>
      <c r="G19" s="235"/>
      <c r="H19" s="235"/>
      <c r="I19" s="235"/>
      <c r="J19" s="235"/>
      <c r="K19" s="235"/>
      <c r="L19" s="9"/>
      <c r="M19" s="9"/>
      <c r="N19" s="9"/>
      <c r="O19" s="9"/>
      <c r="P19" s="12"/>
      <c r="Q19" s="491"/>
    </row>
    <row r="20" spans="1:17" ht="13.5" customHeight="1">
      <c r="A20" s="8"/>
      <c r="B20" s="8"/>
      <c r="C20" s="64" t="s">
        <v>1695</v>
      </c>
      <c r="D20" s="140"/>
      <c r="E20" s="493">
        <v>1</v>
      </c>
      <c r="F20" s="235"/>
      <c r="G20" s="235"/>
      <c r="H20" s="235"/>
      <c r="I20" s="235"/>
      <c r="J20" s="235">
        <v>2000</v>
      </c>
      <c r="K20" s="235"/>
      <c r="L20" s="9"/>
      <c r="M20" s="9"/>
      <c r="N20" s="9"/>
      <c r="O20" s="9"/>
      <c r="P20" s="12">
        <f>SUM(H20:O20)</f>
        <v>2000</v>
      </c>
      <c r="Q20" s="491" t="s">
        <v>606</v>
      </c>
    </row>
    <row r="21" spans="1:17" ht="13.5" customHeight="1">
      <c r="A21" s="497"/>
      <c r="B21" s="497"/>
      <c r="C21" s="498" t="s">
        <v>686</v>
      </c>
      <c r="D21" s="499"/>
      <c r="E21" s="500"/>
      <c r="F21" s="501">
        <f aca="true" t="shared" si="0" ref="F21:M21">SUM(F5:F20)</f>
        <v>0</v>
      </c>
      <c r="G21" s="501">
        <f t="shared" si="0"/>
        <v>0</v>
      </c>
      <c r="H21" s="501">
        <f t="shared" si="0"/>
        <v>-3535</v>
      </c>
      <c r="I21" s="501">
        <f t="shared" si="0"/>
        <v>10600</v>
      </c>
      <c r="J21" s="501">
        <f t="shared" si="0"/>
        <v>2000</v>
      </c>
      <c r="K21" s="501">
        <f t="shared" si="0"/>
        <v>0</v>
      </c>
      <c r="L21" s="501">
        <f t="shared" si="0"/>
        <v>0</v>
      </c>
      <c r="M21" s="501">
        <f t="shared" si="0"/>
        <v>0</v>
      </c>
      <c r="N21" s="501"/>
      <c r="O21" s="501">
        <f>SUM(O5:O20)</f>
        <v>0</v>
      </c>
      <c r="P21" s="501">
        <f>SUM(P5:P20)</f>
        <v>9065</v>
      </c>
      <c r="Q21" s="502"/>
    </row>
    <row r="22" spans="1:17" ht="13.5" customHeight="1">
      <c r="A22" s="8"/>
      <c r="B22" s="8"/>
      <c r="C22" s="448" t="s">
        <v>687</v>
      </c>
      <c r="D22" s="59"/>
      <c r="E22" s="503"/>
      <c r="F22" s="9"/>
      <c r="G22" s="9"/>
      <c r="H22" s="9"/>
      <c r="I22" s="9"/>
      <c r="J22" s="9"/>
      <c r="K22" s="9">
        <f>'[3]7'!J7</f>
        <v>0</v>
      </c>
      <c r="L22" s="9"/>
      <c r="M22" s="9">
        <f>'[3]7'!K7</f>
        <v>0</v>
      </c>
      <c r="N22" s="9"/>
      <c r="O22" s="9"/>
      <c r="P22" s="12">
        <f>SUM(F22:O22)</f>
        <v>0</v>
      </c>
      <c r="Q22" s="491"/>
    </row>
    <row r="23" spans="1:17" ht="13.5" customHeight="1">
      <c r="A23" s="8"/>
      <c r="B23" s="8"/>
      <c r="C23" s="448" t="s">
        <v>1874</v>
      </c>
      <c r="D23" s="59"/>
      <c r="E23" s="503"/>
      <c r="F23" s="9"/>
      <c r="G23" s="9"/>
      <c r="H23" s="9"/>
      <c r="I23" s="9"/>
      <c r="J23" s="9"/>
      <c r="K23" s="9"/>
      <c r="L23" s="9"/>
      <c r="M23" s="9"/>
      <c r="N23" s="9"/>
      <c r="O23" s="9"/>
      <c r="P23" s="12">
        <f>SUM(F23:O23)</f>
        <v>0</v>
      </c>
      <c r="Q23" s="491"/>
    </row>
    <row r="24" spans="1:17" ht="13.5" customHeight="1">
      <c r="A24" s="497"/>
      <c r="B24" s="497"/>
      <c r="C24" s="498" t="s">
        <v>253</v>
      </c>
      <c r="D24" s="499"/>
      <c r="E24" s="504"/>
      <c r="F24" s="501">
        <f aca="true" t="shared" si="1" ref="F24:M24">SUM(F21:F23)</f>
        <v>0</v>
      </c>
      <c r="G24" s="501">
        <f t="shared" si="1"/>
        <v>0</v>
      </c>
      <c r="H24" s="501">
        <f t="shared" si="1"/>
        <v>-3535</v>
      </c>
      <c r="I24" s="501">
        <f t="shared" si="1"/>
        <v>10600</v>
      </c>
      <c r="J24" s="501">
        <f t="shared" si="1"/>
        <v>2000</v>
      </c>
      <c r="K24" s="501">
        <f t="shared" si="1"/>
        <v>0</v>
      </c>
      <c r="L24" s="501">
        <f t="shared" si="1"/>
        <v>0</v>
      </c>
      <c r="M24" s="501">
        <f t="shared" si="1"/>
        <v>0</v>
      </c>
      <c r="N24" s="501"/>
      <c r="O24" s="501">
        <f>SUM(O21:O23)</f>
        <v>0</v>
      </c>
      <c r="P24" s="501">
        <f>SUM(P21:P23)</f>
        <v>9065</v>
      </c>
      <c r="Q24" s="502"/>
    </row>
    <row r="25" spans="1:17" ht="13.5" customHeight="1">
      <c r="A25" s="63">
        <v>1</v>
      </c>
      <c r="B25" s="63">
        <v>13</v>
      </c>
      <c r="C25" s="46" t="s">
        <v>250</v>
      </c>
      <c r="D25" s="74"/>
      <c r="E25" s="505"/>
      <c r="F25" s="9"/>
      <c r="G25" s="9"/>
      <c r="H25" s="9"/>
      <c r="I25" s="9"/>
      <c r="J25" s="9"/>
      <c r="K25" s="9"/>
      <c r="L25" s="9"/>
      <c r="M25" s="9"/>
      <c r="N25" s="9"/>
      <c r="O25" s="9"/>
      <c r="P25" s="12"/>
      <c r="Q25" s="491"/>
    </row>
    <row r="26" spans="1:17" ht="13.5" customHeight="1">
      <c r="A26" s="63"/>
      <c r="B26" s="63"/>
      <c r="C26" s="506" t="s">
        <v>1234</v>
      </c>
      <c r="D26" s="74"/>
      <c r="E26" s="505"/>
      <c r="F26" s="9"/>
      <c r="G26" s="9"/>
      <c r="H26" s="9"/>
      <c r="I26" s="9"/>
      <c r="J26" s="9"/>
      <c r="K26" s="9"/>
      <c r="L26" s="9"/>
      <c r="M26" s="9"/>
      <c r="N26" s="9"/>
      <c r="O26" s="9"/>
      <c r="P26" s="12"/>
      <c r="Q26" s="491"/>
    </row>
    <row r="27" spans="1:17" ht="13.5" customHeight="1">
      <c r="A27" s="63"/>
      <c r="B27" s="63"/>
      <c r="C27" s="64" t="s">
        <v>1461</v>
      </c>
      <c r="D27" s="136"/>
      <c r="E27" s="507"/>
      <c r="F27" s="9"/>
      <c r="G27" s="9"/>
      <c r="H27" s="235"/>
      <c r="I27" s="235"/>
      <c r="J27" s="235"/>
      <c r="K27" s="9"/>
      <c r="L27" s="9"/>
      <c r="M27" s="9"/>
      <c r="N27" s="9"/>
      <c r="O27" s="9"/>
      <c r="P27" s="12"/>
      <c r="Q27" s="491"/>
    </row>
    <row r="28" spans="1:17" ht="13.5" customHeight="1">
      <c r="A28" s="63"/>
      <c r="B28" s="63"/>
      <c r="C28" s="14" t="s">
        <v>891</v>
      </c>
      <c r="D28" s="136"/>
      <c r="E28" s="507">
        <v>2</v>
      </c>
      <c r="F28" s="9"/>
      <c r="G28" s="9"/>
      <c r="H28" s="235"/>
      <c r="I28" s="235">
        <v>-1300</v>
      </c>
      <c r="J28" s="235"/>
      <c r="K28" s="9"/>
      <c r="L28" s="9"/>
      <c r="M28" s="9"/>
      <c r="N28" s="9"/>
      <c r="O28" s="9"/>
      <c r="P28" s="12">
        <f>SUM(F28:O28)</f>
        <v>-1300</v>
      </c>
      <c r="Q28" s="491" t="s">
        <v>606</v>
      </c>
    </row>
    <row r="29" spans="1:17" ht="24.75" customHeight="1">
      <c r="A29" s="63"/>
      <c r="B29" s="63"/>
      <c r="C29" s="1266" t="s">
        <v>281</v>
      </c>
      <c r="D29" s="1267"/>
      <c r="E29" s="507">
        <v>2</v>
      </c>
      <c r="F29" s="9"/>
      <c r="G29" s="9"/>
      <c r="H29" s="235">
        <v>-150</v>
      </c>
      <c r="I29" s="235"/>
      <c r="J29" s="235">
        <v>400</v>
      </c>
      <c r="K29" s="235"/>
      <c r="L29" s="9"/>
      <c r="M29" s="9"/>
      <c r="N29" s="9"/>
      <c r="O29" s="9"/>
      <c r="P29" s="12">
        <f>SUM(F29:O29)</f>
        <v>250</v>
      </c>
      <c r="Q29" s="491" t="s">
        <v>606</v>
      </c>
    </row>
    <row r="30" spans="1:17" ht="24.75" customHeight="1">
      <c r="A30" s="63"/>
      <c r="B30" s="63"/>
      <c r="C30" s="1266" t="s">
        <v>689</v>
      </c>
      <c r="D30" s="1267"/>
      <c r="E30" s="507">
        <v>2</v>
      </c>
      <c r="F30" s="9"/>
      <c r="G30" s="9"/>
      <c r="H30" s="235">
        <v>-378</v>
      </c>
      <c r="I30" s="235"/>
      <c r="J30" s="235">
        <v>378</v>
      </c>
      <c r="K30" s="235"/>
      <c r="L30" s="9"/>
      <c r="M30" s="9"/>
      <c r="N30" s="9"/>
      <c r="O30" s="9"/>
      <c r="P30" s="12">
        <f>SUM(F30:O30)</f>
        <v>0</v>
      </c>
      <c r="Q30" s="491" t="s">
        <v>643</v>
      </c>
    </row>
    <row r="31" spans="1:17" ht="24.75" customHeight="1">
      <c r="A31" s="63"/>
      <c r="B31" s="63"/>
      <c r="C31" s="1480" t="s">
        <v>577</v>
      </c>
      <c r="D31" s="1481"/>
      <c r="E31" s="507">
        <v>2</v>
      </c>
      <c r="F31" s="9"/>
      <c r="G31" s="9"/>
      <c r="H31" s="235"/>
      <c r="I31" s="235"/>
      <c r="J31" s="235">
        <v>10000</v>
      </c>
      <c r="K31" s="235"/>
      <c r="L31" s="9"/>
      <c r="M31" s="9"/>
      <c r="N31" s="9"/>
      <c r="O31" s="9"/>
      <c r="P31" s="12">
        <f>SUM(F31:O31)</f>
        <v>10000</v>
      </c>
      <c r="Q31" s="491" t="s">
        <v>606</v>
      </c>
    </row>
    <row r="32" spans="1:17" ht="36" customHeight="1">
      <c r="A32" s="63"/>
      <c r="B32" s="63"/>
      <c r="C32" s="1366" t="s">
        <v>803</v>
      </c>
      <c r="D32" s="1473"/>
      <c r="E32" s="508">
        <v>2</v>
      </c>
      <c r="F32" s="235"/>
      <c r="G32" s="235"/>
      <c r="H32" s="235">
        <v>106900</v>
      </c>
      <c r="I32" s="235"/>
      <c r="J32" s="235"/>
      <c r="K32" s="9"/>
      <c r="L32" s="9"/>
      <c r="M32" s="9"/>
      <c r="N32" s="9"/>
      <c r="O32" s="9"/>
      <c r="P32" s="12">
        <f>SUM(F32:O32)</f>
        <v>106900</v>
      </c>
      <c r="Q32" s="491" t="s">
        <v>606</v>
      </c>
    </row>
    <row r="33" spans="1:17" ht="24.75" customHeight="1">
      <c r="A33" s="63"/>
      <c r="B33" s="63"/>
      <c r="C33" s="1266" t="s">
        <v>804</v>
      </c>
      <c r="D33" s="1267"/>
      <c r="E33" s="508"/>
      <c r="F33" s="235"/>
      <c r="G33" s="235"/>
      <c r="H33" s="235"/>
      <c r="I33" s="235"/>
      <c r="J33" s="235"/>
      <c r="K33" s="9"/>
      <c r="L33" s="9"/>
      <c r="M33" s="9"/>
      <c r="N33" s="9"/>
      <c r="O33" s="9"/>
      <c r="P33" s="12"/>
      <c r="Q33" s="491"/>
    </row>
    <row r="34" spans="1:17" ht="24.75" customHeight="1">
      <c r="A34" s="63"/>
      <c r="B34" s="63"/>
      <c r="C34" s="1266" t="s">
        <v>1105</v>
      </c>
      <c r="D34" s="1267"/>
      <c r="E34" s="508">
        <v>2</v>
      </c>
      <c r="F34" s="235"/>
      <c r="G34" s="235"/>
      <c r="H34" s="235"/>
      <c r="I34" s="235"/>
      <c r="J34" s="235">
        <v>-400</v>
      </c>
      <c r="K34" s="9"/>
      <c r="L34" s="9"/>
      <c r="M34" s="9"/>
      <c r="N34" s="9"/>
      <c r="O34" s="9"/>
      <c r="P34" s="12">
        <f>SUM(F34:O34)</f>
        <v>-400</v>
      </c>
      <c r="Q34" s="491" t="s">
        <v>606</v>
      </c>
    </row>
    <row r="35" spans="1:17" ht="15.75" customHeight="1">
      <c r="A35" s="63"/>
      <c r="B35" s="63"/>
      <c r="C35" s="1326" t="s">
        <v>1235</v>
      </c>
      <c r="D35" s="1327"/>
      <c r="E35" s="508"/>
      <c r="F35" s="235"/>
      <c r="G35" s="235"/>
      <c r="H35" s="235"/>
      <c r="I35" s="235"/>
      <c r="J35" s="235"/>
      <c r="K35" s="9"/>
      <c r="L35" s="9"/>
      <c r="M35" s="9"/>
      <c r="N35" s="9"/>
      <c r="O35" s="9"/>
      <c r="P35" s="12"/>
      <c r="Q35" s="491"/>
    </row>
    <row r="36" spans="1:17" ht="24.75" customHeight="1">
      <c r="A36" s="63"/>
      <c r="B36" s="63"/>
      <c r="C36" s="1266" t="s">
        <v>1463</v>
      </c>
      <c r="D36" s="1267"/>
      <c r="E36" s="508"/>
      <c r="F36" s="235"/>
      <c r="G36" s="235"/>
      <c r="H36" s="235"/>
      <c r="I36" s="235"/>
      <c r="J36" s="235"/>
      <c r="K36" s="9"/>
      <c r="L36" s="9"/>
      <c r="M36" s="9"/>
      <c r="N36" s="9"/>
      <c r="O36" s="9"/>
      <c r="P36" s="12"/>
      <c r="Q36" s="491"/>
    </row>
    <row r="37" spans="1:17" ht="15" customHeight="1">
      <c r="A37" s="63"/>
      <c r="B37" s="63"/>
      <c r="C37" s="1266" t="s">
        <v>1877</v>
      </c>
      <c r="D37" s="1267"/>
      <c r="E37" s="508">
        <v>2</v>
      </c>
      <c r="F37" s="235"/>
      <c r="G37" s="235"/>
      <c r="H37" s="235">
        <v>439</v>
      </c>
      <c r="I37" s="235"/>
      <c r="J37" s="235">
        <v>-200</v>
      </c>
      <c r="K37" s="9"/>
      <c r="L37" s="9"/>
      <c r="M37" s="9"/>
      <c r="N37" s="9"/>
      <c r="O37" s="9"/>
      <c r="P37" s="12">
        <f>SUM(F37:O37)</f>
        <v>239</v>
      </c>
      <c r="Q37" s="491" t="s">
        <v>606</v>
      </c>
    </row>
    <row r="38" spans="1:17" ht="15" customHeight="1">
      <c r="A38" s="63"/>
      <c r="B38" s="63"/>
      <c r="C38" s="14" t="s">
        <v>1878</v>
      </c>
      <c r="D38" s="442"/>
      <c r="E38" s="508">
        <v>2</v>
      </c>
      <c r="F38" s="235"/>
      <c r="G38" s="235"/>
      <c r="H38" s="235">
        <v>-439</v>
      </c>
      <c r="I38" s="235"/>
      <c r="J38" s="235"/>
      <c r="K38" s="9"/>
      <c r="L38" s="9"/>
      <c r="M38" s="9"/>
      <c r="N38" s="9"/>
      <c r="O38" s="9"/>
      <c r="P38" s="12">
        <f>SUM(F38:O38)</f>
        <v>-439</v>
      </c>
      <c r="Q38" s="491" t="s">
        <v>606</v>
      </c>
    </row>
    <row r="39" spans="1:17" ht="15" customHeight="1">
      <c r="A39" s="63"/>
      <c r="B39" s="63"/>
      <c r="C39" s="14" t="s">
        <v>1108</v>
      </c>
      <c r="D39" s="442"/>
      <c r="E39" s="508">
        <v>2</v>
      </c>
      <c r="F39" s="235"/>
      <c r="G39" s="235"/>
      <c r="H39" s="235">
        <v>-1000</v>
      </c>
      <c r="I39" s="235"/>
      <c r="J39" s="235">
        <v>1000</v>
      </c>
      <c r="K39" s="9"/>
      <c r="L39" s="9"/>
      <c r="M39" s="9"/>
      <c r="N39" s="9"/>
      <c r="O39" s="9"/>
      <c r="P39" s="12">
        <f>SUM(F39:O39)</f>
        <v>0</v>
      </c>
      <c r="Q39" s="491" t="s">
        <v>606</v>
      </c>
    </row>
    <row r="40" spans="1:17" ht="15" customHeight="1">
      <c r="A40" s="63"/>
      <c r="B40" s="63"/>
      <c r="C40" s="64" t="s">
        <v>1464</v>
      </c>
      <c r="D40" s="65"/>
      <c r="E40" s="511"/>
      <c r="F40" s="9"/>
      <c r="G40" s="9"/>
      <c r="H40" s="235"/>
      <c r="I40" s="235"/>
      <c r="J40" s="235"/>
      <c r="K40" s="9"/>
      <c r="L40" s="9"/>
      <c r="M40" s="9"/>
      <c r="N40" s="9"/>
      <c r="O40" s="9"/>
      <c r="P40" s="12"/>
      <c r="Q40" s="491"/>
    </row>
    <row r="41" spans="1:17" ht="13.5" customHeight="1">
      <c r="A41" s="63"/>
      <c r="B41" s="63"/>
      <c r="C41" s="14" t="s">
        <v>690</v>
      </c>
      <c r="D41" s="65"/>
      <c r="E41" s="493">
        <v>2</v>
      </c>
      <c r="F41" s="235">
        <v>110</v>
      </c>
      <c r="G41" s="9"/>
      <c r="H41" s="235">
        <v>-350</v>
      </c>
      <c r="I41" s="235"/>
      <c r="J41" s="235"/>
      <c r="K41" s="9"/>
      <c r="L41" s="9"/>
      <c r="M41" s="9"/>
      <c r="N41" s="9"/>
      <c r="O41" s="9"/>
      <c r="P41" s="12">
        <f>SUM(F41:O41)</f>
        <v>-240</v>
      </c>
      <c r="Q41" s="491" t="s">
        <v>606</v>
      </c>
    </row>
    <row r="42" spans="1:17" ht="13.5" customHeight="1">
      <c r="A42" s="63"/>
      <c r="B42" s="63"/>
      <c r="C42" s="1474" t="s">
        <v>1459</v>
      </c>
      <c r="D42" s="1475"/>
      <c r="E42" s="492"/>
      <c r="F42" s="9"/>
      <c r="G42" s="9"/>
      <c r="H42" s="235"/>
      <c r="I42" s="235"/>
      <c r="J42" s="235"/>
      <c r="K42" s="9"/>
      <c r="L42" s="9"/>
      <c r="M42" s="9"/>
      <c r="N42" s="9"/>
      <c r="O42" s="9"/>
      <c r="P42" s="12"/>
      <c r="Q42" s="491"/>
    </row>
    <row r="43" spans="1:17" ht="13.5" customHeight="1">
      <c r="A43" s="63"/>
      <c r="B43" s="63"/>
      <c r="C43" s="1214" t="s">
        <v>392</v>
      </c>
      <c r="D43" s="1348"/>
      <c r="E43" s="510">
        <v>2</v>
      </c>
      <c r="F43" s="9"/>
      <c r="G43" s="9"/>
      <c r="H43" s="235"/>
      <c r="I43" s="235">
        <v>1500</v>
      </c>
      <c r="J43" s="235"/>
      <c r="K43" s="9"/>
      <c r="L43" s="9"/>
      <c r="M43" s="9"/>
      <c r="N43" s="9"/>
      <c r="O43" s="9"/>
      <c r="P43" s="12">
        <f>SUM(F43:O43)</f>
        <v>1500</v>
      </c>
      <c r="Q43" s="491" t="s">
        <v>606</v>
      </c>
    </row>
    <row r="44" spans="1:17" ht="13.5" customHeight="1">
      <c r="A44" s="63"/>
      <c r="B44" s="63"/>
      <c r="C44" s="732" t="s">
        <v>1465</v>
      </c>
      <c r="D44" s="733"/>
      <c r="E44" s="1203"/>
      <c r="F44" s="9"/>
      <c r="G44" s="9"/>
      <c r="H44" s="235"/>
      <c r="I44" s="235"/>
      <c r="J44" s="235"/>
      <c r="K44" s="9"/>
      <c r="L44" s="9"/>
      <c r="M44" s="9"/>
      <c r="N44" s="9"/>
      <c r="O44" s="9"/>
      <c r="P44" s="12"/>
      <c r="Q44" s="491"/>
    </row>
    <row r="45" spans="1:17" ht="24.75" customHeight="1">
      <c r="A45" s="63"/>
      <c r="B45" s="63"/>
      <c r="C45" s="1266" t="s">
        <v>578</v>
      </c>
      <c r="D45" s="1267"/>
      <c r="E45" s="1203">
        <v>2</v>
      </c>
      <c r="F45" s="9"/>
      <c r="G45" s="9"/>
      <c r="H45" s="235"/>
      <c r="I45" s="235"/>
      <c r="J45" s="235">
        <v>1000</v>
      </c>
      <c r="K45" s="9"/>
      <c r="L45" s="9"/>
      <c r="M45" s="9"/>
      <c r="N45" s="9"/>
      <c r="O45" s="9"/>
      <c r="P45" s="12">
        <f>SUM(F45:O45)</f>
        <v>1000</v>
      </c>
      <c r="Q45" s="491" t="s">
        <v>606</v>
      </c>
    </row>
    <row r="46" spans="1:17" ht="15" customHeight="1">
      <c r="A46" s="63"/>
      <c r="B46" s="63"/>
      <c r="C46" s="732" t="s">
        <v>579</v>
      </c>
      <c r="D46" s="733"/>
      <c r="E46" s="1203"/>
      <c r="F46" s="9"/>
      <c r="G46" s="9"/>
      <c r="H46" s="235"/>
      <c r="I46" s="235"/>
      <c r="J46" s="235"/>
      <c r="K46" s="9"/>
      <c r="L46" s="9"/>
      <c r="M46" s="9"/>
      <c r="N46" s="9"/>
      <c r="O46" s="9"/>
      <c r="P46" s="12"/>
      <c r="Q46" s="491"/>
    </row>
    <row r="47" spans="1:17" ht="15" customHeight="1">
      <c r="A47" s="63"/>
      <c r="B47" s="63"/>
      <c r="C47" s="14" t="s">
        <v>1880</v>
      </c>
      <c r="D47" s="442"/>
      <c r="E47" s="1203">
        <v>2</v>
      </c>
      <c r="F47" s="9"/>
      <c r="G47" s="9"/>
      <c r="H47" s="235"/>
      <c r="I47" s="235"/>
      <c r="J47" s="235">
        <v>-100</v>
      </c>
      <c r="K47" s="9"/>
      <c r="L47" s="9"/>
      <c r="M47" s="9"/>
      <c r="N47" s="9"/>
      <c r="O47" s="9"/>
      <c r="P47" s="12">
        <f>SUM(F47:O47)</f>
        <v>-100</v>
      </c>
      <c r="Q47" s="491" t="s">
        <v>606</v>
      </c>
    </row>
    <row r="48" spans="1:17" ht="15" customHeight="1">
      <c r="A48" s="63"/>
      <c r="B48" s="63"/>
      <c r="C48" s="1266" t="s">
        <v>580</v>
      </c>
      <c r="D48" s="1267"/>
      <c r="E48" s="1203"/>
      <c r="F48" s="9"/>
      <c r="G48" s="9"/>
      <c r="H48" s="235"/>
      <c r="I48" s="235"/>
      <c r="J48" s="235"/>
      <c r="K48" s="9"/>
      <c r="L48" s="9"/>
      <c r="M48" s="9"/>
      <c r="N48" s="9"/>
      <c r="O48" s="9"/>
      <c r="P48" s="12"/>
      <c r="Q48" s="491"/>
    </row>
    <row r="49" spans="1:17" ht="15" customHeight="1">
      <c r="A49" s="63"/>
      <c r="B49" s="63"/>
      <c r="C49" s="1266" t="s">
        <v>692</v>
      </c>
      <c r="D49" s="1267"/>
      <c r="E49" s="1203">
        <v>2</v>
      </c>
      <c r="F49" s="9"/>
      <c r="G49" s="9"/>
      <c r="H49" s="235"/>
      <c r="I49" s="235"/>
      <c r="J49" s="235">
        <v>-150</v>
      </c>
      <c r="K49" s="9"/>
      <c r="L49" s="9"/>
      <c r="M49" s="9"/>
      <c r="N49" s="9"/>
      <c r="O49" s="9"/>
      <c r="P49" s="12">
        <f>SUM(F49:O49)</f>
        <v>-150</v>
      </c>
      <c r="Q49" s="491" t="s">
        <v>606</v>
      </c>
    </row>
    <row r="50" spans="1:17" ht="13.5" customHeight="1">
      <c r="A50" s="63"/>
      <c r="B50" s="63"/>
      <c r="C50" s="1342" t="s">
        <v>365</v>
      </c>
      <c r="D50" s="1343"/>
      <c r="E50" s="496"/>
      <c r="F50" s="9"/>
      <c r="G50" s="9"/>
      <c r="H50" s="235"/>
      <c r="I50" s="235"/>
      <c r="J50" s="235"/>
      <c r="K50" s="9"/>
      <c r="L50" s="9"/>
      <c r="M50" s="9"/>
      <c r="N50" s="9"/>
      <c r="O50" s="9"/>
      <c r="P50" s="12"/>
      <c r="Q50" s="491"/>
    </row>
    <row r="51" spans="1:17" ht="24.75" customHeight="1">
      <c r="A51" s="63"/>
      <c r="B51" s="63"/>
      <c r="C51" s="1476" t="s">
        <v>1467</v>
      </c>
      <c r="D51" s="1477"/>
      <c r="E51" s="492"/>
      <c r="F51" s="9"/>
      <c r="G51" s="9"/>
      <c r="H51" s="235"/>
      <c r="I51" s="235"/>
      <c r="J51" s="235"/>
      <c r="K51" s="9"/>
      <c r="L51" s="9"/>
      <c r="M51" s="9"/>
      <c r="N51" s="9"/>
      <c r="O51" s="9"/>
      <c r="P51" s="12"/>
      <c r="Q51" s="491"/>
    </row>
    <row r="52" spans="1:17" ht="13.5" customHeight="1">
      <c r="A52" s="63"/>
      <c r="B52" s="63"/>
      <c r="C52" s="1263" t="s">
        <v>391</v>
      </c>
      <c r="D52" s="1264"/>
      <c r="E52" s="493">
        <v>2</v>
      </c>
      <c r="F52" s="9"/>
      <c r="G52" s="9"/>
      <c r="H52" s="235">
        <v>-1400</v>
      </c>
      <c r="I52" s="235"/>
      <c r="J52" s="235"/>
      <c r="K52" s="9"/>
      <c r="L52" s="9"/>
      <c r="M52" s="9"/>
      <c r="N52" s="9"/>
      <c r="O52" s="9"/>
      <c r="P52" s="12">
        <f>SUM(F52:O52)</f>
        <v>-1400</v>
      </c>
      <c r="Q52" s="491" t="s">
        <v>606</v>
      </c>
    </row>
    <row r="53" spans="1:17" ht="13.5" customHeight="1">
      <c r="A53" s="63"/>
      <c r="B53" s="63"/>
      <c r="C53" s="730" t="s">
        <v>1558</v>
      </c>
      <c r="D53" s="731"/>
      <c r="E53" s="493"/>
      <c r="F53" s="9"/>
      <c r="G53" s="9"/>
      <c r="H53" s="235"/>
      <c r="I53" s="235"/>
      <c r="J53" s="235"/>
      <c r="K53" s="9"/>
      <c r="L53" s="9"/>
      <c r="M53" s="9"/>
      <c r="N53" s="9"/>
      <c r="O53" s="9"/>
      <c r="P53" s="12">
        <f>SUM(F53:O53)</f>
        <v>0</v>
      </c>
      <c r="Q53" s="491"/>
    </row>
    <row r="54" spans="1:17" ht="13.5" customHeight="1">
      <c r="A54" s="63"/>
      <c r="B54" s="63"/>
      <c r="C54" s="14" t="s">
        <v>1103</v>
      </c>
      <c r="D54" s="65"/>
      <c r="E54" s="493">
        <v>1</v>
      </c>
      <c r="F54" s="9"/>
      <c r="G54" s="9"/>
      <c r="H54" s="235"/>
      <c r="I54" s="235"/>
      <c r="J54" s="235">
        <v>-1068</v>
      </c>
      <c r="K54" s="9"/>
      <c r="L54" s="9"/>
      <c r="M54" s="9"/>
      <c r="N54" s="9"/>
      <c r="O54" s="9"/>
      <c r="P54" s="12">
        <f>SUM(F54:O54)</f>
        <v>-1068</v>
      </c>
      <c r="Q54" s="491" t="s">
        <v>606</v>
      </c>
    </row>
    <row r="55" spans="1:17" ht="13.5" customHeight="1">
      <c r="A55" s="63"/>
      <c r="B55" s="63"/>
      <c r="C55" s="513" t="s">
        <v>1686</v>
      </c>
      <c r="D55" s="514"/>
      <c r="E55" s="493"/>
      <c r="F55" s="9"/>
      <c r="G55" s="9"/>
      <c r="H55" s="235"/>
      <c r="I55" s="235"/>
      <c r="J55" s="235"/>
      <c r="K55" s="9"/>
      <c r="L55" s="9"/>
      <c r="M55" s="9"/>
      <c r="N55" s="9"/>
      <c r="O55" s="9"/>
      <c r="P55" s="12"/>
      <c r="Q55" s="15"/>
    </row>
    <row r="56" spans="1:17" ht="13.5" customHeight="1">
      <c r="A56" s="63"/>
      <c r="B56" s="63"/>
      <c r="C56" s="1214" t="s">
        <v>1561</v>
      </c>
      <c r="D56" s="1215"/>
      <c r="E56" s="493"/>
      <c r="F56" s="9"/>
      <c r="G56" s="9"/>
      <c r="H56" s="235"/>
      <c r="I56" s="235"/>
      <c r="J56" s="235"/>
      <c r="K56" s="9"/>
      <c r="L56" s="9"/>
      <c r="M56" s="9"/>
      <c r="N56" s="9"/>
      <c r="O56" s="9"/>
      <c r="P56" s="12"/>
      <c r="Q56" s="15"/>
    </row>
    <row r="57" spans="1:17" ht="13.5" customHeight="1">
      <c r="A57" s="63"/>
      <c r="B57" s="63"/>
      <c r="C57" s="15" t="s">
        <v>1501</v>
      </c>
      <c r="D57" s="514"/>
      <c r="E57" s="493">
        <v>1</v>
      </c>
      <c r="F57" s="9"/>
      <c r="G57" s="9"/>
      <c r="H57" s="235">
        <v>700</v>
      </c>
      <c r="I57" s="235"/>
      <c r="J57" s="235">
        <v>-700</v>
      </c>
      <c r="K57" s="9"/>
      <c r="L57" s="9"/>
      <c r="M57" s="9"/>
      <c r="N57" s="9"/>
      <c r="O57" s="9"/>
      <c r="P57" s="12">
        <v>0</v>
      </c>
      <c r="Q57" s="15" t="s">
        <v>606</v>
      </c>
    </row>
    <row r="58" spans="1:17" ht="13.5" customHeight="1">
      <c r="A58" s="68"/>
      <c r="B58" s="68"/>
      <c r="C58" s="517" t="s">
        <v>251</v>
      </c>
      <c r="D58" s="518"/>
      <c r="E58" s="68"/>
      <c r="F58" s="501">
        <f aca="true" t="shared" si="2" ref="F58:P58">SUM(F27:F57)</f>
        <v>110</v>
      </c>
      <c r="G58" s="501">
        <f t="shared" si="2"/>
        <v>0</v>
      </c>
      <c r="H58" s="501">
        <f t="shared" si="2"/>
        <v>104322</v>
      </c>
      <c r="I58" s="501">
        <f t="shared" si="2"/>
        <v>200</v>
      </c>
      <c r="J58" s="501">
        <f t="shared" si="2"/>
        <v>10160</v>
      </c>
      <c r="K58" s="501">
        <f t="shared" si="2"/>
        <v>0</v>
      </c>
      <c r="L58" s="501">
        <f t="shared" si="2"/>
        <v>0</v>
      </c>
      <c r="M58" s="501">
        <f t="shared" si="2"/>
        <v>0</v>
      </c>
      <c r="N58" s="501">
        <f t="shared" si="2"/>
        <v>0</v>
      </c>
      <c r="O58" s="501">
        <f t="shared" si="2"/>
        <v>0</v>
      </c>
      <c r="P58" s="501">
        <f t="shared" si="2"/>
        <v>114792</v>
      </c>
      <c r="Q58" s="501"/>
    </row>
    <row r="59" spans="1:17" ht="13.5" customHeight="1">
      <c r="A59" s="8"/>
      <c r="B59" s="8"/>
      <c r="C59" s="14" t="s">
        <v>1110</v>
      </c>
      <c r="D59" s="59"/>
      <c r="E59" s="78"/>
      <c r="F59" s="9"/>
      <c r="G59" s="9"/>
      <c r="H59" s="9"/>
      <c r="I59" s="9"/>
      <c r="J59" s="9"/>
      <c r="K59" s="235">
        <f>'[3]7'!J34</f>
        <v>-158902</v>
      </c>
      <c r="L59" s="235"/>
      <c r="M59" s="235">
        <f>'[3]7'!K34</f>
        <v>54902</v>
      </c>
      <c r="N59" s="235"/>
      <c r="O59" s="8"/>
      <c r="P59" s="12">
        <f>SUM(F59:O59)</f>
        <v>-104000</v>
      </c>
      <c r="Q59" s="491"/>
    </row>
    <row r="60" spans="1:17" ht="13.5" customHeight="1">
      <c r="A60" s="8"/>
      <c r="B60" s="8"/>
      <c r="C60" s="14" t="s">
        <v>1874</v>
      </c>
      <c r="D60" s="59"/>
      <c r="E60" s="78"/>
      <c r="F60" s="9"/>
      <c r="G60" s="9"/>
      <c r="H60" s="9"/>
      <c r="I60" s="9"/>
      <c r="J60" s="9"/>
      <c r="K60" s="235"/>
      <c r="L60" s="235">
        <f>'[3]8'!J50</f>
        <v>7063</v>
      </c>
      <c r="M60" s="235">
        <f>'[3]8'!K50</f>
        <v>1567</v>
      </c>
      <c r="N60" s="235"/>
      <c r="O60" s="8"/>
      <c r="P60" s="12">
        <f>SUM(F60:O60)</f>
        <v>8630</v>
      </c>
      <c r="Q60" s="491"/>
    </row>
    <row r="61" spans="1:17" ht="13.5" customHeight="1">
      <c r="A61" s="497"/>
      <c r="B61" s="497"/>
      <c r="C61" s="71" t="s">
        <v>252</v>
      </c>
      <c r="D61" s="499"/>
      <c r="E61" s="500"/>
      <c r="F61" s="501">
        <f aca="true" t="shared" si="3" ref="F61:P61">SUM(F58:F60)</f>
        <v>110</v>
      </c>
      <c r="G61" s="501">
        <f t="shared" si="3"/>
        <v>0</v>
      </c>
      <c r="H61" s="501">
        <f t="shared" si="3"/>
        <v>104322</v>
      </c>
      <c r="I61" s="501">
        <f t="shared" si="3"/>
        <v>200</v>
      </c>
      <c r="J61" s="501">
        <f t="shared" si="3"/>
        <v>10160</v>
      </c>
      <c r="K61" s="501">
        <f t="shared" si="3"/>
        <v>-158902</v>
      </c>
      <c r="L61" s="501">
        <f t="shared" si="3"/>
        <v>7063</v>
      </c>
      <c r="M61" s="501">
        <f t="shared" si="3"/>
        <v>56469</v>
      </c>
      <c r="N61" s="501">
        <f t="shared" si="3"/>
        <v>0</v>
      </c>
      <c r="O61" s="501">
        <f t="shared" si="3"/>
        <v>0</v>
      </c>
      <c r="P61" s="501">
        <f t="shared" si="3"/>
        <v>19422</v>
      </c>
      <c r="Q61" s="502"/>
    </row>
    <row r="62" spans="1:17" ht="13.5" customHeight="1">
      <c r="A62" s="8">
        <v>1</v>
      </c>
      <c r="B62" s="8">
        <v>15</v>
      </c>
      <c r="C62" s="519" t="s">
        <v>1111</v>
      </c>
      <c r="D62" s="514"/>
      <c r="E62" s="63"/>
      <c r="F62" s="9"/>
      <c r="G62" s="9"/>
      <c r="H62" s="9"/>
      <c r="I62" s="9"/>
      <c r="J62" s="9"/>
      <c r="K62" s="520"/>
      <c r="L62" s="520"/>
      <c r="M62" s="520"/>
      <c r="N62" s="520"/>
      <c r="O62" s="9"/>
      <c r="P62" s="12"/>
      <c r="Q62" s="521"/>
    </row>
    <row r="63" spans="1:17" ht="13.5" customHeight="1">
      <c r="A63" s="8"/>
      <c r="B63" s="8"/>
      <c r="C63" s="80" t="s">
        <v>1564</v>
      </c>
      <c r="D63" s="522" t="s">
        <v>912</v>
      </c>
      <c r="E63" s="78"/>
      <c r="F63" s="9"/>
      <c r="G63" s="9"/>
      <c r="H63" s="9"/>
      <c r="I63" s="9"/>
      <c r="J63" s="9"/>
      <c r="K63" s="520"/>
      <c r="L63" s="520"/>
      <c r="M63" s="520"/>
      <c r="N63" s="520"/>
      <c r="O63" s="9"/>
      <c r="P63" s="12"/>
      <c r="Q63" s="521"/>
    </row>
    <row r="64" spans="1:17" ht="13.5" customHeight="1">
      <c r="A64" s="8"/>
      <c r="B64" s="8"/>
      <c r="C64" s="15" t="s">
        <v>1892</v>
      </c>
      <c r="D64" s="514"/>
      <c r="E64" s="63">
        <v>1</v>
      </c>
      <c r="F64" s="235"/>
      <c r="G64" s="235"/>
      <c r="H64" s="235">
        <v>-1800</v>
      </c>
      <c r="I64" s="235"/>
      <c r="J64" s="235"/>
      <c r="K64" s="235"/>
      <c r="L64" s="235"/>
      <c r="M64" s="235"/>
      <c r="N64" s="235"/>
      <c r="O64" s="235"/>
      <c r="P64" s="12">
        <f>SUM(F64:O64)</f>
        <v>-1800</v>
      </c>
      <c r="Q64" s="521" t="s">
        <v>581</v>
      </c>
    </row>
    <row r="65" spans="1:17" ht="13.5" customHeight="1">
      <c r="A65" s="8"/>
      <c r="B65" s="8"/>
      <c r="C65" s="1214" t="s">
        <v>582</v>
      </c>
      <c r="D65" s="1215"/>
      <c r="E65" s="63">
        <v>1</v>
      </c>
      <c r="F65" s="235"/>
      <c r="G65" s="235"/>
      <c r="H65" s="235">
        <v>1000</v>
      </c>
      <c r="I65" s="235"/>
      <c r="J65" s="235"/>
      <c r="K65" s="235"/>
      <c r="L65" s="235"/>
      <c r="M65" s="235"/>
      <c r="N65" s="235"/>
      <c r="O65" s="235"/>
      <c r="P65" s="12">
        <f>SUM(F65:O65)</f>
        <v>1000</v>
      </c>
      <c r="Q65" s="521" t="s">
        <v>581</v>
      </c>
    </row>
    <row r="66" spans="1:17" ht="13.5" customHeight="1">
      <c r="A66" s="8"/>
      <c r="B66" s="8"/>
      <c r="C66" s="80" t="s">
        <v>996</v>
      </c>
      <c r="D66" s="137"/>
      <c r="E66" s="63">
        <v>1</v>
      </c>
      <c r="F66" s="235"/>
      <c r="G66" s="235"/>
      <c r="H66" s="235">
        <v>500</v>
      </c>
      <c r="I66" s="235"/>
      <c r="J66" s="235"/>
      <c r="K66" s="235"/>
      <c r="L66" s="235"/>
      <c r="M66" s="235"/>
      <c r="N66" s="235"/>
      <c r="O66" s="235"/>
      <c r="P66" s="12">
        <f>SUM(F66:O66)</f>
        <v>500</v>
      </c>
      <c r="Q66" s="521" t="s">
        <v>624</v>
      </c>
    </row>
    <row r="67" spans="1:17" ht="13.5" customHeight="1">
      <c r="A67" s="8"/>
      <c r="B67" s="8"/>
      <c r="C67" s="1261" t="s">
        <v>1469</v>
      </c>
      <c r="D67" s="1340"/>
      <c r="E67" s="525"/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12"/>
      <c r="Q67" s="521"/>
    </row>
    <row r="68" spans="1:17" ht="13.5" customHeight="1">
      <c r="A68" s="8"/>
      <c r="B68" s="8"/>
      <c r="C68" s="15" t="s">
        <v>1898</v>
      </c>
      <c r="D68" s="522"/>
      <c r="E68" s="78">
        <v>1</v>
      </c>
      <c r="F68" s="235"/>
      <c r="G68" s="235"/>
      <c r="H68" s="235">
        <v>3021</v>
      </c>
      <c r="I68" s="235"/>
      <c r="J68" s="235"/>
      <c r="K68" s="235"/>
      <c r="L68" s="235"/>
      <c r="M68" s="235"/>
      <c r="N68" s="235"/>
      <c r="O68" s="235"/>
      <c r="P68" s="12">
        <f>SUM(F68:O68)</f>
        <v>3021</v>
      </c>
      <c r="Q68" s="521" t="s">
        <v>1112</v>
      </c>
    </row>
    <row r="69" spans="1:17" ht="13.5" customHeight="1">
      <c r="A69" s="8"/>
      <c r="B69" s="8"/>
      <c r="C69" s="1261" t="s">
        <v>726</v>
      </c>
      <c r="D69" s="1341"/>
      <c r="E69" s="525">
        <v>2</v>
      </c>
      <c r="F69" s="235"/>
      <c r="G69" s="235"/>
      <c r="H69" s="235">
        <v>-5000</v>
      </c>
      <c r="I69" s="235"/>
      <c r="J69" s="235"/>
      <c r="K69" s="235"/>
      <c r="L69" s="235"/>
      <c r="M69" s="235"/>
      <c r="N69" s="235"/>
      <c r="O69" s="235"/>
      <c r="P69" s="12">
        <f>SUM(F69:O69)</f>
        <v>-5000</v>
      </c>
      <c r="Q69" s="521" t="s">
        <v>1112</v>
      </c>
    </row>
    <row r="70" spans="1:17" ht="13.5" customHeight="1">
      <c r="A70" s="8"/>
      <c r="B70" s="8"/>
      <c r="C70" s="766" t="s">
        <v>1423</v>
      </c>
      <c r="D70" s="727"/>
      <c r="E70" s="525"/>
      <c r="F70" s="235"/>
      <c r="G70" s="235"/>
      <c r="H70" s="235"/>
      <c r="I70" s="235"/>
      <c r="J70" s="235"/>
      <c r="K70" s="235"/>
      <c r="L70" s="235"/>
      <c r="M70" s="235"/>
      <c r="N70" s="235"/>
      <c r="O70" s="235"/>
      <c r="P70" s="12"/>
      <c r="Q70" s="521"/>
    </row>
    <row r="71" spans="1:17" ht="15" customHeight="1">
      <c r="A71" s="8"/>
      <c r="B71" s="8"/>
      <c r="C71" s="1261" t="s">
        <v>5</v>
      </c>
      <c r="D71" s="1262"/>
      <c r="E71" s="63">
        <v>1</v>
      </c>
      <c r="F71" s="235"/>
      <c r="G71" s="235"/>
      <c r="H71" s="235">
        <v>-2496</v>
      </c>
      <c r="I71" s="235"/>
      <c r="J71" s="235"/>
      <c r="K71" s="235"/>
      <c r="L71" s="235"/>
      <c r="M71" s="235"/>
      <c r="N71" s="235"/>
      <c r="O71" s="235"/>
      <c r="P71" s="12">
        <f>SUM(F71:O71)</f>
        <v>-2496</v>
      </c>
      <c r="Q71" s="521" t="s">
        <v>624</v>
      </c>
    </row>
    <row r="72" spans="1:17" ht="15" customHeight="1">
      <c r="A72" s="8"/>
      <c r="B72" s="8"/>
      <c r="C72" s="1261" t="s">
        <v>1424</v>
      </c>
      <c r="D72" s="1262"/>
      <c r="E72" s="63"/>
      <c r="F72" s="235"/>
      <c r="G72" s="235"/>
      <c r="H72" s="235"/>
      <c r="I72" s="235"/>
      <c r="J72" s="235"/>
      <c r="K72" s="235"/>
      <c r="L72" s="235"/>
      <c r="M72" s="235"/>
      <c r="N72" s="235"/>
      <c r="O72" s="235"/>
      <c r="P72" s="12"/>
      <c r="Q72" s="521"/>
    </row>
    <row r="73" spans="1:17" ht="15" customHeight="1">
      <c r="A73" s="8"/>
      <c r="B73" s="8"/>
      <c r="C73" s="80" t="s">
        <v>755</v>
      </c>
      <c r="D73" s="140"/>
      <c r="E73" s="63">
        <v>1</v>
      </c>
      <c r="F73" s="235"/>
      <c r="G73" s="235"/>
      <c r="H73" s="235">
        <v>-1544</v>
      </c>
      <c r="I73" s="235"/>
      <c r="J73" s="235"/>
      <c r="K73" s="235"/>
      <c r="L73" s="235"/>
      <c r="M73" s="235"/>
      <c r="N73" s="235"/>
      <c r="O73" s="235"/>
      <c r="P73" s="12">
        <f>SUM(F73:O73)</f>
        <v>-1544</v>
      </c>
      <c r="Q73" s="521" t="s">
        <v>624</v>
      </c>
    </row>
    <row r="74" spans="1:17" ht="15" customHeight="1">
      <c r="A74" s="8"/>
      <c r="B74" s="8"/>
      <c r="C74" s="766" t="s">
        <v>1426</v>
      </c>
      <c r="D74" s="727"/>
      <c r="E74" s="63"/>
      <c r="F74" s="235"/>
      <c r="G74" s="235"/>
      <c r="H74" s="235"/>
      <c r="I74" s="235"/>
      <c r="J74" s="235"/>
      <c r="K74" s="235"/>
      <c r="L74" s="235"/>
      <c r="M74" s="235"/>
      <c r="N74" s="235"/>
      <c r="O74" s="235"/>
      <c r="P74" s="12"/>
      <c r="Q74" s="521"/>
    </row>
    <row r="75" spans="1:17" ht="15" customHeight="1">
      <c r="A75" s="8"/>
      <c r="B75" s="8"/>
      <c r="C75" s="15" t="s">
        <v>583</v>
      </c>
      <c r="D75" s="79"/>
      <c r="E75" s="63">
        <v>1</v>
      </c>
      <c r="F75" s="235"/>
      <c r="G75" s="235"/>
      <c r="H75" s="235">
        <v>-600</v>
      </c>
      <c r="I75" s="235"/>
      <c r="J75" s="235"/>
      <c r="K75" s="235"/>
      <c r="L75" s="235"/>
      <c r="M75" s="235"/>
      <c r="N75" s="235"/>
      <c r="O75" s="235"/>
      <c r="P75" s="12">
        <f>SUM(F75:O75)</f>
        <v>-600</v>
      </c>
      <c r="Q75" s="521" t="s">
        <v>1112</v>
      </c>
    </row>
    <row r="76" spans="1:17" ht="15" customHeight="1">
      <c r="A76" s="8"/>
      <c r="B76" s="8"/>
      <c r="C76" s="1214" t="s">
        <v>351</v>
      </c>
      <c r="D76" s="1215"/>
      <c r="E76" s="63">
        <v>1</v>
      </c>
      <c r="F76" s="235"/>
      <c r="G76" s="235"/>
      <c r="H76" s="235">
        <v>174</v>
      </c>
      <c r="I76" s="235"/>
      <c r="J76" s="235"/>
      <c r="K76" s="235"/>
      <c r="L76" s="235"/>
      <c r="M76" s="235"/>
      <c r="N76" s="235"/>
      <c r="O76" s="235"/>
      <c r="P76" s="12">
        <f>SUM(F76:O76)</f>
        <v>174</v>
      </c>
      <c r="Q76" s="521" t="s">
        <v>1112</v>
      </c>
    </row>
    <row r="77" spans="1:17" ht="15" customHeight="1">
      <c r="A77" s="8"/>
      <c r="B77" s="8"/>
      <c r="C77" s="15" t="s">
        <v>342</v>
      </c>
      <c r="D77" s="512"/>
      <c r="E77" s="63">
        <v>1</v>
      </c>
      <c r="F77" s="235"/>
      <c r="G77" s="235"/>
      <c r="H77" s="235">
        <v>57</v>
      </c>
      <c r="I77" s="235"/>
      <c r="J77" s="235"/>
      <c r="K77" s="235"/>
      <c r="L77" s="235"/>
      <c r="M77" s="235"/>
      <c r="N77" s="235"/>
      <c r="O77" s="235"/>
      <c r="P77" s="12">
        <f>SUM(F77:O77)</f>
        <v>57</v>
      </c>
      <c r="Q77" s="521" t="s">
        <v>624</v>
      </c>
    </row>
    <row r="78" spans="1:17" ht="15" customHeight="1">
      <c r="A78" s="8"/>
      <c r="B78" s="8"/>
      <c r="C78" s="766" t="s">
        <v>1428</v>
      </c>
      <c r="D78" s="727"/>
      <c r="E78" s="63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12"/>
      <c r="Q78" s="521"/>
    </row>
    <row r="79" spans="1:17" ht="15" customHeight="1">
      <c r="A79" s="8"/>
      <c r="B79" s="8"/>
      <c r="C79" s="15" t="s">
        <v>345</v>
      </c>
      <c r="D79" s="512"/>
      <c r="E79" s="63">
        <v>2</v>
      </c>
      <c r="F79" s="235"/>
      <c r="G79" s="235"/>
      <c r="H79" s="235">
        <v>2738</v>
      </c>
      <c r="I79" s="235"/>
      <c r="J79" s="235"/>
      <c r="K79" s="235"/>
      <c r="L79" s="235"/>
      <c r="M79" s="235"/>
      <c r="N79" s="235"/>
      <c r="O79" s="235"/>
      <c r="P79" s="12">
        <f>SUM(F79:O79)</f>
        <v>2738</v>
      </c>
      <c r="Q79" s="521" t="s">
        <v>606</v>
      </c>
    </row>
    <row r="80" spans="1:17" ht="15" customHeight="1">
      <c r="A80" s="8"/>
      <c r="B80" s="8"/>
      <c r="C80" s="766" t="s">
        <v>1429</v>
      </c>
      <c r="D80" s="727"/>
      <c r="E80" s="63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12"/>
      <c r="Q80" s="521"/>
    </row>
    <row r="81" spans="1:17" ht="15" customHeight="1">
      <c r="A81" s="8"/>
      <c r="B81" s="8"/>
      <c r="C81" s="80" t="s">
        <v>729</v>
      </c>
      <c r="D81" s="512"/>
      <c r="E81" s="63">
        <v>1</v>
      </c>
      <c r="F81" s="235"/>
      <c r="G81" s="235"/>
      <c r="H81" s="235">
        <v>-500</v>
      </c>
      <c r="I81" s="235"/>
      <c r="J81" s="235"/>
      <c r="K81" s="235"/>
      <c r="L81" s="235"/>
      <c r="M81" s="235"/>
      <c r="N81" s="235"/>
      <c r="O81" s="235"/>
      <c r="P81" s="12">
        <f>SUM(F81:O81)</f>
        <v>-500</v>
      </c>
      <c r="Q81" s="521" t="s">
        <v>624</v>
      </c>
    </row>
    <row r="82" spans="1:17" ht="15" customHeight="1">
      <c r="A82" s="8"/>
      <c r="B82" s="8"/>
      <c r="C82" s="1214" t="s">
        <v>1430</v>
      </c>
      <c r="D82" s="1215"/>
      <c r="E82" s="63"/>
      <c r="F82" s="235"/>
      <c r="G82" s="235"/>
      <c r="H82" s="235"/>
      <c r="I82" s="235"/>
      <c r="J82" s="235"/>
      <c r="K82" s="235"/>
      <c r="L82" s="235"/>
      <c r="M82" s="235"/>
      <c r="N82" s="235"/>
      <c r="O82" s="235"/>
      <c r="P82" s="12"/>
      <c r="Q82" s="521"/>
    </row>
    <row r="83" spans="1:17" ht="15" customHeight="1">
      <c r="A83" s="8"/>
      <c r="B83" s="8"/>
      <c r="C83" s="64" t="s">
        <v>976</v>
      </c>
      <c r="D83" s="65"/>
      <c r="E83" s="63">
        <v>1</v>
      </c>
      <c r="F83" s="235"/>
      <c r="G83" s="235"/>
      <c r="H83" s="235">
        <v>44000</v>
      </c>
      <c r="I83" s="235"/>
      <c r="J83" s="235"/>
      <c r="K83" s="235"/>
      <c r="L83" s="235"/>
      <c r="M83" s="235"/>
      <c r="N83" s="235"/>
      <c r="O83" s="235"/>
      <c r="P83" s="12">
        <f>SUM(F83:O83)</f>
        <v>44000</v>
      </c>
      <c r="Q83" s="521" t="s">
        <v>606</v>
      </c>
    </row>
    <row r="84" spans="1:17" ht="15" customHeight="1">
      <c r="A84" s="8"/>
      <c r="B84" s="8"/>
      <c r="C84" s="766" t="s">
        <v>1428</v>
      </c>
      <c r="D84" s="727"/>
      <c r="E84" s="63"/>
      <c r="F84" s="235"/>
      <c r="G84" s="235"/>
      <c r="H84" s="235"/>
      <c r="I84" s="235"/>
      <c r="J84" s="235"/>
      <c r="K84" s="235"/>
      <c r="L84" s="235"/>
      <c r="M84" s="235"/>
      <c r="N84" s="235"/>
      <c r="O84" s="235"/>
      <c r="P84" s="12"/>
      <c r="Q84" s="521"/>
    </row>
    <row r="85" spans="1:17" ht="15" customHeight="1">
      <c r="A85" s="8"/>
      <c r="B85" s="8"/>
      <c r="C85" s="15" t="s">
        <v>38</v>
      </c>
      <c r="D85" s="1204"/>
      <c r="E85" s="63">
        <v>2</v>
      </c>
      <c r="F85" s="235"/>
      <c r="G85" s="235"/>
      <c r="H85" s="235">
        <v>-18595</v>
      </c>
      <c r="I85" s="235"/>
      <c r="J85" s="235"/>
      <c r="K85" s="235"/>
      <c r="L85" s="235"/>
      <c r="M85" s="235"/>
      <c r="N85" s="235"/>
      <c r="O85" s="235"/>
      <c r="P85" s="12">
        <f>SUM(F85:O85)</f>
        <v>-18595</v>
      </c>
      <c r="Q85" s="521" t="s">
        <v>606</v>
      </c>
    </row>
    <row r="86" spans="1:17" ht="15" customHeight="1">
      <c r="A86" s="8"/>
      <c r="B86" s="8"/>
      <c r="C86" s="14" t="s">
        <v>584</v>
      </c>
      <c r="D86" s="512"/>
      <c r="E86" s="63">
        <v>2</v>
      </c>
      <c r="F86" s="235"/>
      <c r="G86" s="235"/>
      <c r="H86" s="235"/>
      <c r="I86" s="235"/>
      <c r="J86" s="235">
        <v>2343</v>
      </c>
      <c r="K86" s="235"/>
      <c r="L86" s="235"/>
      <c r="M86" s="235"/>
      <c r="N86" s="235"/>
      <c r="O86" s="235"/>
      <c r="P86" s="12">
        <f>SUM(F86:O86)</f>
        <v>2343</v>
      </c>
      <c r="Q86" s="521" t="s">
        <v>606</v>
      </c>
    </row>
    <row r="87" spans="1:17" ht="15" customHeight="1">
      <c r="A87" s="8"/>
      <c r="B87" s="8"/>
      <c r="C87" s="14" t="s">
        <v>1433</v>
      </c>
      <c r="D87" s="530"/>
      <c r="E87" s="78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12"/>
      <c r="Q87" s="521"/>
    </row>
    <row r="88" spans="1:17" ht="15" customHeight="1">
      <c r="A88" s="8"/>
      <c r="B88" s="8"/>
      <c r="C88" s="1355" t="s">
        <v>1117</v>
      </c>
      <c r="D88" s="1356"/>
      <c r="E88" s="450">
        <v>2</v>
      </c>
      <c r="F88" s="235"/>
      <c r="G88" s="235"/>
      <c r="H88" s="235"/>
      <c r="I88" s="235"/>
      <c r="J88" s="235">
        <v>-254</v>
      </c>
      <c r="K88" s="235"/>
      <c r="L88" s="235"/>
      <c r="M88" s="235"/>
      <c r="N88" s="235"/>
      <c r="O88" s="235"/>
      <c r="P88" s="12">
        <f>SUM(F88:O88)</f>
        <v>-254</v>
      </c>
      <c r="Q88" s="521" t="s">
        <v>643</v>
      </c>
    </row>
    <row r="89" spans="1:17" ht="13.5" customHeight="1">
      <c r="A89" s="497"/>
      <c r="B89" s="497"/>
      <c r="C89" s="71" t="s">
        <v>1118</v>
      </c>
      <c r="D89" s="499"/>
      <c r="E89" s="500"/>
      <c r="F89" s="501">
        <f aca="true" t="shared" si="4" ref="F89:P89">SUM(F63:F88)</f>
        <v>0</v>
      </c>
      <c r="G89" s="501">
        <f t="shared" si="4"/>
        <v>0</v>
      </c>
      <c r="H89" s="501">
        <f t="shared" si="4"/>
        <v>20955</v>
      </c>
      <c r="I89" s="501">
        <f t="shared" si="4"/>
        <v>0</v>
      </c>
      <c r="J89" s="501">
        <f t="shared" si="4"/>
        <v>2089</v>
      </c>
      <c r="K89" s="501">
        <f t="shared" si="4"/>
        <v>0</v>
      </c>
      <c r="L89" s="501">
        <f t="shared" si="4"/>
        <v>0</v>
      </c>
      <c r="M89" s="501">
        <f t="shared" si="4"/>
        <v>0</v>
      </c>
      <c r="N89" s="501">
        <f t="shared" si="4"/>
        <v>0</v>
      </c>
      <c r="O89" s="501">
        <f t="shared" si="4"/>
        <v>0</v>
      </c>
      <c r="P89" s="501">
        <f t="shared" si="4"/>
        <v>23044</v>
      </c>
      <c r="Q89" s="502"/>
    </row>
    <row r="90" spans="1:17" ht="13.5" customHeight="1">
      <c r="A90" s="8"/>
      <c r="B90" s="8"/>
      <c r="C90" s="14" t="s">
        <v>1119</v>
      </c>
      <c r="D90" s="514"/>
      <c r="E90" s="63"/>
      <c r="F90" s="9"/>
      <c r="G90" s="9"/>
      <c r="H90" s="9"/>
      <c r="I90" s="9"/>
      <c r="J90" s="9"/>
      <c r="K90" s="235">
        <f>'[3]7'!J129</f>
        <v>-57420</v>
      </c>
      <c r="L90" s="235"/>
      <c r="M90" s="235">
        <f>'[3]7'!K129</f>
        <v>58118</v>
      </c>
      <c r="N90" s="235"/>
      <c r="O90" s="9"/>
      <c r="P90" s="12">
        <f>SUM(F90:O90)</f>
        <v>698</v>
      </c>
      <c r="Q90" s="521"/>
    </row>
    <row r="91" spans="1:17" ht="13.5" customHeight="1">
      <c r="A91" s="8"/>
      <c r="B91" s="8"/>
      <c r="C91" s="14" t="s">
        <v>1883</v>
      </c>
      <c r="D91" s="514"/>
      <c r="E91" s="63"/>
      <c r="F91" s="9"/>
      <c r="G91" s="9"/>
      <c r="H91" s="9"/>
      <c r="I91" s="9"/>
      <c r="J91" s="9"/>
      <c r="K91" s="235"/>
      <c r="L91" s="235">
        <f>'[3]8'!J171</f>
        <v>4171</v>
      </c>
      <c r="M91" s="235">
        <f>'[3]8'!K171</f>
        <v>5400</v>
      </c>
      <c r="N91" s="235"/>
      <c r="O91" s="9"/>
      <c r="P91" s="12">
        <f>SUM(F91:O91)</f>
        <v>9571</v>
      </c>
      <c r="Q91" s="521"/>
    </row>
    <row r="92" spans="1:17" ht="13.5" customHeight="1">
      <c r="A92" s="233"/>
      <c r="B92" s="233"/>
      <c r="C92" s="71" t="s">
        <v>982</v>
      </c>
      <c r="D92" s="518"/>
      <c r="E92" s="68"/>
      <c r="F92" s="501">
        <f aca="true" t="shared" si="5" ref="F92:P92">SUM(F89:F91)</f>
        <v>0</v>
      </c>
      <c r="G92" s="501">
        <f t="shared" si="5"/>
        <v>0</v>
      </c>
      <c r="H92" s="501">
        <f t="shared" si="5"/>
        <v>20955</v>
      </c>
      <c r="I92" s="501">
        <f t="shared" si="5"/>
        <v>0</v>
      </c>
      <c r="J92" s="501">
        <f t="shared" si="5"/>
        <v>2089</v>
      </c>
      <c r="K92" s="501">
        <f t="shared" si="5"/>
        <v>-57420</v>
      </c>
      <c r="L92" s="501">
        <f t="shared" si="5"/>
        <v>4171</v>
      </c>
      <c r="M92" s="501">
        <f t="shared" si="5"/>
        <v>63518</v>
      </c>
      <c r="N92" s="501">
        <f t="shared" si="5"/>
        <v>0</v>
      </c>
      <c r="O92" s="501">
        <f t="shared" si="5"/>
        <v>0</v>
      </c>
      <c r="P92" s="501">
        <f t="shared" si="5"/>
        <v>33313</v>
      </c>
      <c r="Q92" s="531"/>
    </row>
    <row r="93" spans="1:17" ht="13.5" customHeight="1">
      <c r="A93" s="8">
        <v>1</v>
      </c>
      <c r="B93" s="8">
        <v>16</v>
      </c>
      <c r="C93" s="519" t="s">
        <v>1493</v>
      </c>
      <c r="D93" s="532"/>
      <c r="E93" s="77"/>
      <c r="F93" s="9"/>
      <c r="G93" s="9"/>
      <c r="H93" s="9"/>
      <c r="I93" s="9"/>
      <c r="J93" s="9"/>
      <c r="K93" s="520"/>
      <c r="L93" s="520"/>
      <c r="M93" s="520"/>
      <c r="N93" s="520"/>
      <c r="O93" s="9"/>
      <c r="P93" s="12"/>
      <c r="Q93" s="533"/>
    </row>
    <row r="94" spans="1:17" ht="13.5" customHeight="1">
      <c r="A94" s="8"/>
      <c r="B94" s="8"/>
      <c r="C94" s="1485" t="s">
        <v>810</v>
      </c>
      <c r="D94" s="1486"/>
      <c r="E94" s="77"/>
      <c r="F94" s="9"/>
      <c r="G94" s="9"/>
      <c r="H94" s="9"/>
      <c r="I94" s="9"/>
      <c r="J94" s="9"/>
      <c r="K94" s="520"/>
      <c r="L94" s="520"/>
      <c r="M94" s="520"/>
      <c r="N94" s="520"/>
      <c r="O94" s="9"/>
      <c r="P94" s="12"/>
      <c r="Q94" s="533"/>
    </row>
    <row r="95" spans="1:17" ht="36" customHeight="1">
      <c r="A95" s="8"/>
      <c r="B95" s="8"/>
      <c r="C95" s="1482" t="s">
        <v>585</v>
      </c>
      <c r="D95" s="1483"/>
      <c r="E95" s="524">
        <v>2</v>
      </c>
      <c r="F95" s="9"/>
      <c r="G95" s="9"/>
      <c r="H95" s="235"/>
      <c r="I95" s="235"/>
      <c r="J95" s="235">
        <v>25000</v>
      </c>
      <c r="K95" s="235"/>
      <c r="L95" s="235"/>
      <c r="M95" s="235"/>
      <c r="N95" s="235"/>
      <c r="O95" s="235"/>
      <c r="P95" s="1205">
        <f>SUM(H95:O95)</f>
        <v>25000</v>
      </c>
      <c r="Q95" s="537" t="s">
        <v>606</v>
      </c>
    </row>
    <row r="96" spans="1:17" ht="24.75" customHeight="1">
      <c r="A96" s="8"/>
      <c r="B96" s="8"/>
      <c r="C96" s="1482" t="s">
        <v>586</v>
      </c>
      <c r="D96" s="1484"/>
      <c r="E96" s="524">
        <v>2</v>
      </c>
      <c r="F96" s="9"/>
      <c r="G96" s="9"/>
      <c r="H96" s="235"/>
      <c r="I96" s="235"/>
      <c r="J96" s="235">
        <v>4000</v>
      </c>
      <c r="K96" s="235"/>
      <c r="L96" s="235"/>
      <c r="M96" s="235"/>
      <c r="N96" s="235"/>
      <c r="O96" s="235"/>
      <c r="P96" s="1205">
        <v>4000</v>
      </c>
      <c r="Q96" s="537" t="s">
        <v>606</v>
      </c>
    </row>
    <row r="97" spans="1:17" ht="13.5" customHeight="1">
      <c r="A97" s="497"/>
      <c r="B97" s="497"/>
      <c r="C97" s="71" t="s">
        <v>1120</v>
      </c>
      <c r="D97" s="518"/>
      <c r="E97" s="68"/>
      <c r="F97" s="501"/>
      <c r="G97" s="501"/>
      <c r="H97" s="501">
        <f>SUM(H95)</f>
        <v>0</v>
      </c>
      <c r="I97" s="501"/>
      <c r="J97" s="501">
        <f>SUM(J95:J96)</f>
        <v>29000</v>
      </c>
      <c r="K97" s="501"/>
      <c r="L97" s="501"/>
      <c r="M97" s="501"/>
      <c r="N97" s="501"/>
      <c r="O97" s="501"/>
      <c r="P97" s="501">
        <f>SUM(P95:P96)</f>
        <v>29000</v>
      </c>
      <c r="Q97" s="531"/>
    </row>
    <row r="98" spans="1:17" ht="13.5" customHeight="1">
      <c r="A98" s="9"/>
      <c r="B98" s="9"/>
      <c r="C98" s="14" t="s">
        <v>1121</v>
      </c>
      <c r="D98" s="532"/>
      <c r="E98" s="77"/>
      <c r="F98" s="9"/>
      <c r="G98" s="9"/>
      <c r="H98" s="9"/>
      <c r="I98" s="9"/>
      <c r="J98" s="9"/>
      <c r="K98" s="235">
        <f>'[3]7'!J241</f>
        <v>-42044</v>
      </c>
      <c r="L98" s="235"/>
      <c r="M98" s="235">
        <f>'[3]7'!K241</f>
        <v>2173</v>
      </c>
      <c r="N98" s="235"/>
      <c r="O98" s="9"/>
      <c r="P98" s="12">
        <f>SUM(F98:O98)</f>
        <v>-39871</v>
      </c>
      <c r="Q98" s="533"/>
    </row>
    <row r="99" spans="1:17" ht="13.5" customHeight="1">
      <c r="A99" s="9"/>
      <c r="B99" s="9"/>
      <c r="C99" s="14" t="s">
        <v>1874</v>
      </c>
      <c r="D99" s="532"/>
      <c r="E99" s="77"/>
      <c r="F99" s="9"/>
      <c r="G99" s="9"/>
      <c r="H99" s="9"/>
      <c r="I99" s="9"/>
      <c r="J99" s="9"/>
      <c r="K99" s="235"/>
      <c r="L99" s="235">
        <f>'[3]8'!J194</f>
        <v>81041</v>
      </c>
      <c r="M99" s="235">
        <f>'[3]8'!K194</f>
        <v>3000</v>
      </c>
      <c r="N99" s="235"/>
      <c r="O99" s="9"/>
      <c r="P99" s="12">
        <f>SUM(F99:O99)</f>
        <v>84041</v>
      </c>
      <c r="Q99" s="533"/>
    </row>
    <row r="100" spans="1:17" ht="13.5" customHeight="1">
      <c r="A100" s="233"/>
      <c r="B100" s="233"/>
      <c r="C100" s="71" t="s">
        <v>986</v>
      </c>
      <c r="D100" s="518"/>
      <c r="E100" s="68"/>
      <c r="F100" s="501">
        <f aca="true" t="shared" si="6" ref="F100:M100">SUM(F97:F99)</f>
        <v>0</v>
      </c>
      <c r="G100" s="501">
        <f t="shared" si="6"/>
        <v>0</v>
      </c>
      <c r="H100" s="501">
        <f t="shared" si="6"/>
        <v>0</v>
      </c>
      <c r="I100" s="501">
        <f t="shared" si="6"/>
        <v>0</v>
      </c>
      <c r="J100" s="501">
        <f t="shared" si="6"/>
        <v>29000</v>
      </c>
      <c r="K100" s="501">
        <f t="shared" si="6"/>
        <v>-42044</v>
      </c>
      <c r="L100" s="501">
        <f t="shared" si="6"/>
        <v>81041</v>
      </c>
      <c r="M100" s="501">
        <f t="shared" si="6"/>
        <v>5173</v>
      </c>
      <c r="N100" s="501"/>
      <c r="O100" s="501">
        <f>SUM(O97:O99)</f>
        <v>0</v>
      </c>
      <c r="P100" s="501">
        <f>SUM(P97:P99)</f>
        <v>73170</v>
      </c>
      <c r="Q100" s="531"/>
    </row>
    <row r="101" spans="1:17" ht="13.5" customHeight="1">
      <c r="A101" s="8">
        <v>1</v>
      </c>
      <c r="B101" s="8">
        <v>17</v>
      </c>
      <c r="C101" s="519" t="s">
        <v>52</v>
      </c>
      <c r="D101" s="532"/>
      <c r="E101" s="77"/>
      <c r="F101" s="9"/>
      <c r="G101" s="9"/>
      <c r="H101" s="9"/>
      <c r="I101" s="9"/>
      <c r="J101" s="9"/>
      <c r="K101" s="520"/>
      <c r="L101" s="520"/>
      <c r="M101" s="520"/>
      <c r="N101" s="520"/>
      <c r="O101" s="9"/>
      <c r="P101" s="12"/>
      <c r="Q101" s="533"/>
    </row>
    <row r="102" spans="1:17" ht="15" customHeight="1">
      <c r="A102" s="8"/>
      <c r="B102" s="8"/>
      <c r="C102" s="1253" t="s">
        <v>1472</v>
      </c>
      <c r="D102" s="1389"/>
      <c r="E102" s="529"/>
      <c r="F102" s="9"/>
      <c r="G102" s="9"/>
      <c r="H102" s="9"/>
      <c r="I102" s="9"/>
      <c r="J102" s="9"/>
      <c r="K102" s="520"/>
      <c r="L102" s="520"/>
      <c r="M102" s="520"/>
      <c r="N102" s="520"/>
      <c r="O102" s="9"/>
      <c r="P102" s="12"/>
      <c r="Q102" s="533"/>
    </row>
    <row r="103" spans="1:18" ht="15" customHeight="1">
      <c r="A103" s="8"/>
      <c r="B103" s="8"/>
      <c r="C103" s="1214" t="s">
        <v>208</v>
      </c>
      <c r="D103" s="1215"/>
      <c r="E103" s="529">
        <v>1</v>
      </c>
      <c r="F103" s="9"/>
      <c r="G103" s="9"/>
      <c r="H103" s="235">
        <v>-500</v>
      </c>
      <c r="I103" s="9"/>
      <c r="J103" s="9"/>
      <c r="K103" s="520"/>
      <c r="L103" s="520"/>
      <c r="M103" s="520"/>
      <c r="N103" s="520"/>
      <c r="O103" s="9"/>
      <c r="P103" s="12">
        <f aca="true" t="shared" si="7" ref="P103:P112">SUM(H103:O103)</f>
        <v>-500</v>
      </c>
      <c r="Q103" s="521" t="s">
        <v>606</v>
      </c>
      <c r="R103" s="235"/>
    </row>
    <row r="104" spans="1:18" ht="15" customHeight="1">
      <c r="A104" s="8"/>
      <c r="B104" s="8"/>
      <c r="C104" s="732" t="s">
        <v>67</v>
      </c>
      <c r="D104" s="733"/>
      <c r="E104" s="529">
        <v>1</v>
      </c>
      <c r="F104" s="9"/>
      <c r="G104" s="9"/>
      <c r="H104" s="235">
        <v>-1500</v>
      </c>
      <c r="I104" s="9"/>
      <c r="J104" s="9"/>
      <c r="K104" s="520"/>
      <c r="L104" s="520"/>
      <c r="M104" s="520"/>
      <c r="N104" s="520"/>
      <c r="O104" s="9"/>
      <c r="P104" s="12">
        <f t="shared" si="7"/>
        <v>-1500</v>
      </c>
      <c r="Q104" s="521" t="s">
        <v>606</v>
      </c>
      <c r="R104" s="235"/>
    </row>
    <row r="105" spans="1:18" ht="15" customHeight="1">
      <c r="A105" s="8"/>
      <c r="B105" s="8"/>
      <c r="C105" s="14" t="s">
        <v>988</v>
      </c>
      <c r="D105" s="65"/>
      <c r="E105" s="529">
        <v>1</v>
      </c>
      <c r="F105" s="9"/>
      <c r="G105" s="9"/>
      <c r="H105" s="235">
        <v>-1000</v>
      </c>
      <c r="I105" s="9"/>
      <c r="J105" s="9"/>
      <c r="K105" s="520"/>
      <c r="L105" s="520"/>
      <c r="M105" s="520"/>
      <c r="N105" s="520"/>
      <c r="O105" s="9"/>
      <c r="P105" s="12">
        <f t="shared" si="7"/>
        <v>-1000</v>
      </c>
      <c r="Q105" s="521" t="s">
        <v>606</v>
      </c>
      <c r="R105" s="235"/>
    </row>
    <row r="106" spans="1:18" ht="15" customHeight="1">
      <c r="A106" s="8"/>
      <c r="B106" s="8"/>
      <c r="C106" s="1212" t="s">
        <v>1518</v>
      </c>
      <c r="D106" s="1213"/>
      <c r="E106" s="529">
        <v>1</v>
      </c>
      <c r="F106" s="9"/>
      <c r="G106" s="9"/>
      <c r="H106" s="235">
        <v>-500</v>
      </c>
      <c r="I106" s="9"/>
      <c r="J106" s="9"/>
      <c r="K106" s="520"/>
      <c r="L106" s="520"/>
      <c r="M106" s="520"/>
      <c r="N106" s="520"/>
      <c r="O106" s="9"/>
      <c r="P106" s="12">
        <f t="shared" si="7"/>
        <v>-500</v>
      </c>
      <c r="Q106" s="521" t="s">
        <v>606</v>
      </c>
      <c r="R106" s="235"/>
    </row>
    <row r="107" spans="1:18" ht="15" customHeight="1">
      <c r="A107" s="8"/>
      <c r="B107" s="8"/>
      <c r="C107" s="1212" t="s">
        <v>1521</v>
      </c>
      <c r="D107" s="1213"/>
      <c r="E107" s="529">
        <v>1</v>
      </c>
      <c r="F107" s="9"/>
      <c r="G107" s="9"/>
      <c r="H107" s="235">
        <v>-500</v>
      </c>
      <c r="I107" s="9"/>
      <c r="J107" s="9"/>
      <c r="K107" s="520"/>
      <c r="L107" s="520"/>
      <c r="M107" s="520"/>
      <c r="N107" s="520"/>
      <c r="O107" s="9"/>
      <c r="P107" s="12">
        <f t="shared" si="7"/>
        <v>-500</v>
      </c>
      <c r="Q107" s="521" t="s">
        <v>606</v>
      </c>
      <c r="R107" s="235"/>
    </row>
    <row r="108" spans="1:18" ht="15" customHeight="1">
      <c r="A108" s="8"/>
      <c r="B108" s="8"/>
      <c r="C108" s="1263" t="s">
        <v>1520</v>
      </c>
      <c r="D108" s="1264"/>
      <c r="E108" s="529">
        <v>1</v>
      </c>
      <c r="F108" s="9"/>
      <c r="G108" s="9"/>
      <c r="H108" s="235">
        <v>-500</v>
      </c>
      <c r="I108" s="9"/>
      <c r="J108" s="9"/>
      <c r="K108" s="520"/>
      <c r="L108" s="520"/>
      <c r="M108" s="520"/>
      <c r="N108" s="520"/>
      <c r="O108" s="9"/>
      <c r="P108" s="12">
        <f t="shared" si="7"/>
        <v>-500</v>
      </c>
      <c r="Q108" s="521" t="s">
        <v>606</v>
      </c>
      <c r="R108" s="235"/>
    </row>
    <row r="109" spans="1:18" ht="24.75" customHeight="1">
      <c r="A109" s="8"/>
      <c r="B109" s="8"/>
      <c r="C109" s="1263" t="s">
        <v>1522</v>
      </c>
      <c r="D109" s="1264"/>
      <c r="E109" s="529">
        <v>1</v>
      </c>
      <c r="F109" s="9"/>
      <c r="G109" s="9"/>
      <c r="H109" s="235">
        <v>-1000</v>
      </c>
      <c r="I109" s="9"/>
      <c r="J109" s="9"/>
      <c r="K109" s="520"/>
      <c r="L109" s="520"/>
      <c r="M109" s="520"/>
      <c r="N109" s="520"/>
      <c r="O109" s="9"/>
      <c r="P109" s="12">
        <f t="shared" si="7"/>
        <v>-1000</v>
      </c>
      <c r="Q109" s="521" t="s">
        <v>606</v>
      </c>
      <c r="R109" s="235"/>
    </row>
    <row r="110" spans="1:18" ht="15" customHeight="1">
      <c r="A110" s="8"/>
      <c r="B110" s="8"/>
      <c r="C110" s="1214" t="s">
        <v>117</v>
      </c>
      <c r="D110" s="1215"/>
      <c r="E110" s="529">
        <v>1</v>
      </c>
      <c r="F110" s="9"/>
      <c r="G110" s="9"/>
      <c r="H110" s="235">
        <v>-500</v>
      </c>
      <c r="I110" s="9"/>
      <c r="J110" s="9"/>
      <c r="K110" s="520"/>
      <c r="L110" s="520"/>
      <c r="M110" s="520"/>
      <c r="N110" s="520"/>
      <c r="O110" s="9"/>
      <c r="P110" s="12">
        <f t="shared" si="7"/>
        <v>-500</v>
      </c>
      <c r="Q110" s="521" t="s">
        <v>606</v>
      </c>
      <c r="R110" s="235"/>
    </row>
    <row r="111" spans="1:18" ht="15" customHeight="1">
      <c r="A111" s="8"/>
      <c r="B111" s="8"/>
      <c r="C111" s="14" t="s">
        <v>1490</v>
      </c>
      <c r="D111" s="1206"/>
      <c r="E111" s="529">
        <v>1</v>
      </c>
      <c r="F111" s="9"/>
      <c r="G111" s="9"/>
      <c r="H111" s="235">
        <v>-1500</v>
      </c>
      <c r="I111" s="9"/>
      <c r="J111" s="9"/>
      <c r="K111" s="520"/>
      <c r="L111" s="520"/>
      <c r="M111" s="520"/>
      <c r="N111" s="520"/>
      <c r="O111" s="9"/>
      <c r="P111" s="12">
        <f t="shared" si="7"/>
        <v>-1500</v>
      </c>
      <c r="Q111" s="521" t="s">
        <v>606</v>
      </c>
      <c r="R111" s="235"/>
    </row>
    <row r="112" spans="1:18" ht="15" customHeight="1">
      <c r="A112" s="8"/>
      <c r="B112" s="8"/>
      <c r="C112" s="14" t="s">
        <v>54</v>
      </c>
      <c r="D112" s="1206"/>
      <c r="E112" s="529">
        <v>2</v>
      </c>
      <c r="F112" s="9"/>
      <c r="G112" s="9"/>
      <c r="H112" s="235">
        <v>-1000</v>
      </c>
      <c r="I112" s="9"/>
      <c r="J112" s="9"/>
      <c r="K112" s="520"/>
      <c r="L112" s="520"/>
      <c r="M112" s="520"/>
      <c r="N112" s="520"/>
      <c r="O112" s="9"/>
      <c r="P112" s="12">
        <f t="shared" si="7"/>
        <v>-1000</v>
      </c>
      <c r="Q112" s="521" t="s">
        <v>606</v>
      </c>
      <c r="R112" s="235"/>
    </row>
    <row r="113" spans="1:17" ht="15" customHeight="1">
      <c r="A113" s="8"/>
      <c r="B113" s="8"/>
      <c r="C113" s="1386" t="s">
        <v>209</v>
      </c>
      <c r="D113" s="1387"/>
      <c r="E113" s="63">
        <v>1</v>
      </c>
      <c r="F113" s="9"/>
      <c r="G113" s="9"/>
      <c r="H113" s="235">
        <v>-270</v>
      </c>
      <c r="I113" s="9"/>
      <c r="J113" s="235"/>
      <c r="K113" s="520"/>
      <c r="L113" s="520"/>
      <c r="M113" s="520"/>
      <c r="N113" s="520"/>
      <c r="O113" s="9"/>
      <c r="P113" s="12">
        <f>SUM(F113:O113)</f>
        <v>-270</v>
      </c>
      <c r="Q113" s="521" t="s">
        <v>624</v>
      </c>
    </row>
    <row r="114" spans="1:17" ht="15" customHeight="1">
      <c r="A114" s="8"/>
      <c r="B114" s="8"/>
      <c r="C114" s="1263" t="s">
        <v>842</v>
      </c>
      <c r="D114" s="1478"/>
      <c r="E114" s="63">
        <v>1</v>
      </c>
      <c r="F114" s="9"/>
      <c r="G114" s="9"/>
      <c r="H114" s="235">
        <v>-3000</v>
      </c>
      <c r="I114" s="9"/>
      <c r="J114" s="235"/>
      <c r="K114" s="520"/>
      <c r="L114" s="520"/>
      <c r="M114" s="520"/>
      <c r="N114" s="520"/>
      <c r="O114" s="9"/>
      <c r="P114" s="12">
        <f>SUM(F114:O114)</f>
        <v>-3000</v>
      </c>
      <c r="Q114" s="521" t="s">
        <v>606</v>
      </c>
    </row>
    <row r="115" spans="1:18" ht="24.75" customHeight="1">
      <c r="A115" s="8"/>
      <c r="B115" s="8"/>
      <c r="C115" s="1263" t="s">
        <v>1488</v>
      </c>
      <c r="D115" s="1264"/>
      <c r="E115" s="63">
        <v>1</v>
      </c>
      <c r="F115" s="9"/>
      <c r="G115" s="9"/>
      <c r="H115" s="235">
        <v>-500</v>
      </c>
      <c r="I115" s="9"/>
      <c r="J115" s="235"/>
      <c r="K115" s="520"/>
      <c r="L115" s="520"/>
      <c r="M115" s="520"/>
      <c r="N115" s="520"/>
      <c r="O115" s="9"/>
      <c r="P115" s="12">
        <f>SUM(F115:O115)</f>
        <v>-500</v>
      </c>
      <c r="Q115" s="521" t="s">
        <v>606</v>
      </c>
      <c r="R115" s="235"/>
    </row>
    <row r="116" spans="1:18" ht="24.75" customHeight="1">
      <c r="A116" s="8"/>
      <c r="B116" s="8"/>
      <c r="C116" s="1263" t="s">
        <v>1081</v>
      </c>
      <c r="D116" s="1264"/>
      <c r="E116" s="63">
        <v>2</v>
      </c>
      <c r="F116" s="9"/>
      <c r="G116" s="9"/>
      <c r="H116" s="235">
        <v>-1000</v>
      </c>
      <c r="I116" s="9"/>
      <c r="J116" s="235"/>
      <c r="K116" s="520"/>
      <c r="L116" s="520"/>
      <c r="M116" s="520"/>
      <c r="N116" s="520"/>
      <c r="O116" s="235"/>
      <c r="P116" s="12">
        <f>SUM(F116:O116)</f>
        <v>-1000</v>
      </c>
      <c r="Q116" s="521" t="s">
        <v>606</v>
      </c>
      <c r="R116" s="235"/>
    </row>
    <row r="117" spans="1:17" ht="13.5" customHeight="1">
      <c r="A117" s="497"/>
      <c r="B117" s="497"/>
      <c r="C117" s="71" t="s">
        <v>1125</v>
      </c>
      <c r="D117" s="518"/>
      <c r="E117" s="68"/>
      <c r="F117" s="501">
        <f aca="true" t="shared" si="8" ref="F117:P117">SUM(F103:F116)</f>
        <v>0</v>
      </c>
      <c r="G117" s="501">
        <f t="shared" si="8"/>
        <v>0</v>
      </c>
      <c r="H117" s="501">
        <f t="shared" si="8"/>
        <v>-13270</v>
      </c>
      <c r="I117" s="501">
        <f t="shared" si="8"/>
        <v>0</v>
      </c>
      <c r="J117" s="501">
        <f t="shared" si="8"/>
        <v>0</v>
      </c>
      <c r="K117" s="501">
        <f t="shared" si="8"/>
        <v>0</v>
      </c>
      <c r="L117" s="501">
        <f t="shared" si="8"/>
        <v>0</v>
      </c>
      <c r="M117" s="501">
        <f t="shared" si="8"/>
        <v>0</v>
      </c>
      <c r="N117" s="501">
        <f t="shared" si="8"/>
        <v>0</v>
      </c>
      <c r="O117" s="501">
        <f t="shared" si="8"/>
        <v>0</v>
      </c>
      <c r="P117" s="501">
        <f t="shared" si="8"/>
        <v>-13270</v>
      </c>
      <c r="Q117" s="531"/>
    </row>
    <row r="118" spans="1:17" ht="13.5" customHeight="1">
      <c r="A118" s="8"/>
      <c r="B118" s="8"/>
      <c r="C118" s="14" t="s">
        <v>1110</v>
      </c>
      <c r="D118" s="532"/>
      <c r="E118" s="77"/>
      <c r="F118" s="9"/>
      <c r="G118" s="9"/>
      <c r="H118" s="9"/>
      <c r="I118" s="9"/>
      <c r="J118" s="9"/>
      <c r="K118" s="520">
        <f>'[3]7'!J252</f>
        <v>0</v>
      </c>
      <c r="L118" s="235"/>
      <c r="M118" s="235">
        <f>'[3]7'!K252</f>
        <v>0</v>
      </c>
      <c r="N118" s="235"/>
      <c r="O118" s="9"/>
      <c r="P118" s="12">
        <f>SUM(F118:O118)</f>
        <v>0</v>
      </c>
      <c r="Q118" s="533"/>
    </row>
    <row r="119" spans="1:17" ht="13.5" customHeight="1">
      <c r="A119" s="8"/>
      <c r="B119" s="8"/>
      <c r="C119" s="14" t="s">
        <v>1883</v>
      </c>
      <c r="D119" s="532"/>
      <c r="E119" s="77"/>
      <c r="F119" s="9"/>
      <c r="G119" s="9"/>
      <c r="H119" s="9"/>
      <c r="I119" s="9"/>
      <c r="J119" s="9"/>
      <c r="K119" s="520"/>
      <c r="L119" s="235">
        <f>'[3]8'!J200</f>
        <v>0</v>
      </c>
      <c r="M119" s="235">
        <f>'[3]8'!K200</f>
        <v>0</v>
      </c>
      <c r="N119" s="235"/>
      <c r="O119" s="9"/>
      <c r="P119" s="12">
        <f>SUM(F119:O119)</f>
        <v>0</v>
      </c>
      <c r="Q119" s="533"/>
    </row>
    <row r="120" spans="1:17" ht="13.5" customHeight="1">
      <c r="A120" s="497"/>
      <c r="B120" s="497"/>
      <c r="C120" s="71" t="s">
        <v>1672</v>
      </c>
      <c r="D120" s="518"/>
      <c r="E120" s="68"/>
      <c r="F120" s="501">
        <f aca="true" t="shared" si="9" ref="F120:P120">SUM(F117:F119)</f>
        <v>0</v>
      </c>
      <c r="G120" s="501">
        <f t="shared" si="9"/>
        <v>0</v>
      </c>
      <c r="H120" s="501">
        <f t="shared" si="9"/>
        <v>-13270</v>
      </c>
      <c r="I120" s="501">
        <f t="shared" si="9"/>
        <v>0</v>
      </c>
      <c r="J120" s="501">
        <f t="shared" si="9"/>
        <v>0</v>
      </c>
      <c r="K120" s="501">
        <f t="shared" si="9"/>
        <v>0</v>
      </c>
      <c r="L120" s="501">
        <f t="shared" si="9"/>
        <v>0</v>
      </c>
      <c r="M120" s="501">
        <f t="shared" si="9"/>
        <v>0</v>
      </c>
      <c r="N120" s="501">
        <f t="shared" si="9"/>
        <v>0</v>
      </c>
      <c r="O120" s="501">
        <f t="shared" si="9"/>
        <v>0</v>
      </c>
      <c r="P120" s="501">
        <f t="shared" si="9"/>
        <v>-13270</v>
      </c>
      <c r="Q120" s="531"/>
    </row>
    <row r="121" spans="1:17" ht="13.5" customHeight="1">
      <c r="A121" s="8">
        <v>1</v>
      </c>
      <c r="B121" s="8">
        <v>18</v>
      </c>
      <c r="C121" s="519" t="s">
        <v>357</v>
      </c>
      <c r="D121" s="532"/>
      <c r="E121" s="77"/>
      <c r="F121" s="9"/>
      <c r="G121" s="9"/>
      <c r="H121" s="9"/>
      <c r="I121" s="9"/>
      <c r="J121" s="9"/>
      <c r="K121" s="520"/>
      <c r="L121" s="520"/>
      <c r="M121" s="520"/>
      <c r="N121" s="520"/>
      <c r="O121" s="9"/>
      <c r="P121" s="12"/>
      <c r="Q121" s="533"/>
    </row>
    <row r="122" spans="1:17" ht="13.5" customHeight="1">
      <c r="A122" s="8"/>
      <c r="B122" s="8"/>
      <c r="C122" s="1251"/>
      <c r="D122" s="1252"/>
      <c r="E122" s="77"/>
      <c r="F122" s="9"/>
      <c r="G122" s="9"/>
      <c r="H122" s="9"/>
      <c r="I122" s="9"/>
      <c r="J122" s="9"/>
      <c r="K122" s="520"/>
      <c r="L122" s="520"/>
      <c r="M122" s="520"/>
      <c r="N122" s="520"/>
      <c r="O122" s="9"/>
      <c r="P122" s="12"/>
      <c r="Q122" s="533"/>
    </row>
    <row r="123" spans="1:17" ht="13.5" customHeight="1">
      <c r="A123" s="497"/>
      <c r="B123" s="497"/>
      <c r="C123" s="71" t="s">
        <v>1128</v>
      </c>
      <c r="D123" s="518"/>
      <c r="E123" s="68"/>
      <c r="F123" s="501"/>
      <c r="G123" s="501"/>
      <c r="H123" s="501"/>
      <c r="I123" s="501"/>
      <c r="J123" s="501"/>
      <c r="K123" s="501"/>
      <c r="L123" s="501"/>
      <c r="M123" s="501"/>
      <c r="N123" s="501"/>
      <c r="O123" s="501"/>
      <c r="P123" s="501"/>
      <c r="Q123" s="531"/>
    </row>
    <row r="124" spans="1:17" ht="13.5" customHeight="1">
      <c r="A124" s="8"/>
      <c r="B124" s="8"/>
      <c r="C124" s="14" t="s">
        <v>1110</v>
      </c>
      <c r="D124" s="532"/>
      <c r="E124" s="77"/>
      <c r="F124" s="9"/>
      <c r="G124" s="9"/>
      <c r="H124" s="9"/>
      <c r="I124" s="9"/>
      <c r="J124" s="9"/>
      <c r="K124" s="520">
        <f>'[3]7'!J255</f>
        <v>0</v>
      </c>
      <c r="L124" s="520"/>
      <c r="M124" s="520">
        <f>'[3]7'!K255</f>
        <v>0</v>
      </c>
      <c r="N124" s="520"/>
      <c r="O124" s="9"/>
      <c r="P124" s="12">
        <f>SUM(F124:O124)</f>
        <v>0</v>
      </c>
      <c r="Q124" s="533"/>
    </row>
    <row r="125" spans="1:17" ht="13.5" customHeight="1">
      <c r="A125" s="497"/>
      <c r="B125" s="497"/>
      <c r="C125" s="71" t="s">
        <v>935</v>
      </c>
      <c r="D125" s="518"/>
      <c r="E125" s="68"/>
      <c r="F125" s="501">
        <f aca="true" t="shared" si="10" ref="F125:P125">SUM(F123:F124)</f>
        <v>0</v>
      </c>
      <c r="G125" s="501">
        <f t="shared" si="10"/>
        <v>0</v>
      </c>
      <c r="H125" s="501">
        <f t="shared" si="10"/>
        <v>0</v>
      </c>
      <c r="I125" s="501">
        <f t="shared" si="10"/>
        <v>0</v>
      </c>
      <c r="J125" s="501">
        <f t="shared" si="10"/>
        <v>0</v>
      </c>
      <c r="K125" s="501">
        <f t="shared" si="10"/>
        <v>0</v>
      </c>
      <c r="L125" s="501">
        <f t="shared" si="10"/>
        <v>0</v>
      </c>
      <c r="M125" s="501">
        <f t="shared" si="10"/>
        <v>0</v>
      </c>
      <c r="N125" s="501">
        <f t="shared" si="10"/>
        <v>0</v>
      </c>
      <c r="O125" s="501">
        <f t="shared" si="10"/>
        <v>0</v>
      </c>
      <c r="P125" s="501">
        <f t="shared" si="10"/>
        <v>0</v>
      </c>
      <c r="Q125" s="531"/>
    </row>
    <row r="126" spans="1:17" ht="13.5" customHeight="1">
      <c r="A126" s="78">
        <v>1</v>
      </c>
      <c r="B126" s="78">
        <v>19</v>
      </c>
      <c r="C126" s="19" t="s">
        <v>893</v>
      </c>
      <c r="D126" s="522"/>
      <c r="E126" s="78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12"/>
      <c r="Q126" s="491"/>
    </row>
    <row r="127" spans="1:17" ht="24.75" customHeight="1">
      <c r="A127" s="78"/>
      <c r="B127" s="78"/>
      <c r="C127" s="1358" t="s">
        <v>1553</v>
      </c>
      <c r="D127" s="1359"/>
      <c r="E127" s="536"/>
      <c r="F127" s="235"/>
      <c r="G127" s="235"/>
      <c r="H127" s="235"/>
      <c r="I127" s="235"/>
      <c r="J127" s="235"/>
      <c r="K127" s="235"/>
      <c r="L127" s="235"/>
      <c r="M127" s="235"/>
      <c r="N127" s="235"/>
      <c r="O127" s="235"/>
      <c r="P127" s="12"/>
      <c r="Q127" s="491"/>
    </row>
    <row r="128" spans="1:17" ht="13.5" customHeight="1">
      <c r="A128" s="78"/>
      <c r="B128" s="78"/>
      <c r="C128" s="15" t="s">
        <v>938</v>
      </c>
      <c r="D128" s="526"/>
      <c r="E128" s="525">
        <v>1</v>
      </c>
      <c r="F128" s="235"/>
      <c r="G128" s="235"/>
      <c r="H128" s="235">
        <v>-3544</v>
      </c>
      <c r="I128" s="235"/>
      <c r="J128" s="235"/>
      <c r="K128" s="235"/>
      <c r="L128" s="235"/>
      <c r="M128" s="235"/>
      <c r="N128" s="235"/>
      <c r="O128" s="235"/>
      <c r="P128" s="12">
        <f>SUM(F128:O128)</f>
        <v>-3544</v>
      </c>
      <c r="Q128" s="491" t="s">
        <v>606</v>
      </c>
    </row>
    <row r="129" spans="1:17" ht="24.75" customHeight="1">
      <c r="A129" s="78"/>
      <c r="B129" s="78"/>
      <c r="C129" s="1362" t="s">
        <v>1129</v>
      </c>
      <c r="D129" s="1363"/>
      <c r="E129" s="78">
        <v>1</v>
      </c>
      <c r="F129" s="235"/>
      <c r="G129" s="235"/>
      <c r="H129" s="235"/>
      <c r="I129" s="235"/>
      <c r="J129" s="235">
        <v>13915</v>
      </c>
      <c r="K129" s="235"/>
      <c r="L129" s="235"/>
      <c r="M129" s="235"/>
      <c r="N129" s="235"/>
      <c r="O129" s="235"/>
      <c r="P129" s="12">
        <f>SUM(F129:O129)</f>
        <v>13915</v>
      </c>
      <c r="Q129" s="491" t="s">
        <v>606</v>
      </c>
    </row>
    <row r="130" spans="1:17" ht="24.75" customHeight="1">
      <c r="A130" s="78"/>
      <c r="B130" s="78"/>
      <c r="C130" s="1266" t="s">
        <v>829</v>
      </c>
      <c r="D130" s="1364"/>
      <c r="E130" s="525">
        <v>1</v>
      </c>
      <c r="F130" s="235"/>
      <c r="G130" s="235"/>
      <c r="H130" s="235"/>
      <c r="I130" s="235"/>
      <c r="J130" s="235">
        <v>7060</v>
      </c>
      <c r="K130" s="235"/>
      <c r="L130" s="235"/>
      <c r="M130" s="235"/>
      <c r="N130" s="235"/>
      <c r="O130" s="235"/>
      <c r="P130" s="12">
        <f>SUM(F130:O130)</f>
        <v>7060</v>
      </c>
      <c r="Q130" s="491" t="s">
        <v>606</v>
      </c>
    </row>
    <row r="131" spans="1:17" ht="24.75" customHeight="1">
      <c r="A131" s="78"/>
      <c r="B131" s="78"/>
      <c r="C131" s="1366" t="s">
        <v>1130</v>
      </c>
      <c r="D131" s="1473"/>
      <c r="E131" s="525">
        <v>1</v>
      </c>
      <c r="F131" s="235"/>
      <c r="G131" s="235"/>
      <c r="H131" s="235"/>
      <c r="I131" s="235"/>
      <c r="J131" s="235">
        <v>2045</v>
      </c>
      <c r="K131" s="235"/>
      <c r="L131" s="235"/>
      <c r="M131" s="235"/>
      <c r="N131" s="235"/>
      <c r="O131" s="235"/>
      <c r="P131" s="12">
        <f>SUM(F131:O131)</f>
        <v>2045</v>
      </c>
      <c r="Q131" s="491" t="s">
        <v>606</v>
      </c>
    </row>
    <row r="132" spans="1:17" ht="15" customHeight="1">
      <c r="A132" s="78"/>
      <c r="B132" s="78"/>
      <c r="C132" s="1263" t="s">
        <v>1133</v>
      </c>
      <c r="D132" s="1479"/>
      <c r="E132" s="525">
        <v>2</v>
      </c>
      <c r="F132" s="235"/>
      <c r="G132" s="235"/>
      <c r="H132" s="235">
        <v>300</v>
      </c>
      <c r="I132" s="235"/>
      <c r="J132" s="235"/>
      <c r="K132" s="235"/>
      <c r="L132" s="235"/>
      <c r="M132" s="235"/>
      <c r="N132" s="235"/>
      <c r="O132" s="235"/>
      <c r="P132" s="12">
        <f>SUM(F132:O132)</f>
        <v>300</v>
      </c>
      <c r="Q132" s="491" t="s">
        <v>606</v>
      </c>
    </row>
    <row r="133" spans="1:17" ht="24.75" customHeight="1">
      <c r="A133" s="78"/>
      <c r="B133" s="78"/>
      <c r="C133" s="1214" t="s">
        <v>587</v>
      </c>
      <c r="D133" s="1215"/>
      <c r="E133" s="538"/>
      <c r="F133" s="235"/>
      <c r="G133" s="235"/>
      <c r="H133" s="235"/>
      <c r="I133" s="235"/>
      <c r="J133" s="235"/>
      <c r="K133" s="235"/>
      <c r="L133" s="235"/>
      <c r="M133" s="235"/>
      <c r="N133" s="235"/>
      <c r="O133" s="235"/>
      <c r="P133" s="12"/>
      <c r="Q133" s="491"/>
    </row>
    <row r="134" spans="1:17" ht="15" customHeight="1">
      <c r="A134" s="78"/>
      <c r="B134" s="78"/>
      <c r="C134" s="14" t="s">
        <v>1132</v>
      </c>
      <c r="D134" s="65"/>
      <c r="E134" s="538">
        <v>2</v>
      </c>
      <c r="F134" s="235"/>
      <c r="G134" s="235"/>
      <c r="H134" s="235"/>
      <c r="I134" s="235"/>
      <c r="J134" s="235">
        <v>-254</v>
      </c>
      <c r="K134" s="235"/>
      <c r="L134" s="235"/>
      <c r="M134" s="235"/>
      <c r="N134" s="235"/>
      <c r="O134" s="235"/>
      <c r="P134" s="12">
        <f>SUM(H134:O134)</f>
        <v>-254</v>
      </c>
      <c r="Q134" s="491" t="s">
        <v>643</v>
      </c>
    </row>
    <row r="135" spans="1:17" ht="15" customHeight="1">
      <c r="A135" s="78"/>
      <c r="B135" s="78"/>
      <c r="C135" s="1266" t="s">
        <v>588</v>
      </c>
      <c r="D135" s="1364"/>
      <c r="E135" s="538">
        <v>2</v>
      </c>
      <c r="F135" s="235"/>
      <c r="G135" s="235"/>
      <c r="H135" s="235"/>
      <c r="I135" s="235"/>
      <c r="J135" s="235">
        <v>2300</v>
      </c>
      <c r="K135" s="235"/>
      <c r="L135" s="235"/>
      <c r="M135" s="235"/>
      <c r="N135" s="235"/>
      <c r="O135" s="235"/>
      <c r="P135" s="12">
        <f>SUM(H135:O135)</f>
        <v>2300</v>
      </c>
      <c r="Q135" s="491" t="s">
        <v>606</v>
      </c>
    </row>
    <row r="136" spans="1:17" ht="15" customHeight="1">
      <c r="A136" s="78"/>
      <c r="B136" s="78"/>
      <c r="C136" s="1261" t="s">
        <v>1441</v>
      </c>
      <c r="D136" s="1262"/>
      <c r="E136" s="538"/>
      <c r="F136" s="235"/>
      <c r="G136" s="235"/>
      <c r="H136" s="235"/>
      <c r="I136" s="235"/>
      <c r="J136" s="235"/>
      <c r="K136" s="235"/>
      <c r="L136" s="235"/>
      <c r="M136" s="235"/>
      <c r="N136" s="235"/>
      <c r="O136" s="235"/>
      <c r="P136" s="12"/>
      <c r="Q136" s="491"/>
    </row>
    <row r="137" spans="1:17" ht="15" customHeight="1">
      <c r="A137" s="78"/>
      <c r="B137" s="78"/>
      <c r="C137" s="1249" t="s">
        <v>948</v>
      </c>
      <c r="D137" s="1250"/>
      <c r="E137" s="538">
        <v>1</v>
      </c>
      <c r="F137" s="235"/>
      <c r="G137" s="235"/>
      <c r="H137" s="235"/>
      <c r="I137" s="235"/>
      <c r="J137" s="235">
        <v>32053</v>
      </c>
      <c r="K137" s="235"/>
      <c r="L137" s="235"/>
      <c r="M137" s="235"/>
      <c r="N137" s="235"/>
      <c r="O137" s="235"/>
      <c r="P137" s="12">
        <f>SUM(H137:O137)</f>
        <v>32053</v>
      </c>
      <c r="Q137" s="491" t="s">
        <v>606</v>
      </c>
    </row>
    <row r="138" spans="1:17" ht="15" customHeight="1">
      <c r="A138" s="78"/>
      <c r="B138" s="78"/>
      <c r="C138" s="766" t="s">
        <v>1472</v>
      </c>
      <c r="D138" s="727"/>
      <c r="E138" s="538"/>
      <c r="F138" s="235"/>
      <c r="G138" s="235"/>
      <c r="H138" s="235"/>
      <c r="I138" s="235"/>
      <c r="J138" s="235"/>
      <c r="K138" s="235"/>
      <c r="L138" s="235"/>
      <c r="M138" s="235"/>
      <c r="N138" s="235"/>
      <c r="O138" s="235"/>
      <c r="P138" s="12"/>
      <c r="Q138" s="491"/>
    </row>
    <row r="139" spans="1:17" ht="15" customHeight="1">
      <c r="A139" s="78"/>
      <c r="B139" s="78"/>
      <c r="C139" s="766" t="s">
        <v>939</v>
      </c>
      <c r="D139" s="727"/>
      <c r="E139" s="538">
        <v>1</v>
      </c>
      <c r="F139" s="235"/>
      <c r="G139" s="235"/>
      <c r="H139" s="235">
        <v>-800</v>
      </c>
      <c r="I139" s="235"/>
      <c r="J139" s="235"/>
      <c r="K139" s="235"/>
      <c r="L139" s="235"/>
      <c r="M139" s="235"/>
      <c r="N139" s="235"/>
      <c r="O139" s="235"/>
      <c r="P139" s="12">
        <f>SUM(H139:O139)</f>
        <v>-800</v>
      </c>
      <c r="Q139" s="491" t="s">
        <v>606</v>
      </c>
    </row>
    <row r="140" spans="1:17" ht="13.5" customHeight="1">
      <c r="A140" s="500"/>
      <c r="B140" s="500"/>
      <c r="C140" s="71" t="s">
        <v>1135</v>
      </c>
      <c r="D140" s="499"/>
      <c r="E140" s="500"/>
      <c r="F140" s="501">
        <f aca="true" t="shared" si="11" ref="F140:P140">SUM(F127:F139)</f>
        <v>0</v>
      </c>
      <c r="G140" s="501">
        <f t="shared" si="11"/>
        <v>0</v>
      </c>
      <c r="H140" s="501">
        <f t="shared" si="11"/>
        <v>-4044</v>
      </c>
      <c r="I140" s="501">
        <f t="shared" si="11"/>
        <v>0</v>
      </c>
      <c r="J140" s="501">
        <f t="shared" si="11"/>
        <v>57119</v>
      </c>
      <c r="K140" s="501">
        <f t="shared" si="11"/>
        <v>0</v>
      </c>
      <c r="L140" s="501">
        <f t="shared" si="11"/>
        <v>0</v>
      </c>
      <c r="M140" s="501">
        <f t="shared" si="11"/>
        <v>0</v>
      </c>
      <c r="N140" s="501">
        <f t="shared" si="11"/>
        <v>0</v>
      </c>
      <c r="O140" s="501">
        <f t="shared" si="11"/>
        <v>0</v>
      </c>
      <c r="P140" s="501">
        <f t="shared" si="11"/>
        <v>53075</v>
      </c>
      <c r="Q140" s="502"/>
    </row>
    <row r="141" spans="1:17" ht="13.5" customHeight="1">
      <c r="A141" s="8"/>
      <c r="B141" s="8"/>
      <c r="C141" s="15" t="s">
        <v>1110</v>
      </c>
      <c r="D141" s="59"/>
      <c r="E141" s="78"/>
      <c r="F141" s="9"/>
      <c r="G141" s="9"/>
      <c r="H141" s="9"/>
      <c r="I141" s="9"/>
      <c r="J141" s="9"/>
      <c r="K141" s="520">
        <f>'[3]7'!J263</f>
        <v>0</v>
      </c>
      <c r="L141" s="520"/>
      <c r="M141" s="235">
        <f>'[3]7'!K263</f>
        <v>-46</v>
      </c>
      <c r="N141" s="235"/>
      <c r="O141" s="9"/>
      <c r="P141" s="12">
        <f>SUM(F141:O141)</f>
        <v>-46</v>
      </c>
      <c r="Q141" s="491"/>
    </row>
    <row r="142" spans="1:17" ht="13.5" customHeight="1">
      <c r="A142" s="8"/>
      <c r="B142" s="8"/>
      <c r="C142" s="15" t="s">
        <v>1883</v>
      </c>
      <c r="D142" s="59"/>
      <c r="E142" s="78"/>
      <c r="F142" s="9"/>
      <c r="G142" s="9"/>
      <c r="H142" s="9"/>
      <c r="I142" s="9"/>
      <c r="J142" s="9"/>
      <c r="K142" s="520"/>
      <c r="L142" s="520">
        <f>'[3]8'!K204</f>
        <v>0</v>
      </c>
      <c r="M142" s="235">
        <f>'[3]8'!K204</f>
        <v>0</v>
      </c>
      <c r="N142" s="235"/>
      <c r="O142" s="9"/>
      <c r="P142" s="12">
        <f>SUM(F142:O142)</f>
        <v>0</v>
      </c>
      <c r="Q142" s="491"/>
    </row>
    <row r="143" spans="1:17" ht="13.5" customHeight="1">
      <c r="A143" s="497"/>
      <c r="B143" s="497"/>
      <c r="C143" s="71" t="s">
        <v>895</v>
      </c>
      <c r="D143" s="499"/>
      <c r="E143" s="500"/>
      <c r="F143" s="501">
        <f aca="true" t="shared" si="12" ref="F143:P143">SUM(F140:F142)</f>
        <v>0</v>
      </c>
      <c r="G143" s="501">
        <f t="shared" si="12"/>
        <v>0</v>
      </c>
      <c r="H143" s="501">
        <f t="shared" si="12"/>
        <v>-4044</v>
      </c>
      <c r="I143" s="501">
        <f t="shared" si="12"/>
        <v>0</v>
      </c>
      <c r="J143" s="501">
        <f t="shared" si="12"/>
        <v>57119</v>
      </c>
      <c r="K143" s="501">
        <f t="shared" si="12"/>
        <v>0</v>
      </c>
      <c r="L143" s="501">
        <f t="shared" si="12"/>
        <v>0</v>
      </c>
      <c r="M143" s="501">
        <f t="shared" si="12"/>
        <v>-46</v>
      </c>
      <c r="N143" s="501">
        <f t="shared" si="12"/>
        <v>0</v>
      </c>
      <c r="O143" s="501">
        <f t="shared" si="12"/>
        <v>0</v>
      </c>
      <c r="P143" s="501">
        <f t="shared" si="12"/>
        <v>53029</v>
      </c>
      <c r="Q143" s="502"/>
    </row>
    <row r="144" spans="1:17" ht="24.75" customHeight="1">
      <c r="A144" s="8">
        <v>1</v>
      </c>
      <c r="B144" s="8">
        <v>20</v>
      </c>
      <c r="C144" s="1209" t="s">
        <v>1553</v>
      </c>
      <c r="D144" s="1368"/>
      <c r="E144" s="63"/>
      <c r="F144" s="9"/>
      <c r="G144" s="9"/>
      <c r="H144" s="539"/>
      <c r="I144" s="539"/>
      <c r="J144" s="539"/>
      <c r="K144" s="539"/>
      <c r="L144" s="539"/>
      <c r="M144" s="539"/>
      <c r="N144" s="539"/>
      <c r="O144" s="539"/>
      <c r="P144" s="12">
        <f>SUM(F144:O144)</f>
        <v>0</v>
      </c>
      <c r="Q144" s="521"/>
    </row>
    <row r="145" spans="1:17" ht="13.5" customHeight="1">
      <c r="A145" s="497"/>
      <c r="B145" s="497"/>
      <c r="C145" s="71" t="s">
        <v>1886</v>
      </c>
      <c r="D145" s="499"/>
      <c r="E145" s="500">
        <v>1</v>
      </c>
      <c r="F145" s="501">
        <f>SUM(F144:F144)</f>
        <v>0</v>
      </c>
      <c r="G145" s="501">
        <f>SUM(G144:G144)</f>
        <v>0</v>
      </c>
      <c r="H145" s="501">
        <v>0</v>
      </c>
      <c r="I145" s="501">
        <f aca="true" t="shared" si="13" ref="I145:O145">SUM(I144:I144)</f>
        <v>0</v>
      </c>
      <c r="J145" s="501">
        <f t="shared" si="13"/>
        <v>0</v>
      </c>
      <c r="K145" s="501">
        <f t="shared" si="13"/>
        <v>0</v>
      </c>
      <c r="L145" s="501">
        <f t="shared" si="13"/>
        <v>0</v>
      </c>
      <c r="M145" s="501">
        <f t="shared" si="13"/>
        <v>0</v>
      </c>
      <c r="N145" s="501">
        <f t="shared" si="13"/>
        <v>0</v>
      </c>
      <c r="O145" s="501">
        <f t="shared" si="13"/>
        <v>0</v>
      </c>
      <c r="P145" s="501">
        <f>SUM(F145:O145)</f>
        <v>0</v>
      </c>
      <c r="Q145" s="502" t="s">
        <v>606</v>
      </c>
    </row>
    <row r="146" spans="1:17" ht="13.5" customHeight="1">
      <c r="A146" s="540">
        <v>1</v>
      </c>
      <c r="B146" s="540">
        <v>22</v>
      </c>
      <c r="C146" s="1333" t="s">
        <v>1090</v>
      </c>
      <c r="D146" s="1334"/>
      <c r="E146" s="541"/>
      <c r="F146" s="9"/>
      <c r="G146" s="9"/>
      <c r="H146" s="9"/>
      <c r="I146" s="9"/>
      <c r="J146" s="9"/>
      <c r="K146" s="520"/>
      <c r="L146" s="520"/>
      <c r="M146" s="520"/>
      <c r="N146" s="520"/>
      <c r="O146" s="9"/>
      <c r="P146" s="12"/>
      <c r="Q146" s="491"/>
    </row>
    <row r="147" spans="1:17" ht="13.5" customHeight="1">
      <c r="A147" s="540"/>
      <c r="B147" s="540"/>
      <c r="C147" s="1251" t="s">
        <v>1553</v>
      </c>
      <c r="D147" s="1365"/>
      <c r="E147" s="525"/>
      <c r="F147" s="235"/>
      <c r="G147" s="235"/>
      <c r="H147" s="235"/>
      <c r="I147" s="235"/>
      <c r="J147" s="235"/>
      <c r="K147" s="235"/>
      <c r="L147" s="235"/>
      <c r="M147" s="235"/>
      <c r="N147" s="235"/>
      <c r="O147" s="235"/>
      <c r="P147" s="12"/>
      <c r="Q147" s="491"/>
    </row>
    <row r="148" spans="1:17" ht="13.5" customHeight="1">
      <c r="A148" s="540"/>
      <c r="B148" s="540"/>
      <c r="C148" s="91" t="s">
        <v>920</v>
      </c>
      <c r="D148" s="542"/>
      <c r="E148" s="93">
        <v>2</v>
      </c>
      <c r="F148" s="235">
        <v>100</v>
      </c>
      <c r="G148" s="235"/>
      <c r="H148" s="235">
        <v>-2584</v>
      </c>
      <c r="I148" s="235"/>
      <c r="J148" s="235"/>
      <c r="K148" s="235"/>
      <c r="L148" s="235"/>
      <c r="M148" s="235"/>
      <c r="N148" s="235"/>
      <c r="O148" s="235"/>
      <c r="P148" s="12">
        <f>SUM(F148:O148)</f>
        <v>-2484</v>
      </c>
      <c r="Q148" s="521" t="s">
        <v>606</v>
      </c>
    </row>
    <row r="149" spans="1:17" ht="13.5" customHeight="1">
      <c r="A149" s="540"/>
      <c r="B149" s="540"/>
      <c r="C149" s="14" t="s">
        <v>487</v>
      </c>
      <c r="D149" s="542"/>
      <c r="E149" s="93">
        <v>2</v>
      </c>
      <c r="F149" s="235"/>
      <c r="G149" s="235"/>
      <c r="H149" s="235"/>
      <c r="I149" s="235"/>
      <c r="J149" s="235">
        <v>-182</v>
      </c>
      <c r="K149" s="235"/>
      <c r="L149" s="235"/>
      <c r="M149" s="235"/>
      <c r="N149" s="235"/>
      <c r="O149" s="235"/>
      <c r="P149" s="12">
        <f>SUM(F149:O149)</f>
        <v>-182</v>
      </c>
      <c r="Q149" s="521" t="s">
        <v>606</v>
      </c>
    </row>
    <row r="150" spans="1:17" ht="13.5" customHeight="1">
      <c r="A150" s="540"/>
      <c r="B150" s="540"/>
      <c r="C150" s="1261" t="s">
        <v>1474</v>
      </c>
      <c r="D150" s="1340"/>
      <c r="E150" s="93"/>
      <c r="F150" s="235"/>
      <c r="G150" s="235"/>
      <c r="H150" s="235"/>
      <c r="I150" s="235"/>
      <c r="J150" s="235"/>
      <c r="K150" s="235"/>
      <c r="L150" s="235"/>
      <c r="M150" s="235"/>
      <c r="N150" s="235"/>
      <c r="O150" s="235"/>
      <c r="P150" s="12"/>
      <c r="Q150" s="521"/>
    </row>
    <row r="151" spans="1:17" ht="13.5" customHeight="1">
      <c r="A151" s="540"/>
      <c r="B151" s="540"/>
      <c r="C151" s="15" t="s">
        <v>943</v>
      </c>
      <c r="D151" s="522"/>
      <c r="E151" s="93">
        <v>2</v>
      </c>
      <c r="F151" s="235">
        <v>400</v>
      </c>
      <c r="G151" s="235">
        <v>-1500</v>
      </c>
      <c r="H151" s="235">
        <v>4084</v>
      </c>
      <c r="I151" s="235"/>
      <c r="J151" s="235"/>
      <c r="K151" s="235"/>
      <c r="L151" s="235"/>
      <c r="M151" s="235"/>
      <c r="N151" s="235"/>
      <c r="O151" s="235"/>
      <c r="P151" s="12">
        <f>SUM(F151:O151)</f>
        <v>2984</v>
      </c>
      <c r="Q151" s="521" t="s">
        <v>606</v>
      </c>
    </row>
    <row r="152" spans="1:17" ht="13.5" customHeight="1">
      <c r="A152" s="540"/>
      <c r="B152" s="540"/>
      <c r="C152" s="64" t="s">
        <v>1426</v>
      </c>
      <c r="D152" s="137"/>
      <c r="E152" s="63"/>
      <c r="F152" s="235"/>
      <c r="G152" s="235"/>
      <c r="H152" s="235"/>
      <c r="I152" s="235"/>
      <c r="J152" s="235"/>
      <c r="K152" s="235"/>
      <c r="L152" s="235"/>
      <c r="M152" s="235"/>
      <c r="N152" s="235"/>
      <c r="O152" s="235"/>
      <c r="P152" s="12"/>
      <c r="Q152" s="521"/>
    </row>
    <row r="153" spans="1:17" ht="13.5" customHeight="1">
      <c r="A153" s="540"/>
      <c r="B153" s="540"/>
      <c r="C153" s="1249" t="s">
        <v>68</v>
      </c>
      <c r="D153" s="1250"/>
      <c r="E153" s="63">
        <v>2</v>
      </c>
      <c r="F153" s="235"/>
      <c r="G153" s="235"/>
      <c r="H153" s="235">
        <v>-100</v>
      </c>
      <c r="I153" s="235"/>
      <c r="J153" s="235"/>
      <c r="K153" s="235"/>
      <c r="L153" s="235"/>
      <c r="M153" s="235"/>
      <c r="N153" s="235"/>
      <c r="O153" s="235"/>
      <c r="P153" s="12">
        <f>SUM(F153:O153)</f>
        <v>-100</v>
      </c>
      <c r="Q153" s="521" t="s">
        <v>606</v>
      </c>
    </row>
    <row r="154" spans="1:17" ht="13.5" customHeight="1">
      <c r="A154" s="540"/>
      <c r="B154" s="540"/>
      <c r="C154" s="141" t="s">
        <v>924</v>
      </c>
      <c r="D154" s="545"/>
      <c r="E154" s="536">
        <v>2</v>
      </c>
      <c r="F154" s="235"/>
      <c r="G154" s="235"/>
      <c r="H154" s="235">
        <v>-8281</v>
      </c>
      <c r="I154" s="235"/>
      <c r="J154" s="235">
        <v>6915</v>
      </c>
      <c r="K154" s="235"/>
      <c r="L154" s="235"/>
      <c r="M154" s="235"/>
      <c r="N154" s="235"/>
      <c r="O154" s="235"/>
      <c r="P154" s="12">
        <f>SUM(F154:O154)</f>
        <v>-1366</v>
      </c>
      <c r="Q154" s="521" t="s">
        <v>606</v>
      </c>
    </row>
    <row r="155" spans="1:17" ht="13.5" customHeight="1">
      <c r="A155" s="547"/>
      <c r="B155" s="547"/>
      <c r="C155" s="548" t="s">
        <v>1690</v>
      </c>
      <c r="D155" s="549"/>
      <c r="E155" s="443"/>
      <c r="F155" s="501">
        <f aca="true" t="shared" si="14" ref="F155:P155">SUM(F146:F154)</f>
        <v>500</v>
      </c>
      <c r="G155" s="501">
        <f t="shared" si="14"/>
        <v>-1500</v>
      </c>
      <c r="H155" s="501">
        <f t="shared" si="14"/>
        <v>-6881</v>
      </c>
      <c r="I155" s="501">
        <f t="shared" si="14"/>
        <v>0</v>
      </c>
      <c r="J155" s="501">
        <f t="shared" si="14"/>
        <v>6733</v>
      </c>
      <c r="K155" s="501">
        <f t="shared" si="14"/>
        <v>0</v>
      </c>
      <c r="L155" s="501">
        <f t="shared" si="14"/>
        <v>0</v>
      </c>
      <c r="M155" s="501">
        <f t="shared" si="14"/>
        <v>0</v>
      </c>
      <c r="N155" s="501">
        <f t="shared" si="14"/>
        <v>0</v>
      </c>
      <c r="O155" s="501">
        <f t="shared" si="14"/>
        <v>0</v>
      </c>
      <c r="P155" s="501">
        <f t="shared" si="14"/>
        <v>-1148</v>
      </c>
      <c r="Q155" s="531"/>
    </row>
    <row r="156" spans="1:17" ht="13.5" customHeight="1">
      <c r="A156" s="8"/>
      <c r="B156" s="8"/>
      <c r="C156" s="15" t="s">
        <v>1110</v>
      </c>
      <c r="D156" s="59"/>
      <c r="E156" s="78"/>
      <c r="F156" s="9"/>
      <c r="G156" s="9"/>
      <c r="H156" s="9"/>
      <c r="I156" s="9"/>
      <c r="J156" s="9"/>
      <c r="K156" s="235">
        <f>'[3]7'!J268</f>
        <v>212</v>
      </c>
      <c r="L156" s="235"/>
      <c r="M156" s="235">
        <f>'[3]7'!K268</f>
        <v>4935</v>
      </c>
      <c r="N156" s="235"/>
      <c r="O156" s="9"/>
      <c r="P156" s="12">
        <f>SUM(F156:O156)</f>
        <v>5147</v>
      </c>
      <c r="Q156" s="491" t="s">
        <v>606</v>
      </c>
    </row>
    <row r="157" spans="1:17" ht="13.5" customHeight="1">
      <c r="A157" s="497"/>
      <c r="B157" s="497"/>
      <c r="C157" s="71" t="s">
        <v>1092</v>
      </c>
      <c r="D157" s="499"/>
      <c r="E157" s="500"/>
      <c r="F157" s="501">
        <f aca="true" t="shared" si="15" ref="F157:P157">SUM(F155:F156)</f>
        <v>500</v>
      </c>
      <c r="G157" s="501">
        <f t="shared" si="15"/>
        <v>-1500</v>
      </c>
      <c r="H157" s="501">
        <f t="shared" si="15"/>
        <v>-6881</v>
      </c>
      <c r="I157" s="501">
        <f t="shared" si="15"/>
        <v>0</v>
      </c>
      <c r="J157" s="501">
        <f t="shared" si="15"/>
        <v>6733</v>
      </c>
      <c r="K157" s="501">
        <f t="shared" si="15"/>
        <v>212</v>
      </c>
      <c r="L157" s="501">
        <f t="shared" si="15"/>
        <v>0</v>
      </c>
      <c r="M157" s="501">
        <f t="shared" si="15"/>
        <v>4935</v>
      </c>
      <c r="N157" s="501">
        <f t="shared" si="15"/>
        <v>0</v>
      </c>
      <c r="O157" s="501">
        <f t="shared" si="15"/>
        <v>0</v>
      </c>
      <c r="P157" s="501">
        <f t="shared" si="15"/>
        <v>3999</v>
      </c>
      <c r="Q157" s="502"/>
    </row>
    <row r="158" spans="1:17" ht="13.5" customHeight="1">
      <c r="A158" s="78">
        <v>1</v>
      </c>
      <c r="B158" s="78">
        <v>30</v>
      </c>
      <c r="C158" s="19" t="s">
        <v>1137</v>
      </c>
      <c r="D158" s="522"/>
      <c r="E158" s="78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2"/>
      <c r="Q158" s="491"/>
    </row>
    <row r="159" spans="1:17" ht="13.5" customHeight="1">
      <c r="A159" s="78"/>
      <c r="B159" s="84">
        <v>31</v>
      </c>
      <c r="C159" s="19" t="s">
        <v>1692</v>
      </c>
      <c r="D159" s="18"/>
      <c r="E159" s="78">
        <v>1</v>
      </c>
      <c r="F159" s="16"/>
      <c r="G159" s="16"/>
      <c r="H159" s="16"/>
      <c r="I159" s="16"/>
      <c r="J159" s="16">
        <v>-1000</v>
      </c>
      <c r="K159" s="16"/>
      <c r="L159" s="16"/>
      <c r="M159" s="16"/>
      <c r="N159" s="16"/>
      <c r="O159" s="16"/>
      <c r="P159" s="12">
        <f>SUM(F159:O159)</f>
        <v>-1000</v>
      </c>
      <c r="Q159" s="491" t="s">
        <v>606</v>
      </c>
    </row>
    <row r="160" spans="1:17" ht="13.5" customHeight="1">
      <c r="A160" s="78"/>
      <c r="B160" s="78">
        <v>32</v>
      </c>
      <c r="C160" s="19" t="s">
        <v>1138</v>
      </c>
      <c r="D160" s="522"/>
      <c r="E160" s="78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2"/>
      <c r="Q160" s="491"/>
    </row>
    <row r="161" spans="1:17" ht="12.75" customHeight="1">
      <c r="A161" s="78"/>
      <c r="B161" s="78"/>
      <c r="C161" s="1214" t="s">
        <v>1139</v>
      </c>
      <c r="D161" s="1215"/>
      <c r="E161" s="78">
        <v>1</v>
      </c>
      <c r="F161" s="16"/>
      <c r="G161" s="16"/>
      <c r="H161" s="16"/>
      <c r="I161" s="16"/>
      <c r="J161" s="16">
        <v>-3000</v>
      </c>
      <c r="K161" s="16"/>
      <c r="L161" s="16"/>
      <c r="M161" s="16"/>
      <c r="N161" s="16"/>
      <c r="O161" s="16"/>
      <c r="P161" s="12">
        <f>SUM(F161:O161)</f>
        <v>-3000</v>
      </c>
      <c r="Q161" s="491" t="s">
        <v>606</v>
      </c>
    </row>
    <row r="162" spans="1:17" ht="15" customHeight="1">
      <c r="A162" s="78"/>
      <c r="B162" s="78"/>
      <c r="C162" s="1249" t="s">
        <v>1693</v>
      </c>
      <c r="D162" s="1369"/>
      <c r="E162" s="536">
        <v>1</v>
      </c>
      <c r="F162" s="16"/>
      <c r="G162" s="16"/>
      <c r="H162" s="16"/>
      <c r="I162" s="16"/>
      <c r="J162" s="16">
        <v>-27129</v>
      </c>
      <c r="K162" s="16"/>
      <c r="L162" s="16"/>
      <c r="M162" s="16"/>
      <c r="N162" s="16"/>
      <c r="O162" s="16"/>
      <c r="P162" s="12">
        <f>SUM(F162:O162)</f>
        <v>-27129</v>
      </c>
      <c r="Q162" s="491" t="s">
        <v>606</v>
      </c>
    </row>
    <row r="163" spans="1:17" ht="12.75" customHeight="1">
      <c r="A163" s="78"/>
      <c r="B163" s="78"/>
      <c r="C163" s="732" t="s">
        <v>1512</v>
      </c>
      <c r="D163" s="733"/>
      <c r="E163" s="536">
        <v>1</v>
      </c>
      <c r="F163" s="16"/>
      <c r="G163" s="16"/>
      <c r="H163" s="16"/>
      <c r="I163" s="16"/>
      <c r="J163" s="16">
        <v>-7295</v>
      </c>
      <c r="K163" s="16"/>
      <c r="L163" s="16"/>
      <c r="M163" s="16"/>
      <c r="N163" s="16"/>
      <c r="O163" s="16"/>
      <c r="P163" s="12">
        <f>SUM(F163:O163)</f>
        <v>-7295</v>
      </c>
      <c r="Q163" s="491" t="s">
        <v>606</v>
      </c>
    </row>
    <row r="164" spans="1:17" ht="24.75" customHeight="1">
      <c r="A164" s="78"/>
      <c r="B164" s="78"/>
      <c r="C164" s="1249" t="s">
        <v>1476</v>
      </c>
      <c r="D164" s="1250"/>
      <c r="E164" s="536">
        <v>1</v>
      </c>
      <c r="F164" s="16"/>
      <c r="G164" s="16"/>
      <c r="H164" s="16"/>
      <c r="I164" s="16"/>
      <c r="J164" s="16">
        <v>-17810</v>
      </c>
      <c r="K164" s="16"/>
      <c r="L164" s="16"/>
      <c r="M164" s="16"/>
      <c r="N164" s="16"/>
      <c r="O164" s="16"/>
      <c r="P164" s="12">
        <f>SUM(F164:O164)</f>
        <v>-17810</v>
      </c>
      <c r="Q164" s="491" t="s">
        <v>606</v>
      </c>
    </row>
    <row r="165" spans="1:17" ht="12.75" customHeight="1">
      <c r="A165" s="78"/>
      <c r="B165" s="78"/>
      <c r="C165" s="1249" t="s">
        <v>277</v>
      </c>
      <c r="D165" s="1250"/>
      <c r="E165" s="536">
        <v>2</v>
      </c>
      <c r="F165" s="16"/>
      <c r="G165" s="16"/>
      <c r="H165" s="16"/>
      <c r="I165" s="16"/>
      <c r="J165" s="16">
        <v>-2300</v>
      </c>
      <c r="K165" s="16"/>
      <c r="L165" s="16"/>
      <c r="M165" s="16"/>
      <c r="N165" s="16"/>
      <c r="O165" s="16"/>
      <c r="P165" s="12">
        <f>SUM(F165:O165)</f>
        <v>-2300</v>
      </c>
      <c r="Q165" s="491" t="s">
        <v>606</v>
      </c>
    </row>
    <row r="166" spans="1:17" ht="12.75" customHeight="1">
      <c r="A166" s="78"/>
      <c r="B166" s="78"/>
      <c r="C166" s="139" t="s">
        <v>427</v>
      </c>
      <c r="D166" s="522"/>
      <c r="E166" s="78"/>
      <c r="F166" s="16"/>
      <c r="G166" s="16"/>
      <c r="H166" s="16"/>
      <c r="I166" s="16"/>
      <c r="J166" s="16"/>
      <c r="K166" s="16">
        <f>'[3]7'!J271</f>
        <v>0</v>
      </c>
      <c r="L166" s="16">
        <f>'[3]8'!J207</f>
        <v>-1367</v>
      </c>
      <c r="M166" s="16"/>
      <c r="N166" s="16"/>
      <c r="O166" s="16"/>
      <c r="P166" s="12">
        <f>SUM(K166:O166)</f>
        <v>-1367</v>
      </c>
      <c r="Q166" s="491"/>
    </row>
    <row r="167" spans="1:17" ht="13.5" customHeight="1">
      <c r="A167" s="68"/>
      <c r="B167" s="68"/>
      <c r="C167" s="71" t="s">
        <v>428</v>
      </c>
      <c r="D167" s="553"/>
      <c r="E167" s="68"/>
      <c r="F167" s="76">
        <f aca="true" t="shared" si="16" ref="F167:P167">SUM(F158:F166)</f>
        <v>0</v>
      </c>
      <c r="G167" s="76">
        <f t="shared" si="16"/>
        <v>0</v>
      </c>
      <c r="H167" s="76">
        <f t="shared" si="16"/>
        <v>0</v>
      </c>
      <c r="I167" s="76">
        <f t="shared" si="16"/>
        <v>0</v>
      </c>
      <c r="J167" s="76">
        <f t="shared" si="16"/>
        <v>-58534</v>
      </c>
      <c r="K167" s="76">
        <f t="shared" si="16"/>
        <v>0</v>
      </c>
      <c r="L167" s="76">
        <f t="shared" si="16"/>
        <v>-1367</v>
      </c>
      <c r="M167" s="76">
        <f t="shared" si="16"/>
        <v>0</v>
      </c>
      <c r="N167" s="76">
        <f t="shared" si="16"/>
        <v>0</v>
      </c>
      <c r="O167" s="76">
        <f t="shared" si="16"/>
        <v>0</v>
      </c>
      <c r="P167" s="76">
        <f t="shared" si="16"/>
        <v>-59901</v>
      </c>
      <c r="Q167" s="502"/>
    </row>
    <row r="168" spans="1:17" ht="25.5" customHeight="1">
      <c r="A168" s="68"/>
      <c r="B168" s="68"/>
      <c r="C168" s="1317" t="s">
        <v>602</v>
      </c>
      <c r="D168" s="1330"/>
      <c r="E168" s="554"/>
      <c r="F168" s="76">
        <f aca="true" t="shared" si="17" ref="F168:P168">SUM(F24+F61+F92+F100+F120+F125+F143+F145+F157+F167)</f>
        <v>610</v>
      </c>
      <c r="G168" s="76">
        <f t="shared" si="17"/>
        <v>-1500</v>
      </c>
      <c r="H168" s="76">
        <f t="shared" si="17"/>
        <v>97547</v>
      </c>
      <c r="I168" s="76">
        <f t="shared" si="17"/>
        <v>10800</v>
      </c>
      <c r="J168" s="76">
        <f t="shared" si="17"/>
        <v>48567</v>
      </c>
      <c r="K168" s="76">
        <f t="shared" si="17"/>
        <v>-258154</v>
      </c>
      <c r="L168" s="76">
        <f t="shared" si="17"/>
        <v>90908</v>
      </c>
      <c r="M168" s="76">
        <f t="shared" si="17"/>
        <v>130049</v>
      </c>
      <c r="N168" s="76">
        <f t="shared" si="17"/>
        <v>0</v>
      </c>
      <c r="O168" s="76">
        <f t="shared" si="17"/>
        <v>0</v>
      </c>
      <c r="P168" s="76">
        <f t="shared" si="17"/>
        <v>118827</v>
      </c>
      <c r="Q168" s="76"/>
    </row>
    <row r="169" spans="1:17" ht="12.75" customHeight="1">
      <c r="A169" s="63">
        <v>2</v>
      </c>
      <c r="B169" s="63"/>
      <c r="C169" s="180" t="s">
        <v>398</v>
      </c>
      <c r="D169" s="67"/>
      <c r="E169" s="63"/>
      <c r="F169" s="13">
        <f>'[3]táj.2.'!C20</f>
        <v>53927</v>
      </c>
      <c r="G169" s="13">
        <f>'[3]táj.2.'!D20</f>
        <v>3270</v>
      </c>
      <c r="H169" s="13">
        <f>'[3]táj.2.'!E20</f>
        <v>44390</v>
      </c>
      <c r="I169" s="13">
        <f>'[3]táj.2.'!F20</f>
        <v>0</v>
      </c>
      <c r="J169" s="13">
        <f>'[3]táj.2.'!G20</f>
        <v>3250</v>
      </c>
      <c r="K169" s="13">
        <f>'[3]táj.2.'!H20</f>
        <v>23912</v>
      </c>
      <c r="L169" s="13">
        <f>'[3]táj.2.'!I20</f>
        <v>660</v>
      </c>
      <c r="M169" s="13">
        <f>'[3]táj.2.'!J20</f>
        <v>0</v>
      </c>
      <c r="N169" s="13"/>
      <c r="O169" s="13"/>
      <c r="P169" s="12">
        <f>SUM(F169:O169)</f>
        <v>129409</v>
      </c>
      <c r="Q169" s="70"/>
    </row>
    <row r="170" spans="1:17" ht="12.75" customHeight="1">
      <c r="A170" s="68"/>
      <c r="B170" s="68"/>
      <c r="C170" s="49" t="s">
        <v>376</v>
      </c>
      <c r="D170" s="553"/>
      <c r="E170" s="68"/>
      <c r="F170" s="76">
        <f aca="true" t="shared" si="18" ref="F170:P170">SUM(F168:F169)</f>
        <v>54537</v>
      </c>
      <c r="G170" s="76">
        <f t="shared" si="18"/>
        <v>1770</v>
      </c>
      <c r="H170" s="76">
        <f t="shared" si="18"/>
        <v>141937</v>
      </c>
      <c r="I170" s="76">
        <f t="shared" si="18"/>
        <v>10800</v>
      </c>
      <c r="J170" s="76">
        <f t="shared" si="18"/>
        <v>51817</v>
      </c>
      <c r="K170" s="76">
        <f t="shared" si="18"/>
        <v>-234242</v>
      </c>
      <c r="L170" s="76">
        <f t="shared" si="18"/>
        <v>91568</v>
      </c>
      <c r="M170" s="76">
        <f t="shared" si="18"/>
        <v>130049</v>
      </c>
      <c r="N170" s="76">
        <f t="shared" si="18"/>
        <v>0</v>
      </c>
      <c r="O170" s="76">
        <f t="shared" si="18"/>
        <v>0</v>
      </c>
      <c r="P170" s="76">
        <f t="shared" si="18"/>
        <v>248236</v>
      </c>
      <c r="Q170" s="76"/>
    </row>
    <row r="171" spans="3:5" ht="12.75">
      <c r="C171" s="1331"/>
      <c r="D171" s="1332"/>
      <c r="E171" s="555"/>
    </row>
  </sheetData>
  <sheetProtection/>
  <mergeCells count="88">
    <mergeCell ref="C104:D104"/>
    <mergeCell ref="C108:D108"/>
    <mergeCell ref="C109:D109"/>
    <mergeCell ref="C113:D113"/>
    <mergeCell ref="C110:D110"/>
    <mergeCell ref="C106:D106"/>
    <mergeCell ref="C44:D44"/>
    <mergeCell ref="C46:D46"/>
    <mergeCell ref="C72:D72"/>
    <mergeCell ref="C94:D94"/>
    <mergeCell ref="C88:D88"/>
    <mergeCell ref="C56:D56"/>
    <mergeCell ref="C84:D84"/>
    <mergeCell ref="C74:D74"/>
    <mergeCell ref="C76:D76"/>
    <mergeCell ref="C78:D78"/>
    <mergeCell ref="C103:D103"/>
    <mergeCell ref="C80:D80"/>
    <mergeCell ref="C102:D102"/>
    <mergeCell ref="C95:D95"/>
    <mergeCell ref="C82:D82"/>
    <mergeCell ref="C96:D96"/>
    <mergeCell ref="C13:D13"/>
    <mergeCell ref="C43:D43"/>
    <mergeCell ref="C19:D19"/>
    <mergeCell ref="C15:D15"/>
    <mergeCell ref="C35:D35"/>
    <mergeCell ref="C29:D29"/>
    <mergeCell ref="C34:D34"/>
    <mergeCell ref="C70:D70"/>
    <mergeCell ref="C48:D48"/>
    <mergeCell ref="C49:D49"/>
    <mergeCell ref="C65:D65"/>
    <mergeCell ref="C67:D67"/>
    <mergeCell ref="C69:D69"/>
    <mergeCell ref="C50:D50"/>
    <mergeCell ref="C45:D45"/>
    <mergeCell ref="A1:A2"/>
    <mergeCell ref="B1:B2"/>
    <mergeCell ref="C1:D2"/>
    <mergeCell ref="C8:D8"/>
    <mergeCell ref="C5:D5"/>
    <mergeCell ref="C30:D30"/>
    <mergeCell ref="C31:D31"/>
    <mergeCell ref="C36:D36"/>
    <mergeCell ref="C37:D37"/>
    <mergeCell ref="C161:D161"/>
    <mergeCell ref="C135:D135"/>
    <mergeCell ref="C130:D130"/>
    <mergeCell ref="C133:D133"/>
    <mergeCell ref="C132:D132"/>
    <mergeCell ref="C137:D137"/>
    <mergeCell ref="C131:D131"/>
    <mergeCell ref="C144:D144"/>
    <mergeCell ref="C139:D139"/>
    <mergeCell ref="C138:D138"/>
    <mergeCell ref="C129:D129"/>
    <mergeCell ref="C122:D122"/>
    <mergeCell ref="C114:D114"/>
    <mergeCell ref="C116:D116"/>
    <mergeCell ref="C115:D115"/>
    <mergeCell ref="C127:D127"/>
    <mergeCell ref="C171:D171"/>
    <mergeCell ref="C146:D146"/>
    <mergeCell ref="C163:D163"/>
    <mergeCell ref="C150:D150"/>
    <mergeCell ref="C164:D164"/>
    <mergeCell ref="C165:D165"/>
    <mergeCell ref="C168:D168"/>
    <mergeCell ref="C162:D162"/>
    <mergeCell ref="C153:D153"/>
    <mergeCell ref="C147:D147"/>
    <mergeCell ref="Q1:Q2"/>
    <mergeCell ref="C6:D6"/>
    <mergeCell ref="P1:P2"/>
    <mergeCell ref="E1:E2"/>
    <mergeCell ref="F1:M1"/>
    <mergeCell ref="N1:O1"/>
    <mergeCell ref="C136:D136"/>
    <mergeCell ref="C107:D107"/>
    <mergeCell ref="C17:D17"/>
    <mergeCell ref="C32:D32"/>
    <mergeCell ref="C42:D42"/>
    <mergeCell ref="C33:D33"/>
    <mergeCell ref="C51:D51"/>
    <mergeCell ref="C71:D71"/>
    <mergeCell ref="C52:D52"/>
    <mergeCell ref="C53:D53"/>
  </mergeCells>
  <printOptions horizontalCentered="1" verticalCentered="1"/>
  <pageMargins left="0" right="0.2362204724409449" top="0.6692913385826772" bottom="1.1811023622047245" header="0.11811023622047245" footer="0.7086614173228347"/>
  <pageSetup horizontalDpi="300" verticalDpi="300" orientation="landscape" paperSize="9" scale="90" r:id="rId1"/>
  <headerFooter alignWithMargins="0">
    <oddHeader>&amp;CZALAEGERSZEG MEGYEI JOGÚ VÁROS ÖNKORMÁNYZATA
2014. ÉVI KIADÁSI ELŐIRÁNYZATAINAK MÓDOSÍTÁSA A III. NEGYEDÉVBEN
&amp;R&amp;"Times New Roman CE,Félkövér dőlt"6.a  melléklet mód.
Adatok: ezer Ft-ban</oddHeader>
    <oddFooter>&amp;L* kgy= közgyűlési hatáskörben           
   pm= polgármesteri hatáskörben
   biz = bizottsági hatáskörben&amp;C&amp;P. oldal&amp;RFeladat jellege:
1 =    kötelező
2=önként vállalt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Q204"/>
  <sheetViews>
    <sheetView zoomScaleSheetLayoutView="120" workbookViewId="0" topLeftCell="A1">
      <pane ySplit="2" topLeftCell="BM167" activePane="bottomLeft" state="frozen"/>
      <selection pane="topLeft" activeCell="A1" sqref="A1"/>
      <selection pane="bottomLeft" activeCell="D175" sqref="D175"/>
    </sheetView>
  </sheetViews>
  <sheetFormatPr defaultColWidth="9.00390625" defaultRowHeight="12.75"/>
  <cols>
    <col min="1" max="1" width="5.125" style="7" customWidth="1"/>
    <col min="2" max="2" width="5.875" style="7" customWidth="1"/>
    <col min="3" max="3" width="9.375" style="7" customWidth="1"/>
    <col min="4" max="4" width="35.125" style="7" customWidth="1"/>
    <col min="5" max="5" width="4.375" style="7" customWidth="1"/>
    <col min="6" max="6" width="10.125" style="7" customWidth="1"/>
    <col min="7" max="7" width="11.00390625" style="7" customWidth="1"/>
    <col min="8" max="8" width="10.00390625" style="7" customWidth="1"/>
    <col min="9" max="10" width="9.375" style="7" customWidth="1"/>
    <col min="11" max="11" width="10.125" style="7" customWidth="1"/>
    <col min="12" max="12" width="9.375" style="7" customWidth="1"/>
    <col min="13" max="13" width="11.00390625" style="7" bestFit="1" customWidth="1"/>
    <col min="14" max="14" width="10.125" style="7" customWidth="1"/>
    <col min="15" max="15" width="9.875" style="7" bestFit="1" customWidth="1"/>
    <col min="16" max="16" width="10.50390625" style="7" customWidth="1"/>
    <col min="17" max="17" width="7.625" style="7" customWidth="1"/>
    <col min="18" max="16384" width="9.375" style="7" customWidth="1"/>
  </cols>
  <sheetData>
    <row r="1" spans="1:17" s="485" customFormat="1" ht="24.75" customHeight="1">
      <c r="A1" s="1374" t="s">
        <v>896</v>
      </c>
      <c r="B1" s="1376" t="s">
        <v>897</v>
      </c>
      <c r="C1" s="1377" t="s">
        <v>46</v>
      </c>
      <c r="D1" s="1378"/>
      <c r="E1" s="1381" t="s">
        <v>415</v>
      </c>
      <c r="F1" s="1383"/>
      <c r="G1" s="1384"/>
      <c r="H1" s="1384"/>
      <c r="I1" s="1384"/>
      <c r="J1" s="1384"/>
      <c r="K1" s="1384"/>
      <c r="L1" s="1384"/>
      <c r="M1" s="1384"/>
      <c r="N1" s="1305" t="s">
        <v>59</v>
      </c>
      <c r="O1" s="1305"/>
      <c r="P1" s="1372" t="s">
        <v>49</v>
      </c>
      <c r="Q1" s="1328" t="s">
        <v>678</v>
      </c>
    </row>
    <row r="2" spans="1:17" ht="63.75" customHeight="1">
      <c r="A2" s="1375"/>
      <c r="B2" s="1273"/>
      <c r="C2" s="1379"/>
      <c r="D2" s="1380"/>
      <c r="E2" s="1382"/>
      <c r="F2" s="233" t="s">
        <v>280</v>
      </c>
      <c r="G2" s="233" t="s">
        <v>603</v>
      </c>
      <c r="H2" s="233" t="s">
        <v>423</v>
      </c>
      <c r="I2" s="233" t="s">
        <v>679</v>
      </c>
      <c r="J2" s="233" t="s">
        <v>1238</v>
      </c>
      <c r="K2" s="233" t="s">
        <v>1222</v>
      </c>
      <c r="L2" s="233" t="s">
        <v>1221</v>
      </c>
      <c r="M2" s="233" t="s">
        <v>680</v>
      </c>
      <c r="N2" s="233" t="s">
        <v>604</v>
      </c>
      <c r="O2" s="486" t="s">
        <v>69</v>
      </c>
      <c r="P2" s="1373"/>
      <c r="Q2" s="1329"/>
    </row>
    <row r="3" spans="1:17" ht="13.5" customHeight="1">
      <c r="A3" s="269">
        <v>1</v>
      </c>
      <c r="B3" s="269"/>
      <c r="C3" s="487" t="s">
        <v>396</v>
      </c>
      <c r="D3" s="59"/>
      <c r="E3" s="271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9"/>
      <c r="Q3" s="490"/>
    </row>
    <row r="4" spans="1:17" ht="13.5" customHeight="1">
      <c r="A4" s="8">
        <v>1</v>
      </c>
      <c r="B4" s="8">
        <v>1</v>
      </c>
      <c r="C4" s="58" t="s">
        <v>1885</v>
      </c>
      <c r="D4" s="59"/>
      <c r="E4" s="16"/>
      <c r="F4" s="9"/>
      <c r="G4" s="9"/>
      <c r="H4" s="9"/>
      <c r="I4" s="9"/>
      <c r="J4" s="9"/>
      <c r="K4" s="9"/>
      <c r="L4" s="9"/>
      <c r="M4" s="9"/>
      <c r="N4" s="9"/>
      <c r="O4" s="9"/>
      <c r="P4" s="12"/>
      <c r="Q4" s="491"/>
    </row>
    <row r="5" spans="1:17" ht="14.25" customHeight="1">
      <c r="A5" s="8">
        <v>1</v>
      </c>
      <c r="B5" s="8">
        <v>12</v>
      </c>
      <c r="C5" s="1218" t="s">
        <v>1550</v>
      </c>
      <c r="D5" s="1219"/>
      <c r="E5" s="16"/>
      <c r="F5" s="9"/>
      <c r="G5" s="9"/>
      <c r="H5" s="9"/>
      <c r="I5" s="9"/>
      <c r="J5" s="9"/>
      <c r="K5" s="9"/>
      <c r="L5" s="9"/>
      <c r="M5" s="9"/>
      <c r="N5" s="9"/>
      <c r="O5" s="9"/>
      <c r="P5" s="12"/>
      <c r="Q5" s="491"/>
    </row>
    <row r="6" spans="1:17" ht="14.25" customHeight="1">
      <c r="A6" s="8"/>
      <c r="B6" s="8"/>
      <c r="C6" s="12" t="s">
        <v>102</v>
      </c>
      <c r="D6" s="328"/>
      <c r="E6" s="492">
        <v>1</v>
      </c>
      <c r="F6" s="235"/>
      <c r="G6" s="235"/>
      <c r="H6" s="235"/>
      <c r="I6" s="235">
        <v>-9475</v>
      </c>
      <c r="J6" s="235"/>
      <c r="K6" s="235"/>
      <c r="L6" s="9"/>
      <c r="M6" s="9"/>
      <c r="N6" s="9"/>
      <c r="O6" s="9"/>
      <c r="P6" s="12">
        <f>SUM(F6:O6)</f>
        <v>-9475</v>
      </c>
      <c r="Q6" s="491" t="s">
        <v>606</v>
      </c>
    </row>
    <row r="7" spans="1:17" ht="14.25" customHeight="1">
      <c r="A7" s="8"/>
      <c r="B7" s="8"/>
      <c r="C7" s="12" t="s">
        <v>1059</v>
      </c>
      <c r="D7" s="328"/>
      <c r="E7" s="492">
        <v>1</v>
      </c>
      <c r="F7" s="235"/>
      <c r="G7" s="235"/>
      <c r="H7" s="235"/>
      <c r="I7" s="235">
        <v>-8735</v>
      </c>
      <c r="J7" s="235"/>
      <c r="K7" s="235"/>
      <c r="L7" s="9"/>
      <c r="M7" s="9"/>
      <c r="N7" s="9"/>
      <c r="O7" s="9"/>
      <c r="P7" s="12">
        <f>SUM(F7:O7)</f>
        <v>-8735</v>
      </c>
      <c r="Q7" s="491" t="s">
        <v>606</v>
      </c>
    </row>
    <row r="8" spans="1:17" ht="14.25" customHeight="1">
      <c r="A8" s="8"/>
      <c r="B8" s="8"/>
      <c r="C8" s="1216" t="s">
        <v>1549</v>
      </c>
      <c r="D8" s="1217"/>
      <c r="E8" s="492"/>
      <c r="F8" s="235"/>
      <c r="G8" s="235"/>
      <c r="H8" s="235"/>
      <c r="I8" s="235"/>
      <c r="J8" s="235"/>
      <c r="K8" s="235"/>
      <c r="L8" s="9"/>
      <c r="M8" s="9"/>
      <c r="N8" s="9"/>
      <c r="O8" s="9"/>
      <c r="P8" s="12"/>
      <c r="Q8" s="491"/>
    </row>
    <row r="9" spans="1:17" ht="14.25" customHeight="1">
      <c r="A9" s="8"/>
      <c r="B9" s="8"/>
      <c r="C9" s="320" t="s">
        <v>103</v>
      </c>
      <c r="D9" s="328"/>
      <c r="E9" s="492">
        <v>1</v>
      </c>
      <c r="F9" s="235"/>
      <c r="G9" s="235"/>
      <c r="H9" s="235"/>
      <c r="I9" s="235">
        <v>-2707</v>
      </c>
      <c r="J9" s="235"/>
      <c r="K9" s="235"/>
      <c r="L9" s="9"/>
      <c r="M9" s="9"/>
      <c r="N9" s="9"/>
      <c r="O9" s="9"/>
      <c r="P9" s="12">
        <f>SUM(I9:O9)</f>
        <v>-2707</v>
      </c>
      <c r="Q9" s="491" t="s">
        <v>606</v>
      </c>
    </row>
    <row r="10" spans="1:17" ht="14.25" customHeight="1">
      <c r="A10" s="8"/>
      <c r="B10" s="8"/>
      <c r="C10" s="12" t="s">
        <v>274</v>
      </c>
      <c r="D10" s="328"/>
      <c r="E10" s="492">
        <v>1</v>
      </c>
      <c r="F10" s="235"/>
      <c r="G10" s="235"/>
      <c r="H10" s="235"/>
      <c r="I10" s="235">
        <v>-12266</v>
      </c>
      <c r="J10" s="235"/>
      <c r="K10" s="235"/>
      <c r="L10" s="235"/>
      <c r="M10" s="235"/>
      <c r="N10" s="235"/>
      <c r="O10" s="235"/>
      <c r="P10" s="12">
        <f>SUM(I10:O10)</f>
        <v>-12266</v>
      </c>
      <c r="Q10" s="491" t="s">
        <v>606</v>
      </c>
    </row>
    <row r="11" spans="1:17" ht="14.25" customHeight="1">
      <c r="A11" s="8"/>
      <c r="B11" s="8"/>
      <c r="C11" s="12" t="s">
        <v>1263</v>
      </c>
      <c r="D11" s="140"/>
      <c r="E11" s="492"/>
      <c r="F11" s="235"/>
      <c r="G11" s="235"/>
      <c r="H11" s="235"/>
      <c r="I11" s="235"/>
      <c r="J11" s="235"/>
      <c r="K11" s="235"/>
      <c r="L11" s="9"/>
      <c r="M11" s="9"/>
      <c r="N11" s="9"/>
      <c r="O11" s="9"/>
      <c r="P11" s="12"/>
      <c r="Q11" s="491"/>
    </row>
    <row r="12" spans="1:17" ht="13.5" customHeight="1">
      <c r="A12" s="8"/>
      <c r="B12" s="8"/>
      <c r="C12" s="1218" t="s">
        <v>105</v>
      </c>
      <c r="D12" s="1219"/>
      <c r="E12" s="492">
        <v>1</v>
      </c>
      <c r="F12" s="235"/>
      <c r="G12" s="235"/>
      <c r="H12" s="235"/>
      <c r="I12" s="235">
        <v>-1400</v>
      </c>
      <c r="J12" s="235"/>
      <c r="K12" s="235"/>
      <c r="L12" s="9"/>
      <c r="M12" s="9"/>
      <c r="N12" s="9"/>
      <c r="O12" s="9"/>
      <c r="P12" s="12">
        <f>SUM(F12:O12)</f>
        <v>-1400</v>
      </c>
      <c r="Q12" s="491" t="s">
        <v>606</v>
      </c>
    </row>
    <row r="13" spans="1:17" ht="13.5" customHeight="1">
      <c r="A13" s="8"/>
      <c r="B13" s="8"/>
      <c r="C13" s="1218" t="s">
        <v>840</v>
      </c>
      <c r="D13" s="1219"/>
      <c r="E13" s="492"/>
      <c r="F13" s="235"/>
      <c r="G13" s="235"/>
      <c r="H13" s="235"/>
      <c r="I13" s="235"/>
      <c r="J13" s="235"/>
      <c r="K13" s="235"/>
      <c r="L13" s="9"/>
      <c r="M13" s="9"/>
      <c r="N13" s="9"/>
      <c r="O13" s="9"/>
      <c r="P13" s="12"/>
      <c r="Q13" s="491"/>
    </row>
    <row r="14" spans="1:17" ht="13.5" customHeight="1">
      <c r="A14" s="8"/>
      <c r="B14" s="8"/>
      <c r="C14" s="12" t="s">
        <v>682</v>
      </c>
      <c r="D14" s="140"/>
      <c r="E14" s="492">
        <v>1</v>
      </c>
      <c r="F14" s="235"/>
      <c r="G14" s="235"/>
      <c r="H14" s="235"/>
      <c r="I14" s="235">
        <v>-36</v>
      </c>
      <c r="J14" s="235"/>
      <c r="K14" s="235"/>
      <c r="L14" s="9"/>
      <c r="M14" s="9"/>
      <c r="N14" s="9"/>
      <c r="O14" s="9"/>
      <c r="P14" s="12">
        <f aca="true" t="shared" si="0" ref="P14:P19">SUM(F14:O14)</f>
        <v>-36</v>
      </c>
      <c r="Q14" s="491" t="s">
        <v>606</v>
      </c>
    </row>
    <row r="15" spans="1:17" ht="13.5" customHeight="1">
      <c r="A15" s="8"/>
      <c r="B15" s="8"/>
      <c r="C15" s="12" t="s">
        <v>104</v>
      </c>
      <c r="D15" s="140"/>
      <c r="E15" s="492">
        <v>2</v>
      </c>
      <c r="F15" s="235"/>
      <c r="G15" s="235"/>
      <c r="H15" s="235"/>
      <c r="I15" s="235">
        <v>4600</v>
      </c>
      <c r="J15" s="235"/>
      <c r="K15" s="235"/>
      <c r="L15" s="9"/>
      <c r="M15" s="9"/>
      <c r="N15" s="9"/>
      <c r="O15" s="9"/>
      <c r="P15" s="12">
        <f t="shared" si="0"/>
        <v>4600</v>
      </c>
      <c r="Q15" s="491" t="s">
        <v>606</v>
      </c>
    </row>
    <row r="16" spans="1:17" ht="13.5" customHeight="1">
      <c r="A16" s="8"/>
      <c r="B16" s="8"/>
      <c r="C16" s="12" t="s">
        <v>576</v>
      </c>
      <c r="D16" s="140"/>
      <c r="E16" s="492">
        <v>1</v>
      </c>
      <c r="F16" s="235"/>
      <c r="G16" s="235"/>
      <c r="H16" s="235"/>
      <c r="I16" s="235">
        <v>6386</v>
      </c>
      <c r="J16" s="235"/>
      <c r="K16" s="235"/>
      <c r="L16" s="9"/>
      <c r="M16" s="9"/>
      <c r="N16" s="9"/>
      <c r="O16" s="9"/>
      <c r="P16" s="12">
        <f t="shared" si="0"/>
        <v>6386</v>
      </c>
      <c r="Q16" s="491" t="s">
        <v>606</v>
      </c>
    </row>
    <row r="17" spans="1:17" ht="13.5" customHeight="1">
      <c r="A17" s="8"/>
      <c r="B17" s="8"/>
      <c r="C17" s="12" t="s">
        <v>107</v>
      </c>
      <c r="D17" s="140"/>
      <c r="E17" s="492">
        <v>1</v>
      </c>
      <c r="F17" s="235"/>
      <c r="G17" s="235"/>
      <c r="H17" s="235"/>
      <c r="I17" s="235">
        <v>1800</v>
      </c>
      <c r="J17" s="235"/>
      <c r="K17" s="235"/>
      <c r="L17" s="9"/>
      <c r="M17" s="9"/>
      <c r="N17" s="9"/>
      <c r="O17" s="9"/>
      <c r="P17" s="12">
        <f t="shared" si="0"/>
        <v>1800</v>
      </c>
      <c r="Q17" s="491" t="s">
        <v>606</v>
      </c>
    </row>
    <row r="18" spans="1:17" ht="13.5" customHeight="1">
      <c r="A18" s="8"/>
      <c r="B18" s="8"/>
      <c r="C18" s="1218" t="s">
        <v>840</v>
      </c>
      <c r="D18" s="1219"/>
      <c r="E18" s="492"/>
      <c r="F18" s="235"/>
      <c r="G18" s="235"/>
      <c r="H18" s="235"/>
      <c r="I18" s="235"/>
      <c r="J18" s="235"/>
      <c r="K18" s="235"/>
      <c r="L18" s="9"/>
      <c r="M18" s="9"/>
      <c r="N18" s="9"/>
      <c r="O18" s="9"/>
      <c r="P18" s="12">
        <f t="shared" si="0"/>
        <v>0</v>
      </c>
      <c r="Q18" s="491"/>
    </row>
    <row r="19" spans="1:17" ht="13.5" customHeight="1">
      <c r="A19" s="8"/>
      <c r="B19" s="8"/>
      <c r="C19" s="12" t="s">
        <v>56</v>
      </c>
      <c r="D19" s="140"/>
      <c r="E19" s="492">
        <v>1</v>
      </c>
      <c r="F19" s="235"/>
      <c r="G19" s="235"/>
      <c r="H19" s="235"/>
      <c r="I19" s="235">
        <v>1100</v>
      </c>
      <c r="J19" s="235"/>
      <c r="K19" s="235"/>
      <c r="L19" s="9"/>
      <c r="M19" s="9"/>
      <c r="N19" s="9"/>
      <c r="O19" s="9"/>
      <c r="P19" s="12">
        <f t="shared" si="0"/>
        <v>1100</v>
      </c>
      <c r="Q19" s="491" t="s">
        <v>606</v>
      </c>
    </row>
    <row r="20" spans="1:17" ht="21.75" customHeight="1">
      <c r="A20" s="8"/>
      <c r="B20" s="8"/>
      <c r="C20" s="1209" t="s">
        <v>798</v>
      </c>
      <c r="D20" s="1210"/>
      <c r="E20" s="492"/>
      <c r="F20" s="235"/>
      <c r="G20" s="235"/>
      <c r="H20" s="235"/>
      <c r="I20" s="235"/>
      <c r="J20" s="235"/>
      <c r="K20" s="235"/>
      <c r="L20" s="9"/>
      <c r="M20" s="9"/>
      <c r="N20" s="9"/>
      <c r="O20" s="9"/>
      <c r="P20" s="12"/>
      <c r="Q20" s="491"/>
    </row>
    <row r="21" spans="1:17" ht="13.5" customHeight="1">
      <c r="A21" s="8"/>
      <c r="B21" s="8"/>
      <c r="C21" s="12" t="s">
        <v>799</v>
      </c>
      <c r="D21" s="140"/>
      <c r="E21" s="492">
        <v>1</v>
      </c>
      <c r="F21" s="235"/>
      <c r="G21" s="235"/>
      <c r="H21" s="235"/>
      <c r="I21" s="235">
        <v>10</v>
      </c>
      <c r="J21" s="235"/>
      <c r="K21" s="235"/>
      <c r="L21" s="9"/>
      <c r="M21" s="9"/>
      <c r="N21" s="9"/>
      <c r="O21" s="9"/>
      <c r="P21" s="12">
        <f>SUM(I21:O21)</f>
        <v>10</v>
      </c>
      <c r="Q21" s="491" t="s">
        <v>606</v>
      </c>
    </row>
    <row r="22" spans="1:17" ht="13.5" customHeight="1">
      <c r="A22" s="8"/>
      <c r="B22" s="8"/>
      <c r="C22" s="1251" t="s">
        <v>1553</v>
      </c>
      <c r="D22" s="1252"/>
      <c r="E22" s="492"/>
      <c r="F22" s="235"/>
      <c r="G22" s="235"/>
      <c r="H22" s="235"/>
      <c r="I22" s="235"/>
      <c r="J22" s="235"/>
      <c r="K22" s="235"/>
      <c r="L22" s="9"/>
      <c r="M22" s="9"/>
      <c r="N22" s="9"/>
      <c r="O22" s="9"/>
      <c r="P22" s="12"/>
      <c r="Q22" s="491"/>
    </row>
    <row r="23" spans="1:17" ht="13.5" customHeight="1">
      <c r="A23" s="8"/>
      <c r="B23" s="8"/>
      <c r="C23" s="724" t="s">
        <v>922</v>
      </c>
      <c r="D23" s="725"/>
      <c r="E23" s="492">
        <v>2</v>
      </c>
      <c r="F23" s="235"/>
      <c r="G23" s="235">
        <v>1000</v>
      </c>
      <c r="H23" s="235">
        <v>-1000</v>
      </c>
      <c r="I23" s="235"/>
      <c r="J23" s="235"/>
      <c r="K23" s="235"/>
      <c r="L23" s="9"/>
      <c r="M23" s="9"/>
      <c r="N23" s="9"/>
      <c r="O23" s="9"/>
      <c r="P23" s="12">
        <v>0</v>
      </c>
      <c r="Q23" s="491" t="s">
        <v>606</v>
      </c>
    </row>
    <row r="24" spans="1:17" ht="13.5" customHeight="1">
      <c r="A24" s="8"/>
      <c r="B24" s="8"/>
      <c r="C24" s="91" t="s">
        <v>921</v>
      </c>
      <c r="D24" s="94"/>
      <c r="E24" s="492">
        <v>2</v>
      </c>
      <c r="F24" s="235"/>
      <c r="G24" s="235"/>
      <c r="H24" s="235">
        <v>-1845</v>
      </c>
      <c r="I24" s="235"/>
      <c r="J24" s="235"/>
      <c r="K24" s="235"/>
      <c r="L24" s="9"/>
      <c r="M24" s="9"/>
      <c r="N24" s="9"/>
      <c r="O24" s="9"/>
      <c r="P24" s="12">
        <f>SUM(F24:O24)</f>
        <v>-1845</v>
      </c>
      <c r="Q24" s="491" t="s">
        <v>606</v>
      </c>
    </row>
    <row r="25" spans="1:17" ht="13.5" customHeight="1">
      <c r="A25" s="497"/>
      <c r="B25" s="497"/>
      <c r="C25" s="498" t="s">
        <v>686</v>
      </c>
      <c r="D25" s="499"/>
      <c r="E25" s="500"/>
      <c r="F25" s="501">
        <f aca="true" t="shared" si="1" ref="F25:M25">SUM(F5:F24)</f>
        <v>0</v>
      </c>
      <c r="G25" s="501">
        <f t="shared" si="1"/>
        <v>1000</v>
      </c>
      <c r="H25" s="501">
        <f t="shared" si="1"/>
        <v>-2845</v>
      </c>
      <c r="I25" s="501">
        <f t="shared" si="1"/>
        <v>-20723</v>
      </c>
      <c r="J25" s="501">
        <f t="shared" si="1"/>
        <v>0</v>
      </c>
      <c r="K25" s="501">
        <f t="shared" si="1"/>
        <v>0</v>
      </c>
      <c r="L25" s="501">
        <f t="shared" si="1"/>
        <v>0</v>
      </c>
      <c r="M25" s="501">
        <f t="shared" si="1"/>
        <v>0</v>
      </c>
      <c r="N25" s="501"/>
      <c r="O25" s="501">
        <f>SUM(O5:O24)</f>
        <v>0</v>
      </c>
      <c r="P25" s="501">
        <f>SUM(P5:P24)</f>
        <v>-22568</v>
      </c>
      <c r="Q25" s="502"/>
    </row>
    <row r="26" spans="1:17" ht="13.5" customHeight="1">
      <c r="A26" s="8"/>
      <c r="B26" s="8"/>
      <c r="C26" s="448" t="s">
        <v>687</v>
      </c>
      <c r="D26" s="59"/>
      <c r="E26" s="503"/>
      <c r="F26" s="9"/>
      <c r="G26" s="9"/>
      <c r="H26" s="9"/>
      <c r="I26" s="9"/>
      <c r="J26" s="9"/>
      <c r="K26" s="9">
        <f>'[4]7'!J8</f>
        <v>0</v>
      </c>
      <c r="L26" s="9"/>
      <c r="M26" s="9">
        <f>'[4]7'!K8</f>
        <v>-5595</v>
      </c>
      <c r="N26" s="9"/>
      <c r="O26" s="9"/>
      <c r="P26" s="12">
        <f>SUM(F26:O26)</f>
        <v>-5595</v>
      </c>
      <c r="Q26" s="491"/>
    </row>
    <row r="27" spans="1:17" ht="13.5" customHeight="1">
      <c r="A27" s="8"/>
      <c r="B27" s="8"/>
      <c r="C27" s="448" t="s">
        <v>1874</v>
      </c>
      <c r="D27" s="59"/>
      <c r="E27" s="503"/>
      <c r="F27" s="9"/>
      <c r="G27" s="9"/>
      <c r="H27" s="9"/>
      <c r="I27" s="9"/>
      <c r="J27" s="9"/>
      <c r="K27" s="9"/>
      <c r="L27" s="9"/>
      <c r="M27" s="9"/>
      <c r="N27" s="9"/>
      <c r="O27" s="9"/>
      <c r="P27" s="12">
        <f>SUM(F27:O27)</f>
        <v>0</v>
      </c>
      <c r="Q27" s="491"/>
    </row>
    <row r="28" spans="1:17" ht="13.5" customHeight="1">
      <c r="A28" s="497"/>
      <c r="B28" s="497"/>
      <c r="C28" s="498" t="s">
        <v>253</v>
      </c>
      <c r="D28" s="499"/>
      <c r="E28" s="504"/>
      <c r="F28" s="501">
        <f aca="true" t="shared" si="2" ref="F28:M28">SUM(F25:F27)</f>
        <v>0</v>
      </c>
      <c r="G28" s="501">
        <f t="shared" si="2"/>
        <v>1000</v>
      </c>
      <c r="H28" s="501">
        <f t="shared" si="2"/>
        <v>-2845</v>
      </c>
      <c r="I28" s="501">
        <f t="shared" si="2"/>
        <v>-20723</v>
      </c>
      <c r="J28" s="501">
        <f t="shared" si="2"/>
        <v>0</v>
      </c>
      <c r="K28" s="501">
        <f t="shared" si="2"/>
        <v>0</v>
      </c>
      <c r="L28" s="501">
        <f t="shared" si="2"/>
        <v>0</v>
      </c>
      <c r="M28" s="501">
        <f t="shared" si="2"/>
        <v>-5595</v>
      </c>
      <c r="N28" s="501"/>
      <c r="O28" s="501">
        <f>SUM(O25:O27)</f>
        <v>0</v>
      </c>
      <c r="P28" s="501">
        <f>SUM(P25:P27)</f>
        <v>-28163</v>
      </c>
      <c r="Q28" s="502"/>
    </row>
    <row r="29" spans="1:17" ht="13.5" customHeight="1">
      <c r="A29" s="63">
        <v>1</v>
      </c>
      <c r="B29" s="63">
        <v>13</v>
      </c>
      <c r="C29" s="46" t="s">
        <v>250</v>
      </c>
      <c r="D29" s="74"/>
      <c r="E29" s="505"/>
      <c r="F29" s="9"/>
      <c r="G29" s="9"/>
      <c r="H29" s="9"/>
      <c r="I29" s="9"/>
      <c r="J29" s="9"/>
      <c r="K29" s="9"/>
      <c r="L29" s="9"/>
      <c r="M29" s="9"/>
      <c r="N29" s="9"/>
      <c r="O29" s="9"/>
      <c r="P29" s="12"/>
      <c r="Q29" s="491"/>
    </row>
    <row r="30" spans="1:17" ht="13.5" customHeight="1">
      <c r="A30" s="63"/>
      <c r="B30" s="63"/>
      <c r="C30" s="506" t="s">
        <v>1234</v>
      </c>
      <c r="D30" s="74"/>
      <c r="E30" s="505"/>
      <c r="F30" s="9"/>
      <c r="G30" s="9"/>
      <c r="H30" s="9"/>
      <c r="I30" s="9"/>
      <c r="J30" s="9"/>
      <c r="K30" s="9"/>
      <c r="L30" s="9"/>
      <c r="M30" s="9"/>
      <c r="N30" s="9"/>
      <c r="O30" s="9"/>
      <c r="P30" s="12"/>
      <c r="Q30" s="491"/>
    </row>
    <row r="31" spans="1:17" ht="13.5" customHeight="1">
      <c r="A31" s="63"/>
      <c r="B31" s="63"/>
      <c r="C31" s="64" t="s">
        <v>1461</v>
      </c>
      <c r="D31" s="136"/>
      <c r="E31" s="507"/>
      <c r="F31" s="9"/>
      <c r="G31" s="9"/>
      <c r="H31" s="235"/>
      <c r="I31" s="235"/>
      <c r="J31" s="235"/>
      <c r="K31" s="9"/>
      <c r="L31" s="9"/>
      <c r="M31" s="9"/>
      <c r="N31" s="9"/>
      <c r="O31" s="9"/>
      <c r="P31" s="12"/>
      <c r="Q31" s="491"/>
    </row>
    <row r="32" spans="1:17" ht="24.75" customHeight="1">
      <c r="A32" s="63"/>
      <c r="B32" s="63"/>
      <c r="C32" s="1266" t="s">
        <v>281</v>
      </c>
      <c r="D32" s="1267"/>
      <c r="E32" s="507">
        <v>2</v>
      </c>
      <c r="F32" s="9"/>
      <c r="G32" s="9"/>
      <c r="H32" s="235">
        <v>-2120</v>
      </c>
      <c r="I32" s="235"/>
      <c r="J32" s="235">
        <v>1980</v>
      </c>
      <c r="K32" s="235"/>
      <c r="L32" s="9"/>
      <c r="M32" s="9"/>
      <c r="N32" s="9"/>
      <c r="O32" s="9"/>
      <c r="P32" s="12">
        <f>SUM(F32:O32)</f>
        <v>-140</v>
      </c>
      <c r="Q32" s="491" t="s">
        <v>606</v>
      </c>
    </row>
    <row r="33" spans="1:17" ht="15" customHeight="1">
      <c r="A33" s="63"/>
      <c r="B33" s="63"/>
      <c r="C33" s="1266" t="s">
        <v>489</v>
      </c>
      <c r="D33" s="1267"/>
      <c r="E33" s="507">
        <v>2</v>
      </c>
      <c r="F33" s="9"/>
      <c r="G33" s="9"/>
      <c r="H33" s="235"/>
      <c r="I33" s="235"/>
      <c r="J33" s="235">
        <v>1500</v>
      </c>
      <c r="K33" s="235"/>
      <c r="L33" s="9"/>
      <c r="M33" s="9"/>
      <c r="N33" s="9"/>
      <c r="O33" s="9"/>
      <c r="P33" s="12">
        <f>SUM(F33:O33)</f>
        <v>1500</v>
      </c>
      <c r="Q33" s="491" t="s">
        <v>606</v>
      </c>
    </row>
    <row r="34" spans="1:17" ht="15.75" customHeight="1">
      <c r="A34" s="63"/>
      <c r="B34" s="63"/>
      <c r="C34" s="1326" t="s">
        <v>1235</v>
      </c>
      <c r="D34" s="1327"/>
      <c r="E34" s="508"/>
      <c r="F34" s="235"/>
      <c r="G34" s="235"/>
      <c r="H34" s="235"/>
      <c r="I34" s="235"/>
      <c r="J34" s="235"/>
      <c r="K34" s="9"/>
      <c r="L34" s="9"/>
      <c r="M34" s="9"/>
      <c r="N34" s="9"/>
      <c r="O34" s="9"/>
      <c r="P34" s="12"/>
      <c r="Q34" s="491"/>
    </row>
    <row r="35" spans="1:17" ht="24.75" customHeight="1">
      <c r="A35" s="63"/>
      <c r="B35" s="63"/>
      <c r="C35" s="1266" t="s">
        <v>1463</v>
      </c>
      <c r="D35" s="1267"/>
      <c r="E35" s="508"/>
      <c r="F35" s="235"/>
      <c r="G35" s="235"/>
      <c r="H35" s="235"/>
      <c r="I35" s="235"/>
      <c r="J35" s="235"/>
      <c r="K35" s="9"/>
      <c r="L35" s="9"/>
      <c r="M35" s="9"/>
      <c r="N35" s="9"/>
      <c r="O35" s="9"/>
      <c r="P35" s="12"/>
      <c r="Q35" s="491"/>
    </row>
    <row r="36" spans="1:17" ht="15" customHeight="1">
      <c r="A36" s="63"/>
      <c r="B36" s="63"/>
      <c r="C36" s="1266" t="s">
        <v>1877</v>
      </c>
      <c r="D36" s="1267"/>
      <c r="E36" s="508">
        <v>2</v>
      </c>
      <c r="F36" s="235">
        <v>183</v>
      </c>
      <c r="G36" s="235">
        <v>104</v>
      </c>
      <c r="H36" s="235"/>
      <c r="I36" s="235"/>
      <c r="J36" s="235">
        <v>-287</v>
      </c>
      <c r="K36" s="9"/>
      <c r="L36" s="9"/>
      <c r="M36" s="9"/>
      <c r="N36" s="9"/>
      <c r="O36" s="9"/>
      <c r="P36" s="12">
        <f>SUM(F36:O36)</f>
        <v>0</v>
      </c>
      <c r="Q36" s="491" t="s">
        <v>606</v>
      </c>
    </row>
    <row r="37" spans="1:17" ht="15" customHeight="1">
      <c r="A37" s="63"/>
      <c r="B37" s="63"/>
      <c r="C37" s="14" t="s">
        <v>1106</v>
      </c>
      <c r="D37" s="442"/>
      <c r="E37" s="508">
        <v>2</v>
      </c>
      <c r="F37" s="235">
        <v>137</v>
      </c>
      <c r="G37" s="235">
        <v>74</v>
      </c>
      <c r="H37" s="235">
        <v>-66</v>
      </c>
      <c r="I37" s="235"/>
      <c r="J37" s="235">
        <v>100</v>
      </c>
      <c r="K37" s="9"/>
      <c r="L37" s="9"/>
      <c r="M37" s="9"/>
      <c r="N37" s="9"/>
      <c r="O37" s="9"/>
      <c r="P37" s="12">
        <f>SUM(F37:O37)</f>
        <v>245</v>
      </c>
      <c r="Q37" s="491" t="s">
        <v>606</v>
      </c>
    </row>
    <row r="38" spans="1:17" ht="15" customHeight="1">
      <c r="A38" s="63"/>
      <c r="B38" s="63"/>
      <c r="C38" s="1214" t="s">
        <v>491</v>
      </c>
      <c r="D38" s="1215"/>
      <c r="E38" s="508">
        <v>2</v>
      </c>
      <c r="F38" s="235">
        <v>117</v>
      </c>
      <c r="G38" s="235"/>
      <c r="H38" s="235">
        <v>288</v>
      </c>
      <c r="I38" s="235"/>
      <c r="J38" s="235">
        <v>-405</v>
      </c>
      <c r="K38" s="9"/>
      <c r="L38" s="9"/>
      <c r="M38" s="9"/>
      <c r="N38" s="9"/>
      <c r="O38" s="9"/>
      <c r="P38" s="12">
        <f>SUM(F38:O38)</f>
        <v>0</v>
      </c>
      <c r="Q38" s="491" t="s">
        <v>606</v>
      </c>
    </row>
    <row r="39" spans="1:17" ht="13.5" customHeight="1">
      <c r="A39" s="63"/>
      <c r="B39" s="63"/>
      <c r="C39" s="1474" t="s">
        <v>1459</v>
      </c>
      <c r="D39" s="1475"/>
      <c r="E39" s="492"/>
      <c r="F39" s="9"/>
      <c r="G39" s="9"/>
      <c r="H39" s="235"/>
      <c r="I39" s="235"/>
      <c r="J39" s="235"/>
      <c r="K39" s="9"/>
      <c r="L39" s="9"/>
      <c r="M39" s="9"/>
      <c r="N39" s="9"/>
      <c r="O39" s="9"/>
      <c r="P39" s="12"/>
      <c r="Q39" s="491"/>
    </row>
    <row r="40" spans="1:17" ht="13.5" customHeight="1">
      <c r="A40" s="63"/>
      <c r="B40" s="63"/>
      <c r="C40" s="1214" t="s">
        <v>392</v>
      </c>
      <c r="D40" s="1348"/>
      <c r="E40" s="510">
        <v>2</v>
      </c>
      <c r="F40" s="9"/>
      <c r="G40" s="9"/>
      <c r="H40" s="235"/>
      <c r="I40" s="235">
        <v>-495</v>
      </c>
      <c r="J40" s="235"/>
      <c r="K40" s="9"/>
      <c r="L40" s="9"/>
      <c r="M40" s="9"/>
      <c r="N40" s="9"/>
      <c r="O40" s="9"/>
      <c r="P40" s="12">
        <f>SUM(F40:O40)</f>
        <v>-495</v>
      </c>
      <c r="Q40" s="491" t="s">
        <v>606</v>
      </c>
    </row>
    <row r="41" spans="1:17" ht="13.5" customHeight="1">
      <c r="A41" s="63"/>
      <c r="B41" s="63"/>
      <c r="C41" s="732" t="s">
        <v>1465</v>
      </c>
      <c r="D41" s="733"/>
      <c r="E41" s="1203"/>
      <c r="F41" s="9"/>
      <c r="G41" s="9"/>
      <c r="H41" s="235"/>
      <c r="I41" s="235"/>
      <c r="J41" s="235"/>
      <c r="K41" s="9"/>
      <c r="L41" s="9"/>
      <c r="M41" s="9"/>
      <c r="N41" s="9"/>
      <c r="O41" s="9"/>
      <c r="P41" s="12"/>
      <c r="Q41" s="491"/>
    </row>
    <row r="42" spans="1:17" ht="16.5" customHeight="1">
      <c r="A42" s="63"/>
      <c r="B42" s="63"/>
      <c r="C42" s="1266" t="s">
        <v>725</v>
      </c>
      <c r="D42" s="1267"/>
      <c r="E42" s="1203">
        <v>2</v>
      </c>
      <c r="F42" s="9"/>
      <c r="G42" s="9"/>
      <c r="H42" s="235">
        <v>-676</v>
      </c>
      <c r="I42" s="235"/>
      <c r="J42" s="235">
        <v>1000</v>
      </c>
      <c r="K42" s="9"/>
      <c r="L42" s="9"/>
      <c r="M42" s="9"/>
      <c r="N42" s="9"/>
      <c r="O42" s="9"/>
      <c r="P42" s="12">
        <f>SUM(F42:O42)</f>
        <v>324</v>
      </c>
      <c r="Q42" s="491" t="s">
        <v>606</v>
      </c>
    </row>
    <row r="43" spans="1:17" ht="16.5" customHeight="1">
      <c r="A43" s="63"/>
      <c r="B43" s="63"/>
      <c r="C43" s="1263" t="s">
        <v>431</v>
      </c>
      <c r="D43" s="1264"/>
      <c r="E43" s="1203">
        <v>2</v>
      </c>
      <c r="F43" s="9"/>
      <c r="G43" s="9"/>
      <c r="H43" s="235"/>
      <c r="I43" s="235"/>
      <c r="J43" s="235">
        <v>760</v>
      </c>
      <c r="K43" s="9"/>
      <c r="L43" s="9"/>
      <c r="M43" s="9"/>
      <c r="N43" s="9"/>
      <c r="O43" s="9"/>
      <c r="P43" s="12">
        <f>SUM(F43:O43)</f>
        <v>760</v>
      </c>
      <c r="Q43" s="491" t="s">
        <v>606</v>
      </c>
    </row>
    <row r="44" spans="1:17" ht="16.5" customHeight="1">
      <c r="A44" s="63"/>
      <c r="B44" s="63"/>
      <c r="C44" s="1491" t="s">
        <v>1060</v>
      </c>
      <c r="D44" s="1492"/>
      <c r="E44" s="1203">
        <v>2</v>
      </c>
      <c r="F44" s="9"/>
      <c r="G44" s="235">
        <v>202</v>
      </c>
      <c r="H44" s="235"/>
      <c r="I44" s="235"/>
      <c r="J44" s="235"/>
      <c r="K44" s="9"/>
      <c r="L44" s="9"/>
      <c r="M44" s="9"/>
      <c r="N44" s="9"/>
      <c r="O44" s="9"/>
      <c r="P44" s="12">
        <f>SUM(F44:O44)</f>
        <v>202</v>
      </c>
      <c r="Q44" s="491" t="s">
        <v>606</v>
      </c>
    </row>
    <row r="45" spans="1:17" ht="16.5" customHeight="1">
      <c r="A45" s="63"/>
      <c r="B45" s="63"/>
      <c r="C45" s="1491" t="s">
        <v>494</v>
      </c>
      <c r="D45" s="1492"/>
      <c r="E45" s="1203">
        <v>1</v>
      </c>
      <c r="F45" s="9"/>
      <c r="G45" s="235"/>
      <c r="H45" s="235">
        <v>-74</v>
      </c>
      <c r="I45" s="235"/>
      <c r="J45" s="235"/>
      <c r="K45" s="9"/>
      <c r="L45" s="9"/>
      <c r="M45" s="9"/>
      <c r="N45" s="9"/>
      <c r="O45" s="9"/>
      <c r="P45" s="12">
        <f>SUM(F45:O45)</f>
        <v>-74</v>
      </c>
      <c r="Q45" s="491" t="s">
        <v>624</v>
      </c>
    </row>
    <row r="46" spans="1:17" ht="15" customHeight="1">
      <c r="A46" s="63"/>
      <c r="B46" s="63"/>
      <c r="C46" s="1266" t="s">
        <v>580</v>
      </c>
      <c r="D46" s="1267"/>
      <c r="E46" s="1203"/>
      <c r="F46" s="9"/>
      <c r="G46" s="9"/>
      <c r="H46" s="235"/>
      <c r="I46" s="235"/>
      <c r="J46" s="235"/>
      <c r="K46" s="9"/>
      <c r="L46" s="9"/>
      <c r="M46" s="9"/>
      <c r="N46" s="9"/>
      <c r="O46" s="9"/>
      <c r="P46" s="12"/>
      <c r="Q46" s="491"/>
    </row>
    <row r="47" spans="1:17" ht="15" customHeight="1">
      <c r="A47" s="63"/>
      <c r="B47" s="63"/>
      <c r="C47" s="1266" t="s">
        <v>692</v>
      </c>
      <c r="D47" s="1267"/>
      <c r="E47" s="1203">
        <v>2</v>
      </c>
      <c r="F47" s="9"/>
      <c r="G47" s="9"/>
      <c r="H47" s="235"/>
      <c r="I47" s="235"/>
      <c r="J47" s="235">
        <v>30</v>
      </c>
      <c r="K47" s="9"/>
      <c r="L47" s="9"/>
      <c r="M47" s="9"/>
      <c r="N47" s="9"/>
      <c r="O47" s="9"/>
      <c r="P47" s="12">
        <f>SUM(F47:O47)</f>
        <v>30</v>
      </c>
      <c r="Q47" s="491" t="s">
        <v>606</v>
      </c>
    </row>
    <row r="48" spans="1:17" ht="15" customHeight="1">
      <c r="A48" s="63"/>
      <c r="B48" s="63"/>
      <c r="C48" s="1266" t="s">
        <v>657</v>
      </c>
      <c r="D48" s="1267"/>
      <c r="E48" s="1203">
        <v>2</v>
      </c>
      <c r="F48" s="235">
        <v>334</v>
      </c>
      <c r="G48" s="235">
        <v>158</v>
      </c>
      <c r="H48" s="235">
        <v>8</v>
      </c>
      <c r="I48" s="235"/>
      <c r="J48" s="235"/>
      <c r="K48" s="9"/>
      <c r="L48" s="9"/>
      <c r="M48" s="9"/>
      <c r="N48" s="9"/>
      <c r="O48" s="9"/>
      <c r="P48" s="12">
        <f>SUM(F48:O48)</f>
        <v>500</v>
      </c>
      <c r="Q48" s="491" t="s">
        <v>606</v>
      </c>
    </row>
    <row r="49" spans="1:17" ht="13.5" customHeight="1">
      <c r="A49" s="63"/>
      <c r="B49" s="63"/>
      <c r="C49" s="1342" t="s">
        <v>365</v>
      </c>
      <c r="D49" s="1343"/>
      <c r="E49" s="496"/>
      <c r="F49" s="9"/>
      <c r="G49" s="9"/>
      <c r="H49" s="235"/>
      <c r="I49" s="235"/>
      <c r="J49" s="235"/>
      <c r="K49" s="9"/>
      <c r="L49" s="9"/>
      <c r="M49" s="9"/>
      <c r="N49" s="9"/>
      <c r="O49" s="9"/>
      <c r="P49" s="12"/>
      <c r="Q49" s="491"/>
    </row>
    <row r="50" spans="1:17" ht="24.75" customHeight="1">
      <c r="A50" s="63"/>
      <c r="B50" s="63"/>
      <c r="C50" s="732" t="s">
        <v>1555</v>
      </c>
      <c r="D50" s="733"/>
      <c r="E50" s="492"/>
      <c r="F50" s="9"/>
      <c r="G50" s="9"/>
      <c r="H50" s="235"/>
      <c r="I50" s="235"/>
      <c r="J50" s="235"/>
      <c r="K50" s="9"/>
      <c r="L50" s="9"/>
      <c r="M50" s="9"/>
      <c r="N50" s="9"/>
      <c r="O50" s="9"/>
      <c r="P50" s="12"/>
      <c r="Q50" s="491"/>
    </row>
    <row r="51" spans="1:17" ht="13.5" customHeight="1">
      <c r="A51" s="63"/>
      <c r="B51" s="63"/>
      <c r="C51" s="14" t="s">
        <v>1101</v>
      </c>
      <c r="D51" s="65"/>
      <c r="E51" s="493">
        <v>2</v>
      </c>
      <c r="F51" s="235">
        <v>12</v>
      </c>
      <c r="G51" s="9"/>
      <c r="H51" s="235">
        <v>-189</v>
      </c>
      <c r="I51" s="235"/>
      <c r="J51" s="235">
        <v>120</v>
      </c>
      <c r="K51" s="9"/>
      <c r="L51" s="9"/>
      <c r="M51" s="9"/>
      <c r="N51" s="9"/>
      <c r="O51" s="9"/>
      <c r="P51" s="12">
        <f>SUM(F51:O51)</f>
        <v>-57</v>
      </c>
      <c r="Q51" s="491" t="s">
        <v>606</v>
      </c>
    </row>
    <row r="52" spans="1:17" ht="36.75" customHeight="1">
      <c r="A52" s="63"/>
      <c r="B52" s="63"/>
      <c r="C52" s="1207" t="s">
        <v>1806</v>
      </c>
      <c r="D52" s="1505"/>
      <c r="E52" s="493"/>
      <c r="F52" s="9"/>
      <c r="G52" s="9"/>
      <c r="H52" s="235"/>
      <c r="I52" s="235"/>
      <c r="J52" s="235"/>
      <c r="K52" s="9"/>
      <c r="L52" s="9"/>
      <c r="M52" s="9"/>
      <c r="N52" s="9"/>
      <c r="O52" s="9"/>
      <c r="P52" s="12">
        <f>SUM(F52:O52)</f>
        <v>0</v>
      </c>
      <c r="Q52" s="491"/>
    </row>
    <row r="53" spans="1:17" ht="28.5" customHeight="1">
      <c r="A53" s="63"/>
      <c r="B53" s="63"/>
      <c r="C53" s="1207" t="s">
        <v>101</v>
      </c>
      <c r="D53" s="1479"/>
      <c r="E53" s="493">
        <v>2</v>
      </c>
      <c r="F53" s="235">
        <v>408</v>
      </c>
      <c r="G53" s="235">
        <v>145</v>
      </c>
      <c r="H53" s="235">
        <v>-553</v>
      </c>
      <c r="I53" s="235"/>
      <c r="J53" s="235"/>
      <c r="K53" s="9"/>
      <c r="L53" s="9"/>
      <c r="M53" s="9"/>
      <c r="N53" s="9"/>
      <c r="O53" s="9"/>
      <c r="P53" s="12">
        <f>SUM(F53:O53)</f>
        <v>0</v>
      </c>
      <c r="Q53" s="491" t="s">
        <v>606</v>
      </c>
    </row>
    <row r="54" spans="1:17" ht="15.75" customHeight="1">
      <c r="A54" s="63"/>
      <c r="B54" s="63"/>
      <c r="C54" s="1263" t="s">
        <v>1468</v>
      </c>
      <c r="D54" s="1264"/>
      <c r="E54" s="493"/>
      <c r="F54" s="235"/>
      <c r="G54" s="235"/>
      <c r="H54" s="235"/>
      <c r="I54" s="235"/>
      <c r="J54" s="235"/>
      <c r="K54" s="9"/>
      <c r="L54" s="9"/>
      <c r="M54" s="9"/>
      <c r="N54" s="9"/>
      <c r="O54" s="9"/>
      <c r="P54" s="12"/>
      <c r="Q54" s="491"/>
    </row>
    <row r="55" spans="1:17" ht="12.75" customHeight="1">
      <c r="A55" s="63"/>
      <c r="B55" s="63"/>
      <c r="C55" s="732" t="s">
        <v>787</v>
      </c>
      <c r="D55" s="733"/>
      <c r="E55" s="493">
        <v>2</v>
      </c>
      <c r="F55" s="235">
        <v>200</v>
      </c>
      <c r="G55" s="235"/>
      <c r="H55" s="235">
        <v>-750</v>
      </c>
      <c r="I55" s="235"/>
      <c r="J55" s="235">
        <v>550</v>
      </c>
      <c r="K55" s="9"/>
      <c r="L55" s="9"/>
      <c r="M55" s="9"/>
      <c r="N55" s="9"/>
      <c r="O55" s="9"/>
      <c r="P55" s="12">
        <f aca="true" t="shared" si="3" ref="P55:P67">SUM(F55:O55)</f>
        <v>0</v>
      </c>
      <c r="Q55" s="491" t="s">
        <v>606</v>
      </c>
    </row>
    <row r="56" spans="1:17" ht="24.75" customHeight="1">
      <c r="A56" s="63"/>
      <c r="B56" s="63"/>
      <c r="C56" s="1209" t="s">
        <v>798</v>
      </c>
      <c r="D56" s="1210"/>
      <c r="E56" s="493"/>
      <c r="F56" s="235"/>
      <c r="G56" s="235"/>
      <c r="H56" s="235"/>
      <c r="I56" s="235"/>
      <c r="J56" s="235"/>
      <c r="K56" s="9"/>
      <c r="L56" s="9"/>
      <c r="M56" s="9"/>
      <c r="N56" s="9"/>
      <c r="O56" s="9"/>
      <c r="P56" s="12">
        <f t="shared" si="3"/>
        <v>0</v>
      </c>
      <c r="Q56" s="15"/>
    </row>
    <row r="57" spans="1:17" ht="12.75" customHeight="1">
      <c r="A57" s="63"/>
      <c r="B57" s="63"/>
      <c r="C57" s="14" t="s">
        <v>805</v>
      </c>
      <c r="D57" s="65"/>
      <c r="E57" s="493">
        <v>1</v>
      </c>
      <c r="F57" s="235"/>
      <c r="G57" s="235"/>
      <c r="H57" s="235">
        <v>-774</v>
      </c>
      <c r="I57" s="235"/>
      <c r="J57" s="235"/>
      <c r="K57" s="9"/>
      <c r="L57" s="9"/>
      <c r="M57" s="9"/>
      <c r="N57" s="9"/>
      <c r="O57" s="9"/>
      <c r="P57" s="12">
        <f t="shared" si="3"/>
        <v>-774</v>
      </c>
      <c r="Q57" s="15" t="s">
        <v>606</v>
      </c>
    </row>
    <row r="58" spans="1:17" ht="13.5" customHeight="1">
      <c r="A58" s="63"/>
      <c r="B58" s="63"/>
      <c r="C58" s="513" t="s">
        <v>1686</v>
      </c>
      <c r="D58" s="514"/>
      <c r="E58" s="493"/>
      <c r="F58" s="9"/>
      <c r="G58" s="9"/>
      <c r="H58" s="235"/>
      <c r="I58" s="235"/>
      <c r="J58" s="235"/>
      <c r="K58" s="9"/>
      <c r="L58" s="9"/>
      <c r="M58" s="9"/>
      <c r="N58" s="9"/>
      <c r="O58" s="9"/>
      <c r="P58" s="12">
        <f t="shared" si="3"/>
        <v>0</v>
      </c>
      <c r="Q58" s="15"/>
    </row>
    <row r="59" spans="1:17" ht="13.5" customHeight="1">
      <c r="A59" s="63"/>
      <c r="B59" s="63"/>
      <c r="C59" s="1214" t="s">
        <v>1560</v>
      </c>
      <c r="D59" s="1215"/>
      <c r="E59" s="493"/>
      <c r="F59" s="9"/>
      <c r="G59" s="9"/>
      <c r="H59" s="235"/>
      <c r="I59" s="235"/>
      <c r="J59" s="235"/>
      <c r="K59" s="9"/>
      <c r="L59" s="9"/>
      <c r="M59" s="9"/>
      <c r="N59" s="9"/>
      <c r="O59" s="9"/>
      <c r="P59" s="12">
        <f t="shared" si="3"/>
        <v>0</v>
      </c>
      <c r="Q59" s="15"/>
    </row>
    <row r="60" spans="1:17" ht="13.5" customHeight="1">
      <c r="A60" s="63"/>
      <c r="B60" s="63"/>
      <c r="C60" s="14" t="s">
        <v>395</v>
      </c>
      <c r="D60" s="514"/>
      <c r="E60" s="493">
        <v>2</v>
      </c>
      <c r="F60" s="9"/>
      <c r="G60" s="9"/>
      <c r="H60" s="235"/>
      <c r="I60" s="235"/>
      <c r="J60" s="235">
        <v>-1669</v>
      </c>
      <c r="K60" s="9"/>
      <c r="L60" s="9"/>
      <c r="M60" s="9"/>
      <c r="N60" s="9"/>
      <c r="O60" s="9"/>
      <c r="P60" s="12">
        <f t="shared" si="3"/>
        <v>-1669</v>
      </c>
      <c r="Q60" s="15" t="s">
        <v>606</v>
      </c>
    </row>
    <row r="61" spans="1:17" ht="13.5" customHeight="1">
      <c r="A61" s="63"/>
      <c r="B61" s="63"/>
      <c r="C61" s="766" t="s">
        <v>1562</v>
      </c>
      <c r="D61" s="727"/>
      <c r="E61" s="493"/>
      <c r="F61" s="9"/>
      <c r="G61" s="9"/>
      <c r="H61" s="235"/>
      <c r="I61" s="235"/>
      <c r="J61" s="235"/>
      <c r="K61" s="9"/>
      <c r="L61" s="9"/>
      <c r="M61" s="9"/>
      <c r="N61" s="9"/>
      <c r="O61" s="9"/>
      <c r="P61" s="12">
        <f t="shared" si="3"/>
        <v>0</v>
      </c>
      <c r="Q61" s="15"/>
    </row>
    <row r="62" spans="1:17" ht="13.5" customHeight="1">
      <c r="A62" s="63"/>
      <c r="B62" s="63"/>
      <c r="C62" s="15" t="s">
        <v>1502</v>
      </c>
      <c r="D62" s="79"/>
      <c r="E62" s="493">
        <v>1</v>
      </c>
      <c r="F62" s="9"/>
      <c r="G62" s="9"/>
      <c r="H62" s="235"/>
      <c r="I62" s="235"/>
      <c r="J62" s="235">
        <v>1800</v>
      </c>
      <c r="K62" s="9"/>
      <c r="L62" s="9"/>
      <c r="M62" s="9"/>
      <c r="N62" s="9"/>
      <c r="O62" s="9"/>
      <c r="P62" s="12">
        <f t="shared" si="3"/>
        <v>1800</v>
      </c>
      <c r="Q62" s="15" t="s">
        <v>606</v>
      </c>
    </row>
    <row r="63" spans="1:17" ht="27" customHeight="1">
      <c r="A63" s="63"/>
      <c r="B63" s="63"/>
      <c r="C63" s="1351" t="s">
        <v>695</v>
      </c>
      <c r="D63" s="1352"/>
      <c r="E63" s="493">
        <v>1</v>
      </c>
      <c r="F63" s="9"/>
      <c r="G63" s="9"/>
      <c r="H63" s="235"/>
      <c r="I63" s="235"/>
      <c r="J63" s="235">
        <v>-1800</v>
      </c>
      <c r="K63" s="9"/>
      <c r="L63" s="9"/>
      <c r="M63" s="9"/>
      <c r="N63" s="9"/>
      <c r="O63" s="9"/>
      <c r="P63" s="12">
        <f t="shared" si="3"/>
        <v>-1800</v>
      </c>
      <c r="Q63" s="15" t="s">
        <v>606</v>
      </c>
    </row>
    <row r="64" spans="1:17" ht="13.5" customHeight="1">
      <c r="A64" s="63"/>
      <c r="B64" s="63"/>
      <c r="C64" s="15" t="s">
        <v>694</v>
      </c>
      <c r="D64" s="79"/>
      <c r="E64" s="493">
        <v>1</v>
      </c>
      <c r="F64" s="9"/>
      <c r="G64" s="9"/>
      <c r="H64" s="235">
        <v>-1298</v>
      </c>
      <c r="I64" s="235"/>
      <c r="J64" s="235">
        <v>1380</v>
      </c>
      <c r="K64" s="9"/>
      <c r="L64" s="9"/>
      <c r="M64" s="9"/>
      <c r="N64" s="9"/>
      <c r="O64" s="9"/>
      <c r="P64" s="12">
        <f t="shared" si="3"/>
        <v>82</v>
      </c>
      <c r="Q64" s="15" t="s">
        <v>606</v>
      </c>
    </row>
    <row r="65" spans="1:17" ht="13.5" customHeight="1">
      <c r="A65" s="63"/>
      <c r="B65" s="63"/>
      <c r="C65" s="1246" t="s">
        <v>1061</v>
      </c>
      <c r="D65" s="79"/>
      <c r="E65" s="493">
        <v>1</v>
      </c>
      <c r="F65" s="235">
        <v>200</v>
      </c>
      <c r="G65" s="235">
        <v>125</v>
      </c>
      <c r="H65" s="235">
        <v>430</v>
      </c>
      <c r="I65" s="235"/>
      <c r="J65" s="235">
        <v>-755</v>
      </c>
      <c r="K65" s="9"/>
      <c r="L65" s="9"/>
      <c r="M65" s="9"/>
      <c r="N65" s="9"/>
      <c r="O65" s="9"/>
      <c r="P65" s="12">
        <f t="shared" si="3"/>
        <v>0</v>
      </c>
      <c r="Q65" s="15" t="s">
        <v>606</v>
      </c>
    </row>
    <row r="66" spans="1:17" ht="13.5" customHeight="1">
      <c r="A66" s="63"/>
      <c r="B66" s="63"/>
      <c r="C66" s="1214" t="s">
        <v>1561</v>
      </c>
      <c r="D66" s="1215"/>
      <c r="E66" s="493"/>
      <c r="F66" s="235"/>
      <c r="G66" s="235"/>
      <c r="H66" s="235"/>
      <c r="I66" s="235"/>
      <c r="J66" s="235"/>
      <c r="K66" s="9"/>
      <c r="L66" s="9"/>
      <c r="M66" s="9"/>
      <c r="N66" s="9"/>
      <c r="O66" s="9"/>
      <c r="P66" s="12">
        <f t="shared" si="3"/>
        <v>0</v>
      </c>
      <c r="Q66" s="15"/>
    </row>
    <row r="67" spans="1:17" ht="13.5" customHeight="1">
      <c r="A67" s="63"/>
      <c r="B67" s="63"/>
      <c r="C67" s="1261" t="s">
        <v>1689</v>
      </c>
      <c r="D67" s="1262"/>
      <c r="E67" s="493">
        <v>1</v>
      </c>
      <c r="F67" s="235">
        <v>290</v>
      </c>
      <c r="G67" s="235">
        <v>70</v>
      </c>
      <c r="H67" s="235">
        <v>1497</v>
      </c>
      <c r="I67" s="235"/>
      <c r="J67" s="235">
        <v>-2000</v>
      </c>
      <c r="K67" s="9"/>
      <c r="L67" s="9"/>
      <c r="M67" s="9"/>
      <c r="N67" s="9"/>
      <c r="O67" s="9"/>
      <c r="P67" s="12">
        <f t="shared" si="3"/>
        <v>-143</v>
      </c>
      <c r="Q67" s="15" t="s">
        <v>606</v>
      </c>
    </row>
    <row r="68" spans="1:17" ht="13.5" customHeight="1">
      <c r="A68" s="63"/>
      <c r="B68" s="63"/>
      <c r="C68" s="15" t="s">
        <v>1501</v>
      </c>
      <c r="D68" s="514"/>
      <c r="E68" s="493">
        <v>1</v>
      </c>
      <c r="F68" s="9"/>
      <c r="G68" s="9"/>
      <c r="H68" s="235">
        <v>-80</v>
      </c>
      <c r="I68" s="235"/>
      <c r="J68" s="235">
        <v>80</v>
      </c>
      <c r="K68" s="9"/>
      <c r="L68" s="9"/>
      <c r="M68" s="9"/>
      <c r="N68" s="9"/>
      <c r="O68" s="9"/>
      <c r="P68" s="12">
        <v>0</v>
      </c>
      <c r="Q68" s="15" t="s">
        <v>606</v>
      </c>
    </row>
    <row r="69" spans="1:17" ht="13.5" customHeight="1">
      <c r="A69" s="68"/>
      <c r="B69" s="68"/>
      <c r="C69" s="517" t="s">
        <v>251</v>
      </c>
      <c r="D69" s="518"/>
      <c r="E69" s="68"/>
      <c r="F69" s="501">
        <f aca="true" t="shared" si="4" ref="F69:P69">SUM(F31:F68)</f>
        <v>1881</v>
      </c>
      <c r="G69" s="501">
        <f t="shared" si="4"/>
        <v>878</v>
      </c>
      <c r="H69" s="501">
        <f t="shared" si="4"/>
        <v>-4357</v>
      </c>
      <c r="I69" s="501">
        <f t="shared" si="4"/>
        <v>-495</v>
      </c>
      <c r="J69" s="501">
        <f t="shared" si="4"/>
        <v>2384</v>
      </c>
      <c r="K69" s="501">
        <f t="shared" si="4"/>
        <v>0</v>
      </c>
      <c r="L69" s="501">
        <f t="shared" si="4"/>
        <v>0</v>
      </c>
      <c r="M69" s="501">
        <f t="shared" si="4"/>
        <v>0</v>
      </c>
      <c r="N69" s="501">
        <f t="shared" si="4"/>
        <v>0</v>
      </c>
      <c r="O69" s="501">
        <f t="shared" si="4"/>
        <v>0</v>
      </c>
      <c r="P69" s="501">
        <f t="shared" si="4"/>
        <v>291</v>
      </c>
      <c r="Q69" s="501"/>
    </row>
    <row r="70" spans="1:17" ht="13.5" customHeight="1">
      <c r="A70" s="8"/>
      <c r="B70" s="8"/>
      <c r="C70" s="14" t="s">
        <v>1110</v>
      </c>
      <c r="D70" s="59"/>
      <c r="E70" s="78"/>
      <c r="F70" s="9"/>
      <c r="G70" s="9"/>
      <c r="H70" s="9"/>
      <c r="I70" s="9"/>
      <c r="J70" s="9"/>
      <c r="K70" s="235">
        <f>'[4]7'!J37</f>
        <v>24839</v>
      </c>
      <c r="L70" s="235"/>
      <c r="M70" s="235">
        <f>'[4]7'!K37</f>
        <v>-15903</v>
      </c>
      <c r="N70" s="235"/>
      <c r="O70" s="8"/>
      <c r="P70" s="12">
        <f>SUM(F70:O70)</f>
        <v>8936</v>
      </c>
      <c r="Q70" s="491"/>
    </row>
    <row r="71" spans="1:17" ht="13.5" customHeight="1">
      <c r="A71" s="8"/>
      <c r="B71" s="8"/>
      <c r="C71" s="14" t="s">
        <v>1874</v>
      </c>
      <c r="D71" s="59"/>
      <c r="E71" s="78"/>
      <c r="F71" s="9"/>
      <c r="G71" s="9"/>
      <c r="H71" s="9"/>
      <c r="I71" s="9"/>
      <c r="J71" s="9"/>
      <c r="K71" s="235"/>
      <c r="L71" s="235">
        <f>'[4]8'!J52</f>
        <v>6805</v>
      </c>
      <c r="M71" s="235">
        <f>'[4]8'!K52</f>
        <v>1000</v>
      </c>
      <c r="N71" s="235"/>
      <c r="O71" s="8"/>
      <c r="P71" s="12">
        <f>SUM(F71:O71)</f>
        <v>7805</v>
      </c>
      <c r="Q71" s="491"/>
    </row>
    <row r="72" spans="1:17" ht="13.5" customHeight="1">
      <c r="A72" s="497"/>
      <c r="B72" s="497"/>
      <c r="C72" s="71" t="s">
        <v>252</v>
      </c>
      <c r="D72" s="499"/>
      <c r="E72" s="500"/>
      <c r="F72" s="501">
        <f aca="true" t="shared" si="5" ref="F72:P72">SUM(F69:F71)</f>
        <v>1881</v>
      </c>
      <c r="G72" s="501">
        <f t="shared" si="5"/>
        <v>878</v>
      </c>
      <c r="H72" s="501">
        <f t="shared" si="5"/>
        <v>-4357</v>
      </c>
      <c r="I72" s="501">
        <f t="shared" si="5"/>
        <v>-495</v>
      </c>
      <c r="J72" s="501">
        <f t="shared" si="5"/>
        <v>2384</v>
      </c>
      <c r="K72" s="501">
        <f t="shared" si="5"/>
        <v>24839</v>
      </c>
      <c r="L72" s="501">
        <f t="shared" si="5"/>
        <v>6805</v>
      </c>
      <c r="M72" s="501">
        <f t="shared" si="5"/>
        <v>-14903</v>
      </c>
      <c r="N72" s="501">
        <f t="shared" si="5"/>
        <v>0</v>
      </c>
      <c r="O72" s="501">
        <f t="shared" si="5"/>
        <v>0</v>
      </c>
      <c r="P72" s="501">
        <f t="shared" si="5"/>
        <v>17032</v>
      </c>
      <c r="Q72" s="502"/>
    </row>
    <row r="73" spans="1:17" ht="13.5" customHeight="1">
      <c r="A73" s="8">
        <v>1</v>
      </c>
      <c r="B73" s="8">
        <v>15</v>
      </c>
      <c r="C73" s="519" t="s">
        <v>1111</v>
      </c>
      <c r="D73" s="514"/>
      <c r="E73" s="63"/>
      <c r="F73" s="9"/>
      <c r="G73" s="9"/>
      <c r="H73" s="9"/>
      <c r="I73" s="9"/>
      <c r="J73" s="9"/>
      <c r="K73" s="520"/>
      <c r="L73" s="520"/>
      <c r="M73" s="520"/>
      <c r="N73" s="520"/>
      <c r="O73" s="9"/>
      <c r="P73" s="12"/>
      <c r="Q73" s="521"/>
    </row>
    <row r="74" spans="1:17" ht="13.5" customHeight="1">
      <c r="A74" s="8"/>
      <c r="B74" s="8"/>
      <c r="C74" s="80" t="s">
        <v>1564</v>
      </c>
      <c r="D74" s="522" t="s">
        <v>912</v>
      </c>
      <c r="E74" s="78"/>
      <c r="F74" s="9"/>
      <c r="G74" s="9"/>
      <c r="H74" s="9"/>
      <c r="I74" s="9"/>
      <c r="J74" s="9"/>
      <c r="K74" s="520"/>
      <c r="L74" s="520"/>
      <c r="M74" s="520"/>
      <c r="N74" s="520"/>
      <c r="O74" s="9"/>
      <c r="P74" s="12"/>
      <c r="Q74" s="521"/>
    </row>
    <row r="75" spans="1:17" ht="13.5" customHeight="1">
      <c r="A75" s="8"/>
      <c r="B75" s="8"/>
      <c r="C75" s="15" t="s">
        <v>1892</v>
      </c>
      <c r="D75" s="514"/>
      <c r="E75" s="63">
        <v>1</v>
      </c>
      <c r="F75" s="235"/>
      <c r="G75" s="235"/>
      <c r="H75" s="235">
        <v>4</v>
      </c>
      <c r="I75" s="235"/>
      <c r="J75" s="235"/>
      <c r="K75" s="235"/>
      <c r="L75" s="235"/>
      <c r="M75" s="235"/>
      <c r="N75" s="235"/>
      <c r="O75" s="235"/>
      <c r="P75" s="12">
        <f aca="true" t="shared" si="6" ref="P75:P83">SUM(F75:O75)</f>
        <v>4</v>
      </c>
      <c r="Q75" s="521" t="s">
        <v>624</v>
      </c>
    </row>
    <row r="76" spans="1:17" ht="13.5" customHeight="1">
      <c r="A76" s="8"/>
      <c r="B76" s="8"/>
      <c r="C76" s="1214" t="s">
        <v>1896</v>
      </c>
      <c r="D76" s="1215"/>
      <c r="E76" s="63">
        <v>1</v>
      </c>
      <c r="F76" s="235"/>
      <c r="G76" s="235"/>
      <c r="H76" s="235">
        <v>-255</v>
      </c>
      <c r="I76" s="235"/>
      <c r="J76" s="235"/>
      <c r="K76" s="235"/>
      <c r="L76" s="235"/>
      <c r="M76" s="235"/>
      <c r="N76" s="235"/>
      <c r="O76" s="235"/>
      <c r="P76" s="12">
        <f t="shared" si="6"/>
        <v>-255</v>
      </c>
      <c r="Q76" s="521" t="s">
        <v>624</v>
      </c>
    </row>
    <row r="77" spans="1:17" ht="13.5" customHeight="1">
      <c r="A77" s="8"/>
      <c r="B77" s="8"/>
      <c r="C77" s="80" t="s">
        <v>996</v>
      </c>
      <c r="D77" s="137"/>
      <c r="E77" s="63">
        <v>1</v>
      </c>
      <c r="F77" s="235"/>
      <c r="G77" s="235"/>
      <c r="H77" s="235">
        <v>-1630</v>
      </c>
      <c r="I77" s="235"/>
      <c r="J77" s="235"/>
      <c r="K77" s="235"/>
      <c r="L77" s="235"/>
      <c r="M77" s="235"/>
      <c r="N77" s="235"/>
      <c r="O77" s="235"/>
      <c r="P77" s="12">
        <f t="shared" si="6"/>
        <v>-1630</v>
      </c>
      <c r="Q77" s="521" t="s">
        <v>624</v>
      </c>
    </row>
    <row r="78" spans="1:17" ht="13.5" customHeight="1">
      <c r="A78" s="8"/>
      <c r="B78" s="8"/>
      <c r="C78" s="766" t="s">
        <v>1</v>
      </c>
      <c r="D78" s="727"/>
      <c r="E78" s="63">
        <v>2</v>
      </c>
      <c r="F78" s="235"/>
      <c r="G78" s="235"/>
      <c r="H78" s="235">
        <v>1329</v>
      </c>
      <c r="I78" s="235"/>
      <c r="J78" s="235"/>
      <c r="K78" s="235"/>
      <c r="L78" s="235"/>
      <c r="M78" s="235"/>
      <c r="N78" s="235"/>
      <c r="O78" s="235"/>
      <c r="P78" s="12">
        <f t="shared" si="6"/>
        <v>1329</v>
      </c>
      <c r="Q78" s="521" t="s">
        <v>624</v>
      </c>
    </row>
    <row r="79" spans="1:17" ht="13.5" customHeight="1">
      <c r="A79" s="8"/>
      <c r="B79" s="8"/>
      <c r="C79" s="766" t="s">
        <v>4</v>
      </c>
      <c r="D79" s="727"/>
      <c r="E79" s="63">
        <v>2</v>
      </c>
      <c r="F79" s="235"/>
      <c r="G79" s="235"/>
      <c r="H79" s="235">
        <v>-860</v>
      </c>
      <c r="I79" s="235"/>
      <c r="J79" s="235"/>
      <c r="K79" s="235"/>
      <c r="L79" s="235"/>
      <c r="M79" s="235"/>
      <c r="N79" s="235"/>
      <c r="O79" s="235"/>
      <c r="P79" s="12">
        <f t="shared" si="6"/>
        <v>-860</v>
      </c>
      <c r="Q79" s="521" t="s">
        <v>624</v>
      </c>
    </row>
    <row r="80" spans="1:17" ht="13.5" customHeight="1">
      <c r="A80" s="8"/>
      <c r="B80" s="8"/>
      <c r="C80" s="80" t="s">
        <v>414</v>
      </c>
      <c r="D80" s="527"/>
      <c r="E80" s="63">
        <v>1</v>
      </c>
      <c r="F80" s="235"/>
      <c r="G80" s="235"/>
      <c r="H80" s="235">
        <v>51</v>
      </c>
      <c r="I80" s="235"/>
      <c r="J80" s="235"/>
      <c r="K80" s="235"/>
      <c r="L80" s="235"/>
      <c r="M80" s="235"/>
      <c r="N80" s="235"/>
      <c r="O80" s="235"/>
      <c r="P80" s="12">
        <f t="shared" si="6"/>
        <v>51</v>
      </c>
      <c r="Q80" s="521" t="s">
        <v>606</v>
      </c>
    </row>
    <row r="81" spans="1:17" ht="13.5" customHeight="1">
      <c r="A81" s="8"/>
      <c r="B81" s="8"/>
      <c r="C81" s="80" t="s">
        <v>995</v>
      </c>
      <c r="D81" s="527"/>
      <c r="E81" s="63">
        <v>1</v>
      </c>
      <c r="F81" s="235"/>
      <c r="G81" s="235"/>
      <c r="H81" s="235">
        <v>-931</v>
      </c>
      <c r="I81" s="235"/>
      <c r="J81" s="235"/>
      <c r="K81" s="235"/>
      <c r="L81" s="235"/>
      <c r="M81" s="235"/>
      <c r="N81" s="235"/>
      <c r="O81" s="235"/>
      <c r="P81" s="12">
        <f t="shared" si="6"/>
        <v>-931</v>
      </c>
      <c r="Q81" s="521" t="s">
        <v>624</v>
      </c>
    </row>
    <row r="82" spans="1:17" ht="13.5" customHeight="1">
      <c r="A82" s="8"/>
      <c r="B82" s="8"/>
      <c r="C82" s="80" t="s">
        <v>1062</v>
      </c>
      <c r="D82" s="527"/>
      <c r="E82" s="63">
        <v>1</v>
      </c>
      <c r="F82" s="235"/>
      <c r="G82" s="235"/>
      <c r="H82" s="235">
        <v>2000</v>
      </c>
      <c r="I82" s="235"/>
      <c r="J82" s="235"/>
      <c r="K82" s="235"/>
      <c r="L82" s="235"/>
      <c r="M82" s="235"/>
      <c r="N82" s="235"/>
      <c r="O82" s="235"/>
      <c r="P82" s="12">
        <f t="shared" si="6"/>
        <v>2000</v>
      </c>
      <c r="Q82" s="521" t="s">
        <v>624</v>
      </c>
    </row>
    <row r="83" spans="1:17" ht="13.5" customHeight="1">
      <c r="A83" s="8"/>
      <c r="B83" s="8"/>
      <c r="C83" s="80" t="s">
        <v>1063</v>
      </c>
      <c r="D83" s="527"/>
      <c r="E83" s="63">
        <v>1</v>
      </c>
      <c r="F83" s="235"/>
      <c r="G83" s="235"/>
      <c r="H83" s="235">
        <v>-768</v>
      </c>
      <c r="I83" s="235"/>
      <c r="J83" s="235"/>
      <c r="K83" s="235"/>
      <c r="L83" s="235"/>
      <c r="M83" s="235"/>
      <c r="N83" s="235"/>
      <c r="O83" s="235"/>
      <c r="P83" s="12">
        <f t="shared" si="6"/>
        <v>-768</v>
      </c>
      <c r="Q83" s="521" t="s">
        <v>624</v>
      </c>
    </row>
    <row r="84" spans="1:17" ht="13.5" customHeight="1">
      <c r="A84" s="8"/>
      <c r="B84" s="8"/>
      <c r="C84" s="1261" t="s">
        <v>1469</v>
      </c>
      <c r="D84" s="1340"/>
      <c r="E84" s="525"/>
      <c r="F84" s="235"/>
      <c r="G84" s="235"/>
      <c r="H84" s="235"/>
      <c r="I84" s="235"/>
      <c r="J84" s="235"/>
      <c r="K84" s="235"/>
      <c r="L84" s="235"/>
      <c r="M84" s="235"/>
      <c r="N84" s="235"/>
      <c r="O84" s="235"/>
      <c r="P84" s="12"/>
      <c r="Q84" s="521"/>
    </row>
    <row r="85" spans="1:17" ht="13.5" customHeight="1">
      <c r="A85" s="8"/>
      <c r="B85" s="8"/>
      <c r="C85" s="15" t="s">
        <v>1898</v>
      </c>
      <c r="D85" s="522"/>
      <c r="E85" s="78">
        <v>1</v>
      </c>
      <c r="F85" s="235"/>
      <c r="G85" s="235"/>
      <c r="H85" s="235">
        <v>-1300</v>
      </c>
      <c r="I85" s="235"/>
      <c r="J85" s="235"/>
      <c r="K85" s="235"/>
      <c r="L85" s="235"/>
      <c r="M85" s="235"/>
      <c r="N85" s="235"/>
      <c r="O85" s="235"/>
      <c r="P85" s="12">
        <f aca="true" t="shared" si="7" ref="P85:P109">SUM(F85:O85)</f>
        <v>-1300</v>
      </c>
      <c r="Q85" s="521" t="s">
        <v>624</v>
      </c>
    </row>
    <row r="86" spans="1:17" ht="13.5" customHeight="1">
      <c r="A86" s="8"/>
      <c r="B86" s="8"/>
      <c r="C86" s="1261" t="s">
        <v>338</v>
      </c>
      <c r="D86" s="1262"/>
      <c r="E86" s="78">
        <v>1</v>
      </c>
      <c r="F86" s="235"/>
      <c r="G86" s="235"/>
      <c r="H86" s="235">
        <v>-1134</v>
      </c>
      <c r="I86" s="235"/>
      <c r="J86" s="235"/>
      <c r="K86" s="235"/>
      <c r="L86" s="235"/>
      <c r="M86" s="235"/>
      <c r="N86" s="235"/>
      <c r="O86" s="235"/>
      <c r="P86" s="12">
        <f t="shared" si="7"/>
        <v>-1134</v>
      </c>
      <c r="Q86" s="521" t="s">
        <v>624</v>
      </c>
    </row>
    <row r="87" spans="1:17" ht="13.5" customHeight="1">
      <c r="A87" s="8"/>
      <c r="B87" s="8"/>
      <c r="C87" s="1261" t="s">
        <v>482</v>
      </c>
      <c r="D87" s="1341"/>
      <c r="E87" s="525">
        <v>2</v>
      </c>
      <c r="F87" s="235"/>
      <c r="G87" s="235"/>
      <c r="H87" s="235">
        <v>-1800</v>
      </c>
      <c r="I87" s="235"/>
      <c r="J87" s="235"/>
      <c r="K87" s="235"/>
      <c r="L87" s="235"/>
      <c r="M87" s="235"/>
      <c r="N87" s="235"/>
      <c r="O87" s="235"/>
      <c r="P87" s="12">
        <f t="shared" si="7"/>
        <v>-1800</v>
      </c>
      <c r="Q87" s="521" t="s">
        <v>624</v>
      </c>
    </row>
    <row r="88" spans="1:17" ht="13.5" customHeight="1">
      <c r="A88" s="8"/>
      <c r="B88" s="8"/>
      <c r="C88" s="15" t="s">
        <v>483</v>
      </c>
      <c r="D88" s="526"/>
      <c r="E88" s="525">
        <v>2</v>
      </c>
      <c r="F88" s="235"/>
      <c r="G88" s="235"/>
      <c r="H88" s="235">
        <v>-602</v>
      </c>
      <c r="I88" s="235"/>
      <c r="J88" s="235"/>
      <c r="K88" s="235"/>
      <c r="L88" s="235"/>
      <c r="M88" s="235"/>
      <c r="N88" s="235"/>
      <c r="O88" s="235"/>
      <c r="P88" s="12">
        <f t="shared" si="7"/>
        <v>-602</v>
      </c>
      <c r="Q88" s="521" t="s">
        <v>624</v>
      </c>
    </row>
    <row r="89" spans="1:17" ht="13.5" customHeight="1">
      <c r="A89" s="8"/>
      <c r="B89" s="8"/>
      <c r="C89" s="1247" t="s">
        <v>1064</v>
      </c>
      <c r="D89" s="1248"/>
      <c r="E89" s="525">
        <v>2</v>
      </c>
      <c r="F89" s="235"/>
      <c r="G89" s="235"/>
      <c r="H89" s="235">
        <v>5650</v>
      </c>
      <c r="I89" s="235"/>
      <c r="J89" s="235"/>
      <c r="K89" s="235"/>
      <c r="L89" s="235"/>
      <c r="M89" s="235"/>
      <c r="N89" s="235"/>
      <c r="O89" s="235"/>
      <c r="P89" s="12">
        <f t="shared" si="7"/>
        <v>5650</v>
      </c>
      <c r="Q89" s="521" t="s">
        <v>606</v>
      </c>
    </row>
    <row r="90" spans="1:17" ht="13.5" customHeight="1">
      <c r="A90" s="8"/>
      <c r="B90" s="8"/>
      <c r="C90" s="766" t="s">
        <v>1423</v>
      </c>
      <c r="D90" s="727"/>
      <c r="E90" s="525"/>
      <c r="F90" s="235"/>
      <c r="G90" s="235"/>
      <c r="H90" s="235"/>
      <c r="I90" s="235"/>
      <c r="J90" s="235"/>
      <c r="K90" s="235"/>
      <c r="L90" s="235"/>
      <c r="M90" s="235"/>
      <c r="N90" s="235"/>
      <c r="O90" s="235"/>
      <c r="P90" s="12">
        <f t="shared" si="7"/>
        <v>0</v>
      </c>
      <c r="Q90" s="521"/>
    </row>
    <row r="91" spans="1:17" ht="13.5" customHeight="1">
      <c r="A91" s="8"/>
      <c r="B91" s="8"/>
      <c r="C91" s="16" t="s">
        <v>339</v>
      </c>
      <c r="D91" s="294"/>
      <c r="E91" s="525">
        <v>1</v>
      </c>
      <c r="F91" s="235"/>
      <c r="G91" s="235"/>
      <c r="H91" s="235">
        <v>1200</v>
      </c>
      <c r="I91" s="235"/>
      <c r="J91" s="235"/>
      <c r="K91" s="235"/>
      <c r="L91" s="235"/>
      <c r="M91" s="235"/>
      <c r="N91" s="235"/>
      <c r="O91" s="235"/>
      <c r="P91" s="12">
        <f t="shared" si="7"/>
        <v>1200</v>
      </c>
      <c r="Q91" s="521" t="s">
        <v>624</v>
      </c>
    </row>
    <row r="92" spans="1:17" ht="13.5" customHeight="1">
      <c r="A92" s="8"/>
      <c r="B92" s="8"/>
      <c r="C92" s="15" t="s">
        <v>340</v>
      </c>
      <c r="D92" s="294"/>
      <c r="E92" s="525">
        <v>1</v>
      </c>
      <c r="F92" s="235"/>
      <c r="G92" s="235"/>
      <c r="H92" s="235">
        <v>392</v>
      </c>
      <c r="I92" s="235"/>
      <c r="J92" s="235"/>
      <c r="K92" s="235"/>
      <c r="L92" s="235"/>
      <c r="M92" s="235"/>
      <c r="N92" s="235"/>
      <c r="O92" s="235"/>
      <c r="P92" s="12">
        <f t="shared" si="7"/>
        <v>392</v>
      </c>
      <c r="Q92" s="521" t="s">
        <v>624</v>
      </c>
    </row>
    <row r="93" spans="1:17" ht="15" customHeight="1">
      <c r="A93" s="8"/>
      <c r="B93" s="8"/>
      <c r="C93" s="1261" t="s">
        <v>5</v>
      </c>
      <c r="D93" s="1262"/>
      <c r="E93" s="63">
        <v>1</v>
      </c>
      <c r="F93" s="235"/>
      <c r="G93" s="235"/>
      <c r="H93" s="235">
        <v>-1504</v>
      </c>
      <c r="I93" s="235"/>
      <c r="J93" s="235"/>
      <c r="K93" s="235"/>
      <c r="L93" s="235"/>
      <c r="M93" s="235"/>
      <c r="N93" s="235"/>
      <c r="O93" s="235"/>
      <c r="P93" s="12">
        <f t="shared" si="7"/>
        <v>-1504</v>
      </c>
      <c r="Q93" s="521" t="s">
        <v>624</v>
      </c>
    </row>
    <row r="94" spans="1:17" ht="23.25" customHeight="1">
      <c r="A94" s="8"/>
      <c r="B94" s="8"/>
      <c r="C94" s="1249" t="s">
        <v>727</v>
      </c>
      <c r="D94" s="1250"/>
      <c r="E94" s="63">
        <v>1</v>
      </c>
      <c r="F94" s="235"/>
      <c r="G94" s="235"/>
      <c r="H94" s="235">
        <v>14841</v>
      </c>
      <c r="I94" s="235"/>
      <c r="J94" s="235"/>
      <c r="K94" s="235"/>
      <c r="L94" s="235"/>
      <c r="M94" s="235"/>
      <c r="N94" s="235"/>
      <c r="O94" s="235"/>
      <c r="P94" s="12">
        <f t="shared" si="7"/>
        <v>14841</v>
      </c>
      <c r="Q94" s="521" t="s">
        <v>624</v>
      </c>
    </row>
    <row r="95" spans="1:17" ht="15" customHeight="1">
      <c r="A95" s="8"/>
      <c r="B95" s="8"/>
      <c r="C95" s="1261" t="s">
        <v>341</v>
      </c>
      <c r="D95" s="1262"/>
      <c r="E95" s="63">
        <v>1</v>
      </c>
      <c r="F95" s="235"/>
      <c r="G95" s="235"/>
      <c r="H95" s="235">
        <v>-1900</v>
      </c>
      <c r="I95" s="235"/>
      <c r="J95" s="235"/>
      <c r="K95" s="235"/>
      <c r="L95" s="235"/>
      <c r="M95" s="235"/>
      <c r="N95" s="235"/>
      <c r="O95" s="235"/>
      <c r="P95" s="12">
        <f t="shared" si="7"/>
        <v>-1900</v>
      </c>
      <c r="Q95" s="521" t="s">
        <v>624</v>
      </c>
    </row>
    <row r="96" spans="1:17" ht="15" customHeight="1">
      <c r="A96" s="8"/>
      <c r="B96" s="8"/>
      <c r="C96" s="15" t="s">
        <v>8</v>
      </c>
      <c r="D96" s="140"/>
      <c r="E96" s="63">
        <v>1</v>
      </c>
      <c r="F96" s="235"/>
      <c r="G96" s="235"/>
      <c r="H96" s="235">
        <v>-1000</v>
      </c>
      <c r="I96" s="235"/>
      <c r="J96" s="235"/>
      <c r="K96" s="235"/>
      <c r="L96" s="235"/>
      <c r="M96" s="235"/>
      <c r="N96" s="235"/>
      <c r="O96" s="235"/>
      <c r="P96" s="12">
        <f t="shared" si="7"/>
        <v>-1000</v>
      </c>
      <c r="Q96" s="521" t="s">
        <v>624</v>
      </c>
    </row>
    <row r="97" spans="1:17" ht="21" customHeight="1">
      <c r="A97" s="8"/>
      <c r="B97" s="8"/>
      <c r="C97" s="1249" t="s">
        <v>892</v>
      </c>
      <c r="D97" s="1250"/>
      <c r="E97" s="63">
        <v>1</v>
      </c>
      <c r="F97" s="235"/>
      <c r="G97" s="235"/>
      <c r="H97" s="235">
        <v>-868</v>
      </c>
      <c r="I97" s="235"/>
      <c r="J97" s="235"/>
      <c r="K97" s="235"/>
      <c r="L97" s="235"/>
      <c r="M97" s="235"/>
      <c r="N97" s="235"/>
      <c r="O97" s="235"/>
      <c r="P97" s="12">
        <f t="shared" si="7"/>
        <v>-868</v>
      </c>
      <c r="Q97" s="521" t="s">
        <v>624</v>
      </c>
    </row>
    <row r="98" spans="1:17" ht="15" customHeight="1">
      <c r="A98" s="8"/>
      <c r="B98" s="8"/>
      <c r="C98" s="766" t="s">
        <v>1426</v>
      </c>
      <c r="D98" s="727"/>
      <c r="E98" s="63"/>
      <c r="F98" s="235"/>
      <c r="G98" s="235"/>
      <c r="H98" s="235"/>
      <c r="I98" s="235"/>
      <c r="J98" s="235"/>
      <c r="K98" s="235"/>
      <c r="L98" s="235"/>
      <c r="M98" s="235"/>
      <c r="N98" s="235"/>
      <c r="O98" s="235"/>
      <c r="P98" s="12">
        <f t="shared" si="7"/>
        <v>0</v>
      </c>
      <c r="Q98" s="521" t="s">
        <v>624</v>
      </c>
    </row>
    <row r="99" spans="1:17" ht="15" customHeight="1">
      <c r="A99" s="8"/>
      <c r="B99" s="8"/>
      <c r="C99" s="15" t="s">
        <v>583</v>
      </c>
      <c r="D99" s="79"/>
      <c r="E99" s="63">
        <v>1</v>
      </c>
      <c r="F99" s="235">
        <v>70</v>
      </c>
      <c r="G99" s="235">
        <v>10</v>
      </c>
      <c r="H99" s="235">
        <v>-220</v>
      </c>
      <c r="I99" s="235"/>
      <c r="J99" s="235"/>
      <c r="K99" s="235"/>
      <c r="L99" s="235"/>
      <c r="M99" s="235"/>
      <c r="N99" s="235"/>
      <c r="O99" s="235"/>
      <c r="P99" s="12">
        <f t="shared" si="7"/>
        <v>-140</v>
      </c>
      <c r="Q99" s="521" t="s">
        <v>624</v>
      </c>
    </row>
    <row r="100" spans="1:17" ht="15" customHeight="1">
      <c r="A100" s="8"/>
      <c r="B100" s="8"/>
      <c r="C100" s="1214" t="s">
        <v>351</v>
      </c>
      <c r="D100" s="1215"/>
      <c r="E100" s="63">
        <v>1</v>
      </c>
      <c r="F100" s="235"/>
      <c r="G100" s="235"/>
      <c r="H100" s="235">
        <v>-423</v>
      </c>
      <c r="I100" s="235"/>
      <c r="J100" s="235">
        <v>800</v>
      </c>
      <c r="K100" s="235"/>
      <c r="L100" s="235"/>
      <c r="M100" s="235"/>
      <c r="N100" s="235"/>
      <c r="O100" s="235"/>
      <c r="P100" s="12">
        <f t="shared" si="7"/>
        <v>377</v>
      </c>
      <c r="Q100" s="521" t="s">
        <v>606</v>
      </c>
    </row>
    <row r="101" spans="1:17" ht="15" customHeight="1">
      <c r="A101" s="8"/>
      <c r="B101" s="8"/>
      <c r="C101" s="15" t="s">
        <v>278</v>
      </c>
      <c r="D101" s="530"/>
      <c r="E101" s="63"/>
      <c r="F101" s="235">
        <v>79</v>
      </c>
      <c r="G101" s="235">
        <v>72</v>
      </c>
      <c r="H101" s="235">
        <v>-138</v>
      </c>
      <c r="I101" s="235"/>
      <c r="J101" s="235"/>
      <c r="K101" s="235"/>
      <c r="L101" s="235"/>
      <c r="M101" s="235"/>
      <c r="N101" s="235"/>
      <c r="O101" s="235"/>
      <c r="P101" s="12">
        <f t="shared" si="7"/>
        <v>13</v>
      </c>
      <c r="Q101" s="521" t="s">
        <v>606</v>
      </c>
    </row>
    <row r="102" spans="1:17" ht="15" customHeight="1">
      <c r="A102" s="8"/>
      <c r="B102" s="8"/>
      <c r="C102" s="15" t="s">
        <v>1239</v>
      </c>
      <c r="D102" s="530"/>
      <c r="E102" s="63">
        <v>2</v>
      </c>
      <c r="F102" s="235"/>
      <c r="G102" s="235"/>
      <c r="H102" s="235">
        <v>-1574</v>
      </c>
      <c r="I102" s="235"/>
      <c r="J102" s="235"/>
      <c r="K102" s="235"/>
      <c r="L102" s="235"/>
      <c r="M102" s="235"/>
      <c r="N102" s="235"/>
      <c r="O102" s="235"/>
      <c r="P102" s="12">
        <f t="shared" si="7"/>
        <v>-1574</v>
      </c>
      <c r="Q102" s="521" t="s">
        <v>624</v>
      </c>
    </row>
    <row r="103" spans="1:17" ht="24" customHeight="1">
      <c r="A103" s="8"/>
      <c r="B103" s="8"/>
      <c r="C103" s="764" t="s">
        <v>3</v>
      </c>
      <c r="D103" s="765"/>
      <c r="E103" s="63">
        <v>2</v>
      </c>
      <c r="F103" s="235"/>
      <c r="G103" s="235"/>
      <c r="H103" s="235">
        <v>63</v>
      </c>
      <c r="I103" s="235"/>
      <c r="J103" s="235"/>
      <c r="K103" s="235"/>
      <c r="L103" s="235"/>
      <c r="M103" s="235"/>
      <c r="N103" s="235"/>
      <c r="O103" s="235"/>
      <c r="P103" s="12">
        <f t="shared" si="7"/>
        <v>63</v>
      </c>
      <c r="Q103" s="521" t="s">
        <v>624</v>
      </c>
    </row>
    <row r="104" spans="1:17" ht="14.25" customHeight="1">
      <c r="A104" s="8"/>
      <c r="B104" s="8"/>
      <c r="C104" s="1489" t="s">
        <v>1065</v>
      </c>
      <c r="D104" s="1490"/>
      <c r="E104" s="63">
        <v>1</v>
      </c>
      <c r="F104" s="235"/>
      <c r="G104" s="235"/>
      <c r="H104" s="235">
        <v>425</v>
      </c>
      <c r="I104" s="235"/>
      <c r="J104" s="235"/>
      <c r="K104" s="235"/>
      <c r="L104" s="235"/>
      <c r="M104" s="235"/>
      <c r="N104" s="235"/>
      <c r="O104" s="235"/>
      <c r="P104" s="12">
        <f t="shared" si="7"/>
        <v>425</v>
      </c>
      <c r="Q104" s="521" t="s">
        <v>624</v>
      </c>
    </row>
    <row r="105" spans="1:17" ht="15" customHeight="1">
      <c r="A105" s="8"/>
      <c r="B105" s="8"/>
      <c r="C105" s="15" t="s">
        <v>7</v>
      </c>
      <c r="D105" s="530"/>
      <c r="E105" s="63">
        <v>2</v>
      </c>
      <c r="F105" s="235"/>
      <c r="G105" s="235"/>
      <c r="H105" s="235">
        <v>-1015</v>
      </c>
      <c r="I105" s="235"/>
      <c r="J105" s="235">
        <v>3006</v>
      </c>
      <c r="K105" s="235"/>
      <c r="L105" s="235"/>
      <c r="M105" s="235"/>
      <c r="N105" s="235"/>
      <c r="O105" s="235"/>
      <c r="P105" s="12">
        <f t="shared" si="7"/>
        <v>1991</v>
      </c>
      <c r="Q105" s="521" t="s">
        <v>624</v>
      </c>
    </row>
    <row r="106" spans="1:17" ht="15" customHeight="1">
      <c r="A106" s="8"/>
      <c r="B106" s="8"/>
      <c r="C106" s="766" t="s">
        <v>1429</v>
      </c>
      <c r="D106" s="727"/>
      <c r="E106" s="63"/>
      <c r="F106" s="235"/>
      <c r="G106" s="235"/>
      <c r="H106" s="235"/>
      <c r="I106" s="235"/>
      <c r="J106" s="235"/>
      <c r="K106" s="235"/>
      <c r="L106" s="235"/>
      <c r="M106" s="235"/>
      <c r="N106" s="235"/>
      <c r="O106" s="235"/>
      <c r="P106" s="12">
        <f t="shared" si="7"/>
        <v>0</v>
      </c>
      <c r="Q106" s="521"/>
    </row>
    <row r="107" spans="1:17" ht="27.75" customHeight="1">
      <c r="A107" s="8"/>
      <c r="B107" s="8"/>
      <c r="C107" s="764" t="s">
        <v>757</v>
      </c>
      <c r="D107" s="765"/>
      <c r="E107" s="63">
        <v>1</v>
      </c>
      <c r="F107" s="235"/>
      <c r="G107" s="235"/>
      <c r="H107" s="235"/>
      <c r="I107" s="235"/>
      <c r="J107" s="235">
        <v>-6800</v>
      </c>
      <c r="K107" s="235"/>
      <c r="L107" s="235"/>
      <c r="M107" s="235"/>
      <c r="N107" s="235"/>
      <c r="O107" s="235"/>
      <c r="P107" s="12">
        <f t="shared" si="7"/>
        <v>-6800</v>
      </c>
      <c r="Q107" s="521" t="s">
        <v>624</v>
      </c>
    </row>
    <row r="108" spans="1:17" ht="15" customHeight="1">
      <c r="A108" s="8"/>
      <c r="B108" s="8"/>
      <c r="C108" s="80" t="s">
        <v>484</v>
      </c>
      <c r="D108" s="512"/>
      <c r="E108" s="63">
        <v>1</v>
      </c>
      <c r="F108" s="235"/>
      <c r="G108" s="235"/>
      <c r="H108" s="235">
        <v>-2000</v>
      </c>
      <c r="I108" s="235"/>
      <c r="J108" s="235"/>
      <c r="K108" s="235"/>
      <c r="L108" s="235"/>
      <c r="M108" s="235"/>
      <c r="N108" s="235"/>
      <c r="O108" s="235"/>
      <c r="P108" s="12">
        <f t="shared" si="7"/>
        <v>-2000</v>
      </c>
      <c r="Q108" s="521" t="s">
        <v>624</v>
      </c>
    </row>
    <row r="109" spans="1:17" ht="15" customHeight="1">
      <c r="A109" s="8"/>
      <c r="B109" s="8"/>
      <c r="C109" s="766" t="s">
        <v>1431</v>
      </c>
      <c r="D109" s="727"/>
      <c r="E109" s="63">
        <v>1</v>
      </c>
      <c r="F109" s="235"/>
      <c r="G109" s="235"/>
      <c r="H109" s="235">
        <v>153</v>
      </c>
      <c r="I109" s="235"/>
      <c r="J109" s="235"/>
      <c r="K109" s="235"/>
      <c r="L109" s="235"/>
      <c r="M109" s="235"/>
      <c r="N109" s="235"/>
      <c r="O109" s="235"/>
      <c r="P109" s="12">
        <f t="shared" si="7"/>
        <v>153</v>
      </c>
      <c r="Q109" s="521" t="s">
        <v>624</v>
      </c>
    </row>
    <row r="110" spans="1:17" ht="15" customHeight="1">
      <c r="A110" s="8"/>
      <c r="B110" s="8"/>
      <c r="C110" s="1214" t="s">
        <v>1430</v>
      </c>
      <c r="D110" s="1215"/>
      <c r="E110" s="63"/>
      <c r="F110" s="235"/>
      <c r="G110" s="235"/>
      <c r="H110" s="235"/>
      <c r="I110" s="235"/>
      <c r="J110" s="235"/>
      <c r="K110" s="235"/>
      <c r="L110" s="235"/>
      <c r="M110" s="235"/>
      <c r="N110" s="235"/>
      <c r="O110" s="235"/>
      <c r="P110" s="12"/>
      <c r="Q110" s="521"/>
    </row>
    <row r="111" spans="1:17" ht="15" customHeight="1">
      <c r="A111" s="8"/>
      <c r="B111" s="8"/>
      <c r="C111" s="80" t="s">
        <v>124</v>
      </c>
      <c r="D111" s="65"/>
      <c r="E111" s="63">
        <v>2</v>
      </c>
      <c r="F111" s="235"/>
      <c r="G111" s="235"/>
      <c r="H111" s="235">
        <v>210</v>
      </c>
      <c r="I111" s="235"/>
      <c r="J111" s="235"/>
      <c r="K111" s="235"/>
      <c r="L111" s="235"/>
      <c r="M111" s="235"/>
      <c r="N111" s="235"/>
      <c r="O111" s="235"/>
      <c r="P111" s="12">
        <f>SUM(F111:O111)</f>
        <v>210</v>
      </c>
      <c r="Q111" s="521" t="s">
        <v>624</v>
      </c>
    </row>
    <row r="112" spans="1:17" ht="22.5" customHeight="1">
      <c r="A112" s="8"/>
      <c r="B112" s="8"/>
      <c r="C112" s="764" t="s">
        <v>977</v>
      </c>
      <c r="D112" s="765"/>
      <c r="E112" s="63">
        <v>1</v>
      </c>
      <c r="F112" s="235"/>
      <c r="G112" s="235"/>
      <c r="H112" s="235">
        <v>-1000</v>
      </c>
      <c r="I112" s="235"/>
      <c r="J112" s="235"/>
      <c r="K112" s="235"/>
      <c r="L112" s="235"/>
      <c r="M112" s="235"/>
      <c r="N112" s="235"/>
      <c r="O112" s="235"/>
      <c r="P112" s="12">
        <f>SUM(F112:O112)</f>
        <v>-1000</v>
      </c>
      <c r="Q112" s="521" t="s">
        <v>624</v>
      </c>
    </row>
    <row r="113" spans="1:17" ht="15" customHeight="1">
      <c r="A113" s="8"/>
      <c r="B113" s="8"/>
      <c r="C113" s="766" t="s">
        <v>981</v>
      </c>
      <c r="D113" s="727"/>
      <c r="E113" s="63">
        <v>1</v>
      </c>
      <c r="F113" s="235"/>
      <c r="G113" s="235"/>
      <c r="H113" s="235">
        <v>-1000</v>
      </c>
      <c r="I113" s="235"/>
      <c r="J113" s="235"/>
      <c r="K113" s="235"/>
      <c r="L113" s="235"/>
      <c r="M113" s="235"/>
      <c r="N113" s="235"/>
      <c r="O113" s="235"/>
      <c r="P113" s="12">
        <f>SUM(F113:O113)</f>
        <v>-1000</v>
      </c>
      <c r="Q113" s="521" t="s">
        <v>624</v>
      </c>
    </row>
    <row r="114" spans="1:17" ht="13.5" customHeight="1">
      <c r="A114" s="497"/>
      <c r="B114" s="497"/>
      <c r="C114" s="71" t="s">
        <v>1118</v>
      </c>
      <c r="D114" s="499"/>
      <c r="E114" s="500"/>
      <c r="F114" s="501">
        <f aca="true" t="shared" si="8" ref="F114:P114">SUM(F74:F113)</f>
        <v>149</v>
      </c>
      <c r="G114" s="501">
        <f t="shared" si="8"/>
        <v>82</v>
      </c>
      <c r="H114" s="501">
        <f t="shared" si="8"/>
        <v>4396</v>
      </c>
      <c r="I114" s="501">
        <f t="shared" si="8"/>
        <v>0</v>
      </c>
      <c r="J114" s="501">
        <f t="shared" si="8"/>
        <v>-2994</v>
      </c>
      <c r="K114" s="501">
        <f t="shared" si="8"/>
        <v>0</v>
      </c>
      <c r="L114" s="501">
        <f t="shared" si="8"/>
        <v>0</v>
      </c>
      <c r="M114" s="501">
        <f t="shared" si="8"/>
        <v>0</v>
      </c>
      <c r="N114" s="501">
        <f t="shared" si="8"/>
        <v>0</v>
      </c>
      <c r="O114" s="501">
        <f t="shared" si="8"/>
        <v>0</v>
      </c>
      <c r="P114" s="501">
        <f t="shared" si="8"/>
        <v>1633</v>
      </c>
      <c r="Q114" s="502"/>
    </row>
    <row r="115" spans="1:17" ht="13.5" customHeight="1">
      <c r="A115" s="8"/>
      <c r="B115" s="8"/>
      <c r="C115" s="14" t="s">
        <v>1119</v>
      </c>
      <c r="D115" s="514"/>
      <c r="E115" s="63"/>
      <c r="F115" s="9"/>
      <c r="G115" s="9"/>
      <c r="H115" s="9"/>
      <c r="I115" s="9"/>
      <c r="J115" s="9"/>
      <c r="K115" s="235">
        <f>'[4]7'!J134</f>
        <v>-3986</v>
      </c>
      <c r="L115" s="235"/>
      <c r="M115" s="235">
        <f>'[4]7'!K134</f>
        <v>-206514</v>
      </c>
      <c r="N115" s="235"/>
      <c r="O115" s="9"/>
      <c r="P115" s="12">
        <f>SUM(F115:O115)</f>
        <v>-210500</v>
      </c>
      <c r="Q115" s="521"/>
    </row>
    <row r="116" spans="1:17" ht="13.5" customHeight="1">
      <c r="A116" s="8"/>
      <c r="B116" s="8"/>
      <c r="C116" s="14" t="s">
        <v>1883</v>
      </c>
      <c r="D116" s="514"/>
      <c r="E116" s="63"/>
      <c r="F116" s="9"/>
      <c r="G116" s="9"/>
      <c r="H116" s="9"/>
      <c r="I116" s="9"/>
      <c r="J116" s="9"/>
      <c r="K116" s="235"/>
      <c r="L116" s="235">
        <f>'[4]8'!J177</f>
        <v>255595</v>
      </c>
      <c r="M116" s="235">
        <f>'[4]8'!K177</f>
        <v>207514</v>
      </c>
      <c r="N116" s="235"/>
      <c r="O116" s="9"/>
      <c r="P116" s="12">
        <f>SUM(F116:O116)</f>
        <v>463109</v>
      </c>
      <c r="Q116" s="521"/>
    </row>
    <row r="117" spans="1:17" ht="13.5" customHeight="1">
      <c r="A117" s="233"/>
      <c r="B117" s="233"/>
      <c r="C117" s="71" t="s">
        <v>982</v>
      </c>
      <c r="D117" s="518"/>
      <c r="E117" s="68"/>
      <c r="F117" s="501">
        <f aca="true" t="shared" si="9" ref="F117:P117">SUM(F114:F116)</f>
        <v>149</v>
      </c>
      <c r="G117" s="501">
        <f t="shared" si="9"/>
        <v>82</v>
      </c>
      <c r="H117" s="501">
        <f t="shared" si="9"/>
        <v>4396</v>
      </c>
      <c r="I117" s="501">
        <f t="shared" si="9"/>
        <v>0</v>
      </c>
      <c r="J117" s="501">
        <f t="shared" si="9"/>
        <v>-2994</v>
      </c>
      <c r="K117" s="501">
        <f t="shared" si="9"/>
        <v>-3986</v>
      </c>
      <c r="L117" s="501">
        <f t="shared" si="9"/>
        <v>255595</v>
      </c>
      <c r="M117" s="501">
        <f t="shared" si="9"/>
        <v>1000</v>
      </c>
      <c r="N117" s="501">
        <f t="shared" si="9"/>
        <v>0</v>
      </c>
      <c r="O117" s="501">
        <f t="shared" si="9"/>
        <v>0</v>
      </c>
      <c r="P117" s="501">
        <f t="shared" si="9"/>
        <v>254242</v>
      </c>
      <c r="Q117" s="531"/>
    </row>
    <row r="118" spans="1:17" ht="13.5" customHeight="1">
      <c r="A118" s="8">
        <v>1</v>
      </c>
      <c r="B118" s="8">
        <v>16</v>
      </c>
      <c r="C118" s="519" t="s">
        <v>1493</v>
      </c>
      <c r="D118" s="532"/>
      <c r="E118" s="77"/>
      <c r="F118" s="9"/>
      <c r="G118" s="9"/>
      <c r="H118" s="9"/>
      <c r="I118" s="9"/>
      <c r="J118" s="9"/>
      <c r="K118" s="520"/>
      <c r="L118" s="520"/>
      <c r="M118" s="520"/>
      <c r="N118" s="520"/>
      <c r="O118" s="9"/>
      <c r="P118" s="12"/>
      <c r="Q118" s="533"/>
    </row>
    <row r="119" spans="1:17" ht="13.5" customHeight="1">
      <c r="A119" s="8"/>
      <c r="B119" s="8"/>
      <c r="C119" s="1485" t="s">
        <v>810</v>
      </c>
      <c r="D119" s="1486"/>
      <c r="E119" s="77"/>
      <c r="F119" s="9"/>
      <c r="G119" s="9"/>
      <c r="H119" s="9"/>
      <c r="I119" s="9"/>
      <c r="J119" s="9"/>
      <c r="K119" s="520"/>
      <c r="L119" s="520"/>
      <c r="M119" s="520"/>
      <c r="N119" s="520"/>
      <c r="O119" s="9"/>
      <c r="P119" s="12"/>
      <c r="Q119" s="533"/>
    </row>
    <row r="120" spans="1:17" ht="29.25" customHeight="1">
      <c r="A120" s="8"/>
      <c r="B120" s="8"/>
      <c r="C120" s="1482" t="s">
        <v>585</v>
      </c>
      <c r="D120" s="1483"/>
      <c r="E120" s="524">
        <v>2</v>
      </c>
      <c r="F120" s="9"/>
      <c r="G120" s="9"/>
      <c r="H120" s="235">
        <v>19350</v>
      </c>
      <c r="I120" s="235"/>
      <c r="J120" s="235"/>
      <c r="K120" s="235"/>
      <c r="L120" s="235"/>
      <c r="M120" s="235"/>
      <c r="N120" s="235"/>
      <c r="O120" s="235"/>
      <c r="P120" s="1205">
        <f aca="true" t="shared" si="10" ref="P120:P126">SUM(H120:O120)</f>
        <v>19350</v>
      </c>
      <c r="Q120" s="537" t="s">
        <v>606</v>
      </c>
    </row>
    <row r="121" spans="1:17" ht="39.75" customHeight="1">
      <c r="A121" s="8"/>
      <c r="B121" s="8"/>
      <c r="C121" s="1501" t="s">
        <v>1864</v>
      </c>
      <c r="D121" s="1502"/>
      <c r="E121" s="524">
        <v>2</v>
      </c>
      <c r="F121" s="9"/>
      <c r="G121" s="9"/>
      <c r="H121" s="235">
        <v>24546</v>
      </c>
      <c r="I121" s="235"/>
      <c r="J121" s="235"/>
      <c r="K121" s="235"/>
      <c r="L121" s="235"/>
      <c r="M121" s="235"/>
      <c r="N121" s="235"/>
      <c r="O121" s="235"/>
      <c r="P121" s="1205">
        <f t="shared" si="10"/>
        <v>24546</v>
      </c>
      <c r="Q121" s="537" t="s">
        <v>606</v>
      </c>
    </row>
    <row r="122" spans="1:17" ht="24.75" customHeight="1">
      <c r="A122" s="8"/>
      <c r="B122" s="8"/>
      <c r="C122" s="1503" t="s">
        <v>1049</v>
      </c>
      <c r="D122" s="1504"/>
      <c r="E122" s="524">
        <v>2</v>
      </c>
      <c r="F122" s="9"/>
      <c r="G122" s="9"/>
      <c r="H122" s="235">
        <v>3875</v>
      </c>
      <c r="I122" s="235"/>
      <c r="J122" s="235"/>
      <c r="K122" s="235"/>
      <c r="L122" s="235"/>
      <c r="M122" s="235"/>
      <c r="N122" s="235"/>
      <c r="O122" s="235"/>
      <c r="P122" s="1205">
        <f t="shared" si="10"/>
        <v>3875</v>
      </c>
      <c r="Q122" s="537" t="s">
        <v>606</v>
      </c>
    </row>
    <row r="123" spans="1:17" ht="18.75" customHeight="1">
      <c r="A123" s="8"/>
      <c r="B123" s="8"/>
      <c r="C123" s="1497" t="s">
        <v>1066</v>
      </c>
      <c r="D123" s="1498"/>
      <c r="E123" s="524">
        <v>1</v>
      </c>
      <c r="F123" s="9"/>
      <c r="G123" s="9"/>
      <c r="H123" s="235">
        <v>1410</v>
      </c>
      <c r="I123" s="235"/>
      <c r="J123" s="235"/>
      <c r="K123" s="235"/>
      <c r="L123" s="235"/>
      <c r="M123" s="235"/>
      <c r="N123" s="235"/>
      <c r="O123" s="235"/>
      <c r="P123" s="1205">
        <f t="shared" si="10"/>
        <v>1410</v>
      </c>
      <c r="Q123" s="537" t="s">
        <v>606</v>
      </c>
    </row>
    <row r="124" spans="1:17" ht="24.75" customHeight="1">
      <c r="A124" s="8"/>
      <c r="B124" s="8"/>
      <c r="C124" s="1497" t="s">
        <v>1067</v>
      </c>
      <c r="D124" s="1498"/>
      <c r="E124" s="524">
        <v>2</v>
      </c>
      <c r="F124" s="9"/>
      <c r="G124" s="9"/>
      <c r="H124" s="235">
        <v>9388</v>
      </c>
      <c r="I124" s="235"/>
      <c r="J124" s="235"/>
      <c r="K124" s="235"/>
      <c r="L124" s="235"/>
      <c r="M124" s="235"/>
      <c r="N124" s="235"/>
      <c r="O124" s="235"/>
      <c r="P124" s="1205">
        <f t="shared" si="10"/>
        <v>9388</v>
      </c>
      <c r="Q124" s="537" t="s">
        <v>606</v>
      </c>
    </row>
    <row r="125" spans="1:17" ht="18.75" customHeight="1">
      <c r="A125" s="8"/>
      <c r="B125" s="8"/>
      <c r="C125" s="1497" t="s">
        <v>1068</v>
      </c>
      <c r="D125" s="1498"/>
      <c r="E125" s="524">
        <v>2</v>
      </c>
      <c r="F125" s="9"/>
      <c r="G125" s="9"/>
      <c r="H125" s="235">
        <v>1750</v>
      </c>
      <c r="I125" s="235"/>
      <c r="J125" s="235"/>
      <c r="K125" s="235"/>
      <c r="L125" s="235"/>
      <c r="M125" s="235"/>
      <c r="N125" s="235"/>
      <c r="O125" s="235"/>
      <c r="P125" s="1205">
        <f t="shared" si="10"/>
        <v>1750</v>
      </c>
      <c r="Q125" s="537" t="s">
        <v>606</v>
      </c>
    </row>
    <row r="126" spans="1:17" ht="24.75" customHeight="1">
      <c r="A126" s="8"/>
      <c r="B126" s="8"/>
      <c r="C126" s="1497" t="s">
        <v>1069</v>
      </c>
      <c r="D126" s="1498"/>
      <c r="E126" s="524">
        <v>2</v>
      </c>
      <c r="F126" s="9"/>
      <c r="G126" s="9"/>
      <c r="H126" s="235">
        <v>3420</v>
      </c>
      <c r="I126" s="235"/>
      <c r="J126" s="235"/>
      <c r="K126" s="235"/>
      <c r="L126" s="235"/>
      <c r="M126" s="235"/>
      <c r="N126" s="235"/>
      <c r="O126" s="235"/>
      <c r="P126" s="1205">
        <f t="shared" si="10"/>
        <v>3420</v>
      </c>
      <c r="Q126" s="537" t="s">
        <v>606</v>
      </c>
    </row>
    <row r="127" spans="1:17" ht="24.75" customHeight="1">
      <c r="A127" s="8"/>
      <c r="B127" s="8"/>
      <c r="C127" s="1493" t="s">
        <v>1425</v>
      </c>
      <c r="D127" s="1494"/>
      <c r="E127" s="524"/>
      <c r="F127" s="9"/>
      <c r="G127" s="9"/>
      <c r="H127" s="235"/>
      <c r="I127" s="235"/>
      <c r="J127" s="235"/>
      <c r="K127" s="235"/>
      <c r="L127" s="235"/>
      <c r="M127" s="235"/>
      <c r="N127" s="235"/>
      <c r="O127" s="235"/>
      <c r="P127" s="1205"/>
      <c r="Q127" s="537"/>
    </row>
    <row r="128" spans="1:17" ht="15.75" customHeight="1">
      <c r="A128" s="8"/>
      <c r="B128" s="8"/>
      <c r="C128" s="1482" t="s">
        <v>1070</v>
      </c>
      <c r="D128" s="1484"/>
      <c r="E128" s="524">
        <v>2</v>
      </c>
      <c r="F128" s="9"/>
      <c r="G128" s="9"/>
      <c r="H128" s="235">
        <v>3100</v>
      </c>
      <c r="I128" s="235"/>
      <c r="J128" s="235"/>
      <c r="K128" s="235"/>
      <c r="L128" s="235"/>
      <c r="M128" s="235"/>
      <c r="N128" s="235"/>
      <c r="O128" s="235"/>
      <c r="P128" s="1205">
        <f>SUM(H128:O128)</f>
        <v>3100</v>
      </c>
      <c r="Q128" s="537" t="s">
        <v>606</v>
      </c>
    </row>
    <row r="129" spans="1:17" ht="37.5" customHeight="1">
      <c r="A129" s="8"/>
      <c r="B129" s="8"/>
      <c r="C129" s="1497" t="s">
        <v>1071</v>
      </c>
      <c r="D129" s="1498"/>
      <c r="E129" s="524">
        <v>2</v>
      </c>
      <c r="F129" s="9"/>
      <c r="G129" s="9"/>
      <c r="H129" s="235">
        <v>21560</v>
      </c>
      <c r="I129" s="235"/>
      <c r="J129" s="235"/>
      <c r="K129" s="235"/>
      <c r="L129" s="235"/>
      <c r="M129" s="235"/>
      <c r="N129" s="235"/>
      <c r="O129" s="235"/>
      <c r="P129" s="1205">
        <f>SUM(H129:O129)</f>
        <v>21560</v>
      </c>
      <c r="Q129" s="537" t="s">
        <v>606</v>
      </c>
    </row>
    <row r="130" spans="1:17" ht="37.5" customHeight="1">
      <c r="A130" s="8"/>
      <c r="B130" s="8"/>
      <c r="C130" s="1499" t="s">
        <v>1072</v>
      </c>
      <c r="D130" s="1500"/>
      <c r="E130" s="524">
        <v>2</v>
      </c>
      <c r="F130" s="9"/>
      <c r="G130" s="9"/>
      <c r="H130" s="235">
        <v>36786</v>
      </c>
      <c r="I130" s="235"/>
      <c r="J130" s="235"/>
      <c r="K130" s="235"/>
      <c r="L130" s="235"/>
      <c r="M130" s="235"/>
      <c r="N130" s="235"/>
      <c r="O130" s="235"/>
      <c r="P130" s="1205">
        <f>SUM(H130:O130)</f>
        <v>36786</v>
      </c>
      <c r="Q130" s="537" t="s">
        <v>606</v>
      </c>
    </row>
    <row r="131" spans="1:17" ht="13.5" customHeight="1">
      <c r="A131" s="497"/>
      <c r="B131" s="497"/>
      <c r="C131" s="71" t="s">
        <v>1120</v>
      </c>
      <c r="D131" s="518"/>
      <c r="E131" s="68"/>
      <c r="F131" s="501"/>
      <c r="G131" s="501"/>
      <c r="H131" s="501">
        <f aca="true" t="shared" si="11" ref="H131:P131">SUM(H120:H130)</f>
        <v>125185</v>
      </c>
      <c r="I131" s="501">
        <f t="shared" si="11"/>
        <v>0</v>
      </c>
      <c r="J131" s="501">
        <f t="shared" si="11"/>
        <v>0</v>
      </c>
      <c r="K131" s="501">
        <f t="shared" si="11"/>
        <v>0</v>
      </c>
      <c r="L131" s="501">
        <f t="shared" si="11"/>
        <v>0</v>
      </c>
      <c r="M131" s="501">
        <f t="shared" si="11"/>
        <v>0</v>
      </c>
      <c r="N131" s="501">
        <f t="shared" si="11"/>
        <v>0</v>
      </c>
      <c r="O131" s="501">
        <f t="shared" si="11"/>
        <v>0</v>
      </c>
      <c r="P131" s="501">
        <f t="shared" si="11"/>
        <v>125185</v>
      </c>
      <c r="Q131" s="531"/>
    </row>
    <row r="132" spans="1:17" ht="13.5" customHeight="1">
      <c r="A132" s="9"/>
      <c r="B132" s="9"/>
      <c r="C132" s="14" t="s">
        <v>1121</v>
      </c>
      <c r="D132" s="532"/>
      <c r="E132" s="77"/>
      <c r="F132" s="9"/>
      <c r="G132" s="9"/>
      <c r="H132" s="9"/>
      <c r="I132" s="9"/>
      <c r="J132" s="9"/>
      <c r="K132" s="235">
        <f>'[4]7'!J246</f>
        <v>-505661</v>
      </c>
      <c r="L132" s="235"/>
      <c r="M132" s="235">
        <f>'[4]7'!K246</f>
        <v>-130</v>
      </c>
      <c r="N132" s="235"/>
      <c r="O132" s="9"/>
      <c r="P132" s="12">
        <f>SUM(F132:O132)</f>
        <v>-505791</v>
      </c>
      <c r="Q132" s="533"/>
    </row>
    <row r="133" spans="1:17" ht="13.5" customHeight="1">
      <c r="A133" s="9"/>
      <c r="B133" s="9"/>
      <c r="C133" s="14" t="s">
        <v>1874</v>
      </c>
      <c r="D133" s="532"/>
      <c r="E133" s="77"/>
      <c r="F133" s="9"/>
      <c r="G133" s="9"/>
      <c r="H133" s="9"/>
      <c r="I133" s="9"/>
      <c r="J133" s="9"/>
      <c r="K133" s="235"/>
      <c r="L133" s="235">
        <f>'[4]8'!J202</f>
        <v>228540</v>
      </c>
      <c r="M133" s="235">
        <f>'[4]8'!K202</f>
        <v>0</v>
      </c>
      <c r="N133" s="235"/>
      <c r="O133" s="9"/>
      <c r="P133" s="12">
        <f>SUM(F133:O133)</f>
        <v>228540</v>
      </c>
      <c r="Q133" s="533"/>
    </row>
    <row r="134" spans="1:17" ht="13.5" customHeight="1">
      <c r="A134" s="233"/>
      <c r="B134" s="233"/>
      <c r="C134" s="71" t="s">
        <v>986</v>
      </c>
      <c r="D134" s="518"/>
      <c r="E134" s="68"/>
      <c r="F134" s="501">
        <f aca="true" t="shared" si="12" ref="F134:M134">SUM(F131:F133)</f>
        <v>0</v>
      </c>
      <c r="G134" s="501">
        <f t="shared" si="12"/>
        <v>0</v>
      </c>
      <c r="H134" s="501">
        <f t="shared" si="12"/>
        <v>125185</v>
      </c>
      <c r="I134" s="501">
        <f t="shared" si="12"/>
        <v>0</v>
      </c>
      <c r="J134" s="501">
        <f t="shared" si="12"/>
        <v>0</v>
      </c>
      <c r="K134" s="501">
        <f t="shared" si="12"/>
        <v>-505661</v>
      </c>
      <c r="L134" s="501">
        <f t="shared" si="12"/>
        <v>228540</v>
      </c>
      <c r="M134" s="501">
        <f t="shared" si="12"/>
        <v>-130</v>
      </c>
      <c r="N134" s="501"/>
      <c r="O134" s="501">
        <f>SUM(O131:O133)</f>
        <v>0</v>
      </c>
      <c r="P134" s="501">
        <f>SUM(P131:P133)</f>
        <v>-152066</v>
      </c>
      <c r="Q134" s="531"/>
    </row>
    <row r="135" spans="1:17" ht="13.5" customHeight="1">
      <c r="A135" s="8">
        <v>1</v>
      </c>
      <c r="B135" s="8">
        <v>17</v>
      </c>
      <c r="C135" s="519" t="s">
        <v>52</v>
      </c>
      <c r="D135" s="532"/>
      <c r="E135" s="77"/>
      <c r="F135" s="9"/>
      <c r="G135" s="9"/>
      <c r="H135" s="9"/>
      <c r="I135" s="9"/>
      <c r="J135" s="9"/>
      <c r="K135" s="520"/>
      <c r="L135" s="520"/>
      <c r="M135" s="520"/>
      <c r="N135" s="520"/>
      <c r="O135" s="9"/>
      <c r="P135" s="12"/>
      <c r="Q135" s="533"/>
    </row>
    <row r="136" spans="1:17" ht="15" customHeight="1">
      <c r="A136" s="8"/>
      <c r="B136" s="8"/>
      <c r="C136" s="1253" t="s">
        <v>1472</v>
      </c>
      <c r="D136" s="1389"/>
      <c r="E136" s="529"/>
      <c r="F136" s="9"/>
      <c r="G136" s="9"/>
      <c r="H136" s="9"/>
      <c r="I136" s="9"/>
      <c r="J136" s="9"/>
      <c r="K136" s="520"/>
      <c r="L136" s="520"/>
      <c r="M136" s="520"/>
      <c r="N136" s="520"/>
      <c r="O136" s="9"/>
      <c r="P136" s="12"/>
      <c r="Q136" s="533"/>
    </row>
    <row r="137" spans="1:17" ht="15" customHeight="1">
      <c r="A137" s="8"/>
      <c r="B137" s="8"/>
      <c r="C137" s="1214" t="s">
        <v>114</v>
      </c>
      <c r="D137" s="1215"/>
      <c r="E137" s="529">
        <v>1</v>
      </c>
      <c r="F137" s="9"/>
      <c r="G137" s="9"/>
      <c r="H137" s="235">
        <v>1100</v>
      </c>
      <c r="I137" s="9"/>
      <c r="J137" s="9"/>
      <c r="K137" s="520"/>
      <c r="L137" s="520"/>
      <c r="M137" s="520"/>
      <c r="N137" s="520"/>
      <c r="O137" s="9"/>
      <c r="P137" s="12">
        <f aca="true" t="shared" si="13" ref="P137:P143">SUM(H137:O137)</f>
        <v>1100</v>
      </c>
      <c r="Q137" s="521" t="s">
        <v>624</v>
      </c>
    </row>
    <row r="138" spans="1:17" ht="15" customHeight="1">
      <c r="A138" s="8"/>
      <c r="B138" s="8"/>
      <c r="C138" s="14" t="s">
        <v>988</v>
      </c>
      <c r="D138" s="65"/>
      <c r="E138" s="529">
        <v>1</v>
      </c>
      <c r="F138" s="9"/>
      <c r="G138" s="9"/>
      <c r="H138" s="235">
        <v>-1100</v>
      </c>
      <c r="I138" s="9"/>
      <c r="J138" s="9"/>
      <c r="K138" s="520"/>
      <c r="L138" s="520"/>
      <c r="M138" s="520"/>
      <c r="N138" s="520"/>
      <c r="O138" s="9"/>
      <c r="P138" s="12">
        <f t="shared" si="13"/>
        <v>-1100</v>
      </c>
      <c r="Q138" s="521" t="s">
        <v>606</v>
      </c>
    </row>
    <row r="139" spans="1:17" ht="24" customHeight="1">
      <c r="A139" s="8"/>
      <c r="B139" s="8"/>
      <c r="C139" s="1212" t="s">
        <v>403</v>
      </c>
      <c r="D139" s="1213"/>
      <c r="E139" s="529">
        <v>1</v>
      </c>
      <c r="F139" s="9"/>
      <c r="G139" s="9"/>
      <c r="H139" s="235">
        <v>-2533</v>
      </c>
      <c r="I139" s="9"/>
      <c r="J139" s="9"/>
      <c r="K139" s="520"/>
      <c r="L139" s="520"/>
      <c r="M139" s="520"/>
      <c r="N139" s="520"/>
      <c r="O139" s="9"/>
      <c r="P139" s="12">
        <f t="shared" si="13"/>
        <v>-2533</v>
      </c>
      <c r="Q139" s="521" t="s">
        <v>606</v>
      </c>
    </row>
    <row r="140" spans="1:17" ht="15" customHeight="1">
      <c r="A140" s="8"/>
      <c r="B140" s="8"/>
      <c r="C140" s="1212" t="s">
        <v>115</v>
      </c>
      <c r="D140" s="1213"/>
      <c r="E140" s="529">
        <v>1</v>
      </c>
      <c r="F140" s="9"/>
      <c r="G140" s="9"/>
      <c r="H140" s="235">
        <v>-1000</v>
      </c>
      <c r="I140" s="9"/>
      <c r="J140" s="9"/>
      <c r="K140" s="520"/>
      <c r="L140" s="520"/>
      <c r="M140" s="520"/>
      <c r="N140" s="520"/>
      <c r="O140" s="9"/>
      <c r="P140" s="12">
        <f t="shared" si="13"/>
        <v>-1000</v>
      </c>
      <c r="Q140" s="521" t="s">
        <v>624</v>
      </c>
    </row>
    <row r="141" spans="1:17" ht="23.25" customHeight="1">
      <c r="A141" s="8"/>
      <c r="B141" s="8"/>
      <c r="C141" s="1263" t="s">
        <v>116</v>
      </c>
      <c r="D141" s="1264"/>
      <c r="E141" s="529">
        <v>1</v>
      </c>
      <c r="F141" s="9"/>
      <c r="G141" s="9"/>
      <c r="H141" s="235">
        <v>-2500</v>
      </c>
      <c r="I141" s="9"/>
      <c r="J141" s="9"/>
      <c r="K141" s="520"/>
      <c r="L141" s="520"/>
      <c r="M141" s="520"/>
      <c r="N141" s="520"/>
      <c r="O141" s="9"/>
      <c r="P141" s="12">
        <f t="shared" si="13"/>
        <v>-2500</v>
      </c>
      <c r="Q141" s="521" t="s">
        <v>624</v>
      </c>
    </row>
    <row r="142" spans="1:17" ht="18" customHeight="1">
      <c r="A142" s="8"/>
      <c r="B142" s="8"/>
      <c r="C142" s="1263" t="s">
        <v>1487</v>
      </c>
      <c r="D142" s="1264"/>
      <c r="E142" s="529">
        <v>1</v>
      </c>
      <c r="F142" s="9"/>
      <c r="G142" s="9"/>
      <c r="H142" s="235">
        <v>-1500</v>
      </c>
      <c r="I142" s="9"/>
      <c r="J142" s="9"/>
      <c r="K142" s="520"/>
      <c r="L142" s="520"/>
      <c r="M142" s="520"/>
      <c r="N142" s="520"/>
      <c r="O142" s="9"/>
      <c r="P142" s="12">
        <f t="shared" si="13"/>
        <v>-1500</v>
      </c>
      <c r="Q142" s="521" t="s">
        <v>624</v>
      </c>
    </row>
    <row r="143" spans="1:17" ht="15" customHeight="1">
      <c r="A143" s="8"/>
      <c r="B143" s="8"/>
      <c r="C143" s="1214" t="s">
        <v>915</v>
      </c>
      <c r="D143" s="1215"/>
      <c r="E143" s="529">
        <v>1</v>
      </c>
      <c r="F143" s="9"/>
      <c r="G143" s="9"/>
      <c r="H143" s="235">
        <v>1432</v>
      </c>
      <c r="I143" s="9"/>
      <c r="J143" s="9"/>
      <c r="K143" s="520"/>
      <c r="L143" s="520"/>
      <c r="M143" s="520"/>
      <c r="N143" s="520"/>
      <c r="O143" s="9"/>
      <c r="P143" s="12">
        <f t="shared" si="13"/>
        <v>1432</v>
      </c>
      <c r="Q143" s="521" t="s">
        <v>624</v>
      </c>
    </row>
    <row r="144" spans="1:17" ht="15" customHeight="1">
      <c r="A144" s="8"/>
      <c r="B144" s="8"/>
      <c r="C144" s="1386" t="s">
        <v>209</v>
      </c>
      <c r="D144" s="1387"/>
      <c r="E144" s="63">
        <v>1</v>
      </c>
      <c r="F144" s="9"/>
      <c r="G144" s="9"/>
      <c r="H144" s="235">
        <v>-117</v>
      </c>
      <c r="I144" s="9"/>
      <c r="J144" s="235"/>
      <c r="K144" s="520"/>
      <c r="L144" s="520"/>
      <c r="M144" s="520"/>
      <c r="N144" s="520"/>
      <c r="O144" s="9"/>
      <c r="P144" s="12">
        <f>SUM(F144:O144)</f>
        <v>-117</v>
      </c>
      <c r="Q144" s="521" t="s">
        <v>624</v>
      </c>
    </row>
    <row r="145" spans="1:17" ht="13.5" customHeight="1">
      <c r="A145" s="8"/>
      <c r="B145" s="8"/>
      <c r="C145" s="1487" t="s">
        <v>1073</v>
      </c>
      <c r="D145" s="1488"/>
      <c r="E145" s="63">
        <v>1</v>
      </c>
      <c r="F145" s="9"/>
      <c r="G145" s="9"/>
      <c r="H145" s="235">
        <v>2247</v>
      </c>
      <c r="I145" s="9"/>
      <c r="J145" s="235"/>
      <c r="K145" s="520"/>
      <c r="L145" s="520"/>
      <c r="M145" s="520"/>
      <c r="N145" s="520"/>
      <c r="O145" s="9"/>
      <c r="P145" s="12">
        <v>2247</v>
      </c>
      <c r="Q145" s="521" t="s">
        <v>606</v>
      </c>
    </row>
    <row r="146" spans="1:17" ht="14.25" customHeight="1">
      <c r="A146" s="8"/>
      <c r="B146" s="8"/>
      <c r="C146" s="1487" t="s">
        <v>1074</v>
      </c>
      <c r="D146" s="1488"/>
      <c r="E146" s="63">
        <v>1</v>
      </c>
      <c r="F146" s="9"/>
      <c r="G146" s="9"/>
      <c r="H146" s="235">
        <v>1003</v>
      </c>
      <c r="I146" s="9"/>
      <c r="J146" s="235"/>
      <c r="K146" s="520"/>
      <c r="L146" s="520"/>
      <c r="M146" s="520"/>
      <c r="N146" s="520"/>
      <c r="O146" s="9"/>
      <c r="P146" s="12">
        <f>SUM(H146:O146)</f>
        <v>1003</v>
      </c>
      <c r="Q146" s="521" t="s">
        <v>624</v>
      </c>
    </row>
    <row r="147" spans="1:17" ht="15" customHeight="1">
      <c r="A147" s="8"/>
      <c r="B147" s="8"/>
      <c r="C147" s="1263" t="s">
        <v>1075</v>
      </c>
      <c r="D147" s="1478"/>
      <c r="E147" s="63"/>
      <c r="F147" s="9"/>
      <c r="G147" s="9"/>
      <c r="H147" s="235"/>
      <c r="I147" s="9"/>
      <c r="J147" s="235"/>
      <c r="K147" s="520"/>
      <c r="L147" s="520"/>
      <c r="M147" s="520"/>
      <c r="N147" s="520"/>
      <c r="O147" s="9"/>
      <c r="P147" s="12">
        <f>SUM(F147:O147)</f>
        <v>0</v>
      </c>
      <c r="Q147" s="521" t="s">
        <v>606</v>
      </c>
    </row>
    <row r="148" spans="1:17" ht="18" customHeight="1">
      <c r="A148" s="8"/>
      <c r="B148" s="8"/>
      <c r="C148" s="1263" t="s">
        <v>1076</v>
      </c>
      <c r="D148" s="1264"/>
      <c r="E148" s="63">
        <v>2</v>
      </c>
      <c r="F148" s="9"/>
      <c r="G148" s="9"/>
      <c r="H148" s="235">
        <v>100</v>
      </c>
      <c r="I148" s="9"/>
      <c r="J148" s="235"/>
      <c r="K148" s="520"/>
      <c r="L148" s="520"/>
      <c r="M148" s="520"/>
      <c r="N148" s="520"/>
      <c r="O148" s="9"/>
      <c r="P148" s="12">
        <f>SUM(F148:O148)</f>
        <v>100</v>
      </c>
      <c r="Q148" s="521" t="s">
        <v>606</v>
      </c>
    </row>
    <row r="149" spans="1:17" ht="24.75" customHeight="1">
      <c r="A149" s="8"/>
      <c r="B149" s="8"/>
      <c r="C149" s="1249" t="s">
        <v>1442</v>
      </c>
      <c r="D149" s="1335"/>
      <c r="E149" s="63"/>
      <c r="F149" s="9"/>
      <c r="G149" s="9"/>
      <c r="H149" s="235"/>
      <c r="I149" s="9"/>
      <c r="J149" s="235"/>
      <c r="K149" s="520"/>
      <c r="L149" s="520"/>
      <c r="M149" s="520"/>
      <c r="N149" s="520"/>
      <c r="O149" s="9"/>
      <c r="P149" s="12"/>
      <c r="Q149" s="521"/>
    </row>
    <row r="150" spans="1:17" ht="13.5" customHeight="1">
      <c r="A150" s="8"/>
      <c r="B150" s="8"/>
      <c r="C150" s="1506" t="s">
        <v>812</v>
      </c>
      <c r="D150" s="1507"/>
      <c r="E150" s="63">
        <v>2</v>
      </c>
      <c r="F150" s="9"/>
      <c r="G150" s="9"/>
      <c r="H150" s="235"/>
      <c r="I150" s="9"/>
      <c r="J150" s="235"/>
      <c r="K150" s="520"/>
      <c r="L150" s="520"/>
      <c r="M150" s="520"/>
      <c r="N150" s="520"/>
      <c r="O150" s="235">
        <v>2499</v>
      </c>
      <c r="P150" s="12">
        <f>SUM(F150:O150)</f>
        <v>2499</v>
      </c>
      <c r="Q150" s="521" t="s">
        <v>606</v>
      </c>
    </row>
    <row r="151" spans="1:17" ht="13.5" customHeight="1">
      <c r="A151" s="497"/>
      <c r="B151" s="497"/>
      <c r="C151" s="71" t="s">
        <v>1125</v>
      </c>
      <c r="D151" s="518"/>
      <c r="E151" s="68"/>
      <c r="F151" s="501">
        <f aca="true" t="shared" si="14" ref="F151:P151">SUM(F137:F150)</f>
        <v>0</v>
      </c>
      <c r="G151" s="501">
        <f t="shared" si="14"/>
        <v>0</v>
      </c>
      <c r="H151" s="501">
        <f t="shared" si="14"/>
        <v>-2868</v>
      </c>
      <c r="I151" s="501">
        <f t="shared" si="14"/>
        <v>0</v>
      </c>
      <c r="J151" s="501">
        <f t="shared" si="14"/>
        <v>0</v>
      </c>
      <c r="K151" s="501">
        <f t="shared" si="14"/>
        <v>0</v>
      </c>
      <c r="L151" s="501">
        <f t="shared" si="14"/>
        <v>0</v>
      </c>
      <c r="M151" s="501">
        <f t="shared" si="14"/>
        <v>0</v>
      </c>
      <c r="N151" s="501">
        <f t="shared" si="14"/>
        <v>0</v>
      </c>
      <c r="O151" s="501">
        <f t="shared" si="14"/>
        <v>2499</v>
      </c>
      <c r="P151" s="501">
        <f t="shared" si="14"/>
        <v>-369</v>
      </c>
      <c r="Q151" s="531"/>
    </row>
    <row r="152" spans="1:17" ht="13.5" customHeight="1">
      <c r="A152" s="8"/>
      <c r="B152" s="8"/>
      <c r="C152" s="14" t="s">
        <v>1110</v>
      </c>
      <c r="D152" s="532"/>
      <c r="E152" s="77"/>
      <c r="F152" s="9"/>
      <c r="G152" s="9"/>
      <c r="H152" s="9"/>
      <c r="I152" s="9"/>
      <c r="J152" s="9"/>
      <c r="K152" s="520">
        <f>'[4]7'!J259</f>
        <v>3299</v>
      </c>
      <c r="L152" s="235"/>
      <c r="M152" s="235">
        <f>'[4]7'!K259</f>
        <v>0</v>
      </c>
      <c r="N152" s="235"/>
      <c r="O152" s="9"/>
      <c r="P152" s="12">
        <f>SUM(F152:O152)</f>
        <v>3299</v>
      </c>
      <c r="Q152" s="533"/>
    </row>
    <row r="153" spans="1:17" ht="13.5" customHeight="1">
      <c r="A153" s="8"/>
      <c r="B153" s="8"/>
      <c r="C153" s="14" t="s">
        <v>1883</v>
      </c>
      <c r="D153" s="532"/>
      <c r="E153" s="77"/>
      <c r="F153" s="9"/>
      <c r="G153" s="9"/>
      <c r="H153" s="9"/>
      <c r="I153" s="9"/>
      <c r="J153" s="9"/>
      <c r="K153" s="520"/>
      <c r="L153" s="235">
        <f>'[4]8'!J211</f>
        <v>373</v>
      </c>
      <c r="M153" s="235">
        <f>'[4]8'!K211</f>
        <v>3868</v>
      </c>
      <c r="N153" s="235"/>
      <c r="O153" s="9"/>
      <c r="P153" s="12">
        <f>SUM(F153:O153)</f>
        <v>4241</v>
      </c>
      <c r="Q153" s="533"/>
    </row>
    <row r="154" spans="1:17" ht="13.5" customHeight="1">
      <c r="A154" s="497"/>
      <c r="B154" s="497"/>
      <c r="C154" s="71" t="s">
        <v>1672</v>
      </c>
      <c r="D154" s="518"/>
      <c r="E154" s="68"/>
      <c r="F154" s="501">
        <f aca="true" t="shared" si="15" ref="F154:P154">SUM(F151:F153)</f>
        <v>0</v>
      </c>
      <c r="G154" s="501">
        <f t="shared" si="15"/>
        <v>0</v>
      </c>
      <c r="H154" s="501">
        <f t="shared" si="15"/>
        <v>-2868</v>
      </c>
      <c r="I154" s="501">
        <f t="shared" si="15"/>
        <v>0</v>
      </c>
      <c r="J154" s="501">
        <f t="shared" si="15"/>
        <v>0</v>
      </c>
      <c r="K154" s="501">
        <f t="shared" si="15"/>
        <v>3299</v>
      </c>
      <c r="L154" s="501">
        <f t="shared" si="15"/>
        <v>373</v>
      </c>
      <c r="M154" s="501">
        <f t="shared" si="15"/>
        <v>3868</v>
      </c>
      <c r="N154" s="501">
        <f t="shared" si="15"/>
        <v>0</v>
      </c>
      <c r="O154" s="501">
        <f t="shared" si="15"/>
        <v>2499</v>
      </c>
      <c r="P154" s="501">
        <f t="shared" si="15"/>
        <v>7171</v>
      </c>
      <c r="Q154" s="531"/>
    </row>
    <row r="155" spans="1:17" ht="13.5" customHeight="1">
      <c r="A155" s="8">
        <v>1</v>
      </c>
      <c r="B155" s="8">
        <v>18</v>
      </c>
      <c r="C155" s="519" t="s">
        <v>357</v>
      </c>
      <c r="D155" s="532"/>
      <c r="E155" s="77"/>
      <c r="F155" s="9"/>
      <c r="G155" s="9"/>
      <c r="H155" s="9"/>
      <c r="I155" s="9"/>
      <c r="J155" s="9"/>
      <c r="K155" s="520"/>
      <c r="L155" s="520"/>
      <c r="M155" s="520"/>
      <c r="N155" s="520"/>
      <c r="O155" s="9"/>
      <c r="P155" s="12"/>
      <c r="Q155" s="533"/>
    </row>
    <row r="156" spans="1:17" ht="13.5" customHeight="1">
      <c r="A156" s="8"/>
      <c r="B156" s="8"/>
      <c r="C156" s="1493" t="s">
        <v>1565</v>
      </c>
      <c r="D156" s="1494"/>
      <c r="E156" s="77"/>
      <c r="F156" s="9"/>
      <c r="G156" s="9"/>
      <c r="H156" s="9"/>
      <c r="I156" s="9"/>
      <c r="J156" s="9"/>
      <c r="K156" s="520"/>
      <c r="L156" s="520"/>
      <c r="M156" s="520"/>
      <c r="N156" s="520"/>
      <c r="O156" s="9"/>
      <c r="P156" s="12"/>
      <c r="Q156" s="533"/>
    </row>
    <row r="157" spans="1:17" ht="13.5" customHeight="1">
      <c r="A157" s="8"/>
      <c r="B157" s="8"/>
      <c r="C157" s="1495" t="s">
        <v>1174</v>
      </c>
      <c r="D157" s="1496"/>
      <c r="E157" s="63">
        <v>2</v>
      </c>
      <c r="F157" s="9"/>
      <c r="G157" s="9"/>
      <c r="H157" s="235">
        <v>600</v>
      </c>
      <c r="I157" s="9"/>
      <c r="J157" s="9"/>
      <c r="K157" s="520"/>
      <c r="L157" s="520"/>
      <c r="M157" s="520"/>
      <c r="N157" s="520"/>
      <c r="O157" s="9"/>
      <c r="P157" s="12">
        <v>600</v>
      </c>
      <c r="Q157" s="521" t="s">
        <v>606</v>
      </c>
    </row>
    <row r="158" spans="1:17" ht="13.5" customHeight="1">
      <c r="A158" s="497"/>
      <c r="B158" s="497"/>
      <c r="C158" s="71" t="s">
        <v>1128</v>
      </c>
      <c r="D158" s="518"/>
      <c r="E158" s="68"/>
      <c r="F158" s="501"/>
      <c r="G158" s="501"/>
      <c r="H158" s="501">
        <f>SUM(H157:H157)</f>
        <v>600</v>
      </c>
      <c r="I158" s="501"/>
      <c r="J158" s="501"/>
      <c r="K158" s="501"/>
      <c r="L158" s="501"/>
      <c r="M158" s="501"/>
      <c r="N158" s="501"/>
      <c r="O158" s="501"/>
      <c r="P158" s="501">
        <f>SUM(P157:P157)</f>
        <v>600</v>
      </c>
      <c r="Q158" s="531"/>
    </row>
    <row r="159" spans="1:17" ht="13.5" customHeight="1">
      <c r="A159" s="8"/>
      <c r="B159" s="8"/>
      <c r="C159" s="14" t="s">
        <v>1110</v>
      </c>
      <c r="D159" s="532"/>
      <c r="E159" s="77"/>
      <c r="F159" s="9"/>
      <c r="G159" s="9"/>
      <c r="H159" s="9"/>
      <c r="I159" s="9"/>
      <c r="J159" s="9"/>
      <c r="K159" s="520">
        <f>'[4]7'!J262</f>
        <v>0</v>
      </c>
      <c r="L159" s="520"/>
      <c r="M159" s="520">
        <f>'[4]7'!K262</f>
        <v>0</v>
      </c>
      <c r="N159" s="520"/>
      <c r="O159" s="9"/>
      <c r="P159" s="12">
        <f>SUM(F159:O159)</f>
        <v>0</v>
      </c>
      <c r="Q159" s="533"/>
    </row>
    <row r="160" spans="1:17" ht="13.5" customHeight="1">
      <c r="A160" s="497"/>
      <c r="B160" s="497"/>
      <c r="C160" s="71" t="s">
        <v>935</v>
      </c>
      <c r="D160" s="518"/>
      <c r="E160" s="68"/>
      <c r="F160" s="501">
        <f aca="true" t="shared" si="16" ref="F160:P160">SUM(F158:F159)</f>
        <v>0</v>
      </c>
      <c r="G160" s="501">
        <f t="shared" si="16"/>
        <v>0</v>
      </c>
      <c r="H160" s="501">
        <f t="shared" si="16"/>
        <v>600</v>
      </c>
      <c r="I160" s="501">
        <f t="shared" si="16"/>
        <v>0</v>
      </c>
      <c r="J160" s="501">
        <f t="shared" si="16"/>
        <v>0</v>
      </c>
      <c r="K160" s="501">
        <f t="shared" si="16"/>
        <v>0</v>
      </c>
      <c r="L160" s="501">
        <f t="shared" si="16"/>
        <v>0</v>
      </c>
      <c r="M160" s="501">
        <f t="shared" si="16"/>
        <v>0</v>
      </c>
      <c r="N160" s="501">
        <f t="shared" si="16"/>
        <v>0</v>
      </c>
      <c r="O160" s="501">
        <f t="shared" si="16"/>
        <v>0</v>
      </c>
      <c r="P160" s="501">
        <f t="shared" si="16"/>
        <v>600</v>
      </c>
      <c r="Q160" s="531"/>
    </row>
    <row r="161" spans="1:17" ht="13.5" customHeight="1">
      <c r="A161" s="78">
        <v>1</v>
      </c>
      <c r="B161" s="78">
        <v>19</v>
      </c>
      <c r="C161" s="19" t="s">
        <v>893</v>
      </c>
      <c r="D161" s="522"/>
      <c r="E161" s="78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12"/>
      <c r="Q161" s="491"/>
    </row>
    <row r="162" spans="1:17" ht="24.75" customHeight="1">
      <c r="A162" s="78"/>
      <c r="B162" s="78"/>
      <c r="C162" s="1358" t="s">
        <v>1553</v>
      </c>
      <c r="D162" s="1359"/>
      <c r="E162" s="536"/>
      <c r="F162" s="235"/>
      <c r="G162" s="235"/>
      <c r="H162" s="235"/>
      <c r="I162" s="235"/>
      <c r="J162" s="235"/>
      <c r="K162" s="235"/>
      <c r="L162" s="235"/>
      <c r="M162" s="235"/>
      <c r="N162" s="235"/>
      <c r="O162" s="235"/>
      <c r="P162" s="12"/>
      <c r="Q162" s="491"/>
    </row>
    <row r="163" spans="1:17" ht="13.5" customHeight="1">
      <c r="A163" s="78"/>
      <c r="B163" s="78"/>
      <c r="C163" s="15" t="s">
        <v>938</v>
      </c>
      <c r="D163" s="526"/>
      <c r="E163" s="525">
        <v>1</v>
      </c>
      <c r="F163" s="235"/>
      <c r="G163" s="235"/>
      <c r="H163" s="235">
        <v>39881</v>
      </c>
      <c r="I163" s="235"/>
      <c r="J163" s="235"/>
      <c r="K163" s="235"/>
      <c r="L163" s="235"/>
      <c r="M163" s="235"/>
      <c r="N163" s="235"/>
      <c r="O163" s="235"/>
      <c r="P163" s="12">
        <f>SUM(F163:O163)</f>
        <v>39881</v>
      </c>
      <c r="Q163" s="491" t="s">
        <v>606</v>
      </c>
    </row>
    <row r="164" spans="1:17" ht="24.75" customHeight="1">
      <c r="A164" s="78"/>
      <c r="B164" s="78"/>
      <c r="C164" s="1362" t="s">
        <v>1129</v>
      </c>
      <c r="D164" s="1363"/>
      <c r="E164" s="78">
        <v>1</v>
      </c>
      <c r="F164" s="235"/>
      <c r="G164" s="235"/>
      <c r="H164" s="235"/>
      <c r="I164" s="235"/>
      <c r="J164" s="235">
        <v>17421</v>
      </c>
      <c r="K164" s="235"/>
      <c r="L164" s="235"/>
      <c r="M164" s="235"/>
      <c r="N164" s="235"/>
      <c r="O164" s="235"/>
      <c r="P164" s="12">
        <f>SUM(F164:O164)</f>
        <v>17421</v>
      </c>
      <c r="Q164" s="491" t="s">
        <v>606</v>
      </c>
    </row>
    <row r="165" spans="1:17" ht="24.75" customHeight="1">
      <c r="A165" s="78"/>
      <c r="B165" s="78"/>
      <c r="C165" s="1266" t="s">
        <v>829</v>
      </c>
      <c r="D165" s="1364"/>
      <c r="E165" s="525">
        <v>1</v>
      </c>
      <c r="F165" s="235"/>
      <c r="G165" s="235"/>
      <c r="H165" s="235"/>
      <c r="I165" s="235"/>
      <c r="J165" s="235">
        <v>9850</v>
      </c>
      <c r="K165" s="235"/>
      <c r="L165" s="235"/>
      <c r="M165" s="235"/>
      <c r="N165" s="235"/>
      <c r="O165" s="235"/>
      <c r="P165" s="12">
        <f>SUM(F165:O165)</f>
        <v>9850</v>
      </c>
      <c r="Q165" s="491" t="s">
        <v>606</v>
      </c>
    </row>
    <row r="166" spans="1:17" ht="13.5" customHeight="1">
      <c r="A166" s="78"/>
      <c r="B166" s="78"/>
      <c r="C166" s="1366" t="s">
        <v>125</v>
      </c>
      <c r="D166" s="1473"/>
      <c r="E166" s="525">
        <v>2</v>
      </c>
      <c r="F166" s="235"/>
      <c r="G166" s="235"/>
      <c r="H166" s="235">
        <v>635</v>
      </c>
      <c r="I166" s="235"/>
      <c r="J166" s="235">
        <v>-635</v>
      </c>
      <c r="K166" s="235"/>
      <c r="L166" s="235"/>
      <c r="M166" s="235"/>
      <c r="N166" s="235"/>
      <c r="O166" s="235"/>
      <c r="P166" s="12">
        <f>SUM(F166:O166)</f>
        <v>0</v>
      </c>
      <c r="Q166" s="491" t="s">
        <v>606</v>
      </c>
    </row>
    <row r="167" spans="1:17" ht="13.5" customHeight="1">
      <c r="A167" s="78"/>
      <c r="B167" s="78"/>
      <c r="C167" s="1366" t="s">
        <v>1077</v>
      </c>
      <c r="D167" s="1473"/>
      <c r="E167" s="525">
        <v>1</v>
      </c>
      <c r="F167" s="235"/>
      <c r="G167" s="235"/>
      <c r="H167" s="235"/>
      <c r="I167" s="235"/>
      <c r="J167" s="235">
        <v>184</v>
      </c>
      <c r="K167" s="235"/>
      <c r="L167" s="235"/>
      <c r="M167" s="235"/>
      <c r="N167" s="235"/>
      <c r="O167" s="235"/>
      <c r="P167" s="12">
        <v>184</v>
      </c>
      <c r="Q167" s="491" t="s">
        <v>606</v>
      </c>
    </row>
    <row r="168" spans="1:17" ht="24.75" customHeight="1">
      <c r="A168" s="78"/>
      <c r="B168" s="78"/>
      <c r="C168" s="1249" t="s">
        <v>1442</v>
      </c>
      <c r="D168" s="1250"/>
      <c r="E168" s="525"/>
      <c r="F168" s="235"/>
      <c r="G168" s="235"/>
      <c r="H168" s="235"/>
      <c r="I168" s="235"/>
      <c r="J168" s="235"/>
      <c r="K168" s="235"/>
      <c r="L168" s="235"/>
      <c r="M168" s="235"/>
      <c r="N168" s="235"/>
      <c r="O168" s="235"/>
      <c r="P168" s="12"/>
      <c r="Q168" s="491"/>
    </row>
    <row r="169" spans="1:17" ht="12" customHeight="1">
      <c r="A169" s="78"/>
      <c r="B169" s="78"/>
      <c r="C169" s="1266" t="s">
        <v>812</v>
      </c>
      <c r="D169" s="1267"/>
      <c r="E169" s="538">
        <v>2</v>
      </c>
      <c r="F169" s="235"/>
      <c r="G169" s="235"/>
      <c r="H169" s="235"/>
      <c r="I169" s="235"/>
      <c r="J169" s="235"/>
      <c r="K169" s="235"/>
      <c r="L169" s="235"/>
      <c r="M169" s="235"/>
      <c r="N169" s="235"/>
      <c r="O169" s="235">
        <v>8481</v>
      </c>
      <c r="P169" s="12">
        <f>SUM(F169:O169)</f>
        <v>8481</v>
      </c>
      <c r="Q169" s="491" t="s">
        <v>606</v>
      </c>
    </row>
    <row r="170" spans="1:17" ht="24" customHeight="1">
      <c r="A170" s="78"/>
      <c r="B170" s="78"/>
      <c r="C170" s="1263" t="s">
        <v>1078</v>
      </c>
      <c r="D170" s="1271"/>
      <c r="E170" s="538"/>
      <c r="F170" s="235"/>
      <c r="G170" s="235"/>
      <c r="H170" s="235"/>
      <c r="I170" s="235"/>
      <c r="J170" s="235"/>
      <c r="K170" s="235"/>
      <c r="L170" s="235"/>
      <c r="M170" s="235"/>
      <c r="N170" s="235"/>
      <c r="O170" s="235"/>
      <c r="P170" s="12">
        <f>SUM(H170:O170)</f>
        <v>0</v>
      </c>
      <c r="Q170" s="491" t="s">
        <v>643</v>
      </c>
    </row>
    <row r="171" spans="1:17" ht="15" customHeight="1">
      <c r="A171" s="78"/>
      <c r="B171" s="78"/>
      <c r="C171" s="1362" t="s">
        <v>1079</v>
      </c>
      <c r="D171" s="1363"/>
      <c r="E171" s="538">
        <v>2</v>
      </c>
      <c r="F171" s="235"/>
      <c r="G171" s="235"/>
      <c r="H171" s="235"/>
      <c r="I171" s="235"/>
      <c r="J171" s="235">
        <v>27224</v>
      </c>
      <c r="K171" s="235"/>
      <c r="L171" s="235"/>
      <c r="M171" s="235"/>
      <c r="N171" s="235"/>
      <c r="O171" s="235"/>
      <c r="P171" s="12">
        <f>SUM(H171:O171)</f>
        <v>27224</v>
      </c>
      <c r="Q171" s="491" t="s">
        <v>606</v>
      </c>
    </row>
    <row r="172" spans="1:17" ht="13.5" customHeight="1">
      <c r="A172" s="500"/>
      <c r="B172" s="500"/>
      <c r="C172" s="71" t="s">
        <v>1135</v>
      </c>
      <c r="D172" s="499"/>
      <c r="E172" s="500"/>
      <c r="F172" s="501">
        <f aca="true" t="shared" si="17" ref="F172:P172">SUM(F162:F171)</f>
        <v>0</v>
      </c>
      <c r="G172" s="501">
        <f t="shared" si="17"/>
        <v>0</v>
      </c>
      <c r="H172" s="501">
        <f t="shared" si="17"/>
        <v>40516</v>
      </c>
      <c r="I172" s="501">
        <f t="shared" si="17"/>
        <v>0</v>
      </c>
      <c r="J172" s="501">
        <f t="shared" si="17"/>
        <v>54044</v>
      </c>
      <c r="K172" s="501">
        <f t="shared" si="17"/>
        <v>0</v>
      </c>
      <c r="L172" s="501">
        <f t="shared" si="17"/>
        <v>0</v>
      </c>
      <c r="M172" s="501">
        <f t="shared" si="17"/>
        <v>0</v>
      </c>
      <c r="N172" s="501">
        <f t="shared" si="17"/>
        <v>0</v>
      </c>
      <c r="O172" s="501">
        <f t="shared" si="17"/>
        <v>8481</v>
      </c>
      <c r="P172" s="501">
        <f t="shared" si="17"/>
        <v>103041</v>
      </c>
      <c r="Q172" s="502"/>
    </row>
    <row r="173" spans="1:17" ht="13.5" customHeight="1">
      <c r="A173" s="8"/>
      <c r="B173" s="8"/>
      <c r="C173" s="15" t="s">
        <v>1110</v>
      </c>
      <c r="D173" s="59"/>
      <c r="E173" s="78"/>
      <c r="F173" s="9"/>
      <c r="G173" s="9"/>
      <c r="H173" s="9"/>
      <c r="I173" s="9"/>
      <c r="J173" s="9"/>
      <c r="K173" s="520">
        <f>'[4]7'!J271</f>
        <v>0</v>
      </c>
      <c r="L173" s="520"/>
      <c r="M173" s="235">
        <f>'[4]7'!K271</f>
        <v>800</v>
      </c>
      <c r="N173" s="235"/>
      <c r="O173" s="9"/>
      <c r="P173" s="12">
        <f>SUM(F173:O173)</f>
        <v>800</v>
      </c>
      <c r="Q173" s="491"/>
    </row>
    <row r="174" spans="1:17" ht="13.5" customHeight="1">
      <c r="A174" s="8"/>
      <c r="B174" s="8"/>
      <c r="C174" s="15" t="s">
        <v>1883</v>
      </c>
      <c r="D174" s="59"/>
      <c r="E174" s="78"/>
      <c r="F174" s="9"/>
      <c r="G174" s="9"/>
      <c r="H174" s="9"/>
      <c r="I174" s="9"/>
      <c r="J174" s="9"/>
      <c r="K174" s="520"/>
      <c r="L174" s="520">
        <f>'[4]8'!K215</f>
        <v>0</v>
      </c>
      <c r="M174" s="235">
        <f>'[4]8'!K215</f>
        <v>0</v>
      </c>
      <c r="N174" s="235"/>
      <c r="O174" s="9"/>
      <c r="P174" s="12">
        <f>SUM(F174:O174)</f>
        <v>0</v>
      </c>
      <c r="Q174" s="491"/>
    </row>
    <row r="175" spans="1:17" ht="13.5" customHeight="1">
      <c r="A175" s="497"/>
      <c r="B175" s="497"/>
      <c r="C175" s="71" t="s">
        <v>895</v>
      </c>
      <c r="D175" s="499"/>
      <c r="E175" s="500"/>
      <c r="F175" s="501">
        <f aca="true" t="shared" si="18" ref="F175:P175">SUM(F172:F174)</f>
        <v>0</v>
      </c>
      <c r="G175" s="501">
        <f t="shared" si="18"/>
        <v>0</v>
      </c>
      <c r="H175" s="501">
        <f t="shared" si="18"/>
        <v>40516</v>
      </c>
      <c r="I175" s="501">
        <f t="shared" si="18"/>
        <v>0</v>
      </c>
      <c r="J175" s="501">
        <f t="shared" si="18"/>
        <v>54044</v>
      </c>
      <c r="K175" s="501">
        <f t="shared" si="18"/>
        <v>0</v>
      </c>
      <c r="L175" s="501">
        <f t="shared" si="18"/>
        <v>0</v>
      </c>
      <c r="M175" s="501">
        <f t="shared" si="18"/>
        <v>800</v>
      </c>
      <c r="N175" s="501">
        <f t="shared" si="18"/>
        <v>0</v>
      </c>
      <c r="O175" s="501">
        <f t="shared" si="18"/>
        <v>8481</v>
      </c>
      <c r="P175" s="501">
        <f t="shared" si="18"/>
        <v>103841</v>
      </c>
      <c r="Q175" s="502"/>
    </row>
    <row r="176" spans="1:17" ht="24.75" customHeight="1">
      <c r="A176" s="8">
        <v>1</v>
      </c>
      <c r="B176" s="8">
        <v>20</v>
      </c>
      <c r="C176" s="1209" t="s">
        <v>1553</v>
      </c>
      <c r="D176" s="1368"/>
      <c r="E176" s="63"/>
      <c r="F176" s="9"/>
      <c r="G176" s="9"/>
      <c r="H176" s="539"/>
      <c r="I176" s="539"/>
      <c r="J176" s="539"/>
      <c r="K176" s="539"/>
      <c r="L176" s="539"/>
      <c r="M176" s="539"/>
      <c r="N176" s="539"/>
      <c r="O176" s="539"/>
      <c r="P176" s="12">
        <f>SUM(F176:O176)</f>
        <v>0</v>
      </c>
      <c r="Q176" s="521"/>
    </row>
    <row r="177" spans="1:17" ht="13.5" customHeight="1">
      <c r="A177" s="497"/>
      <c r="B177" s="497"/>
      <c r="C177" s="71" t="s">
        <v>1886</v>
      </c>
      <c r="D177" s="499"/>
      <c r="E177" s="500">
        <v>1</v>
      </c>
      <c r="F177" s="501">
        <f>SUM(F176:F176)</f>
        <v>0</v>
      </c>
      <c r="G177" s="501">
        <f>SUM(G176:G176)</f>
        <v>0</v>
      </c>
      <c r="H177" s="501">
        <v>0</v>
      </c>
      <c r="I177" s="501">
        <f aca="true" t="shared" si="19" ref="I177:O177">SUM(I176:I176)</f>
        <v>0</v>
      </c>
      <c r="J177" s="501">
        <f t="shared" si="19"/>
        <v>0</v>
      </c>
      <c r="K177" s="501">
        <f t="shared" si="19"/>
        <v>0</v>
      </c>
      <c r="L177" s="501">
        <f t="shared" si="19"/>
        <v>0</v>
      </c>
      <c r="M177" s="501">
        <f t="shared" si="19"/>
        <v>0</v>
      </c>
      <c r="N177" s="501">
        <f t="shared" si="19"/>
        <v>0</v>
      </c>
      <c r="O177" s="501">
        <f t="shared" si="19"/>
        <v>0</v>
      </c>
      <c r="P177" s="501">
        <f>SUM(F177:O177)</f>
        <v>0</v>
      </c>
      <c r="Q177" s="502" t="s">
        <v>606</v>
      </c>
    </row>
    <row r="178" spans="1:17" ht="13.5" customHeight="1">
      <c r="A178" s="540">
        <v>1</v>
      </c>
      <c r="B178" s="540">
        <v>22</v>
      </c>
      <c r="C178" s="1333" t="s">
        <v>1090</v>
      </c>
      <c r="D178" s="1334"/>
      <c r="E178" s="541"/>
      <c r="F178" s="9"/>
      <c r="G178" s="9"/>
      <c r="H178" s="9"/>
      <c r="I178" s="9"/>
      <c r="J178" s="9"/>
      <c r="K178" s="520"/>
      <c r="L178" s="520"/>
      <c r="M178" s="520"/>
      <c r="N178" s="520"/>
      <c r="O178" s="9"/>
      <c r="P178" s="12"/>
      <c r="Q178" s="491"/>
    </row>
    <row r="179" spans="1:17" ht="13.5" customHeight="1">
      <c r="A179" s="540"/>
      <c r="B179" s="540"/>
      <c r="C179" s="1251" t="s">
        <v>1553</v>
      </c>
      <c r="D179" s="1365"/>
      <c r="E179" s="525"/>
      <c r="F179" s="235"/>
      <c r="G179" s="235"/>
      <c r="H179" s="235"/>
      <c r="I179" s="235"/>
      <c r="J179" s="235"/>
      <c r="K179" s="235"/>
      <c r="L179" s="235"/>
      <c r="M179" s="235"/>
      <c r="N179" s="235"/>
      <c r="O179" s="235"/>
      <c r="P179" s="12"/>
      <c r="Q179" s="491"/>
    </row>
    <row r="180" spans="1:17" ht="13.5" customHeight="1">
      <c r="A180" s="540"/>
      <c r="B180" s="540"/>
      <c r="C180" s="91" t="s">
        <v>920</v>
      </c>
      <c r="D180" s="542"/>
      <c r="E180" s="93">
        <v>2</v>
      </c>
      <c r="F180" s="235">
        <v>2800</v>
      </c>
      <c r="G180" s="235">
        <v>-1700</v>
      </c>
      <c r="H180" s="235">
        <v>-1750</v>
      </c>
      <c r="I180" s="235"/>
      <c r="J180" s="235">
        <v>500</v>
      </c>
      <c r="K180" s="235"/>
      <c r="L180" s="235"/>
      <c r="M180" s="235"/>
      <c r="N180" s="235"/>
      <c r="O180" s="235"/>
      <c r="P180" s="12">
        <f>SUM(F180:O180)</f>
        <v>-150</v>
      </c>
      <c r="Q180" s="521" t="s">
        <v>606</v>
      </c>
    </row>
    <row r="181" spans="1:17" ht="13.5" customHeight="1">
      <c r="A181" s="540"/>
      <c r="B181" s="540"/>
      <c r="C181" s="64" t="s">
        <v>730</v>
      </c>
      <c r="D181" s="542"/>
      <c r="E181" s="93">
        <v>1</v>
      </c>
      <c r="F181" s="235">
        <v>100</v>
      </c>
      <c r="G181" s="235">
        <v>25</v>
      </c>
      <c r="H181" s="235">
        <v>-125</v>
      </c>
      <c r="I181" s="235"/>
      <c r="J181" s="235"/>
      <c r="K181" s="235"/>
      <c r="L181" s="235"/>
      <c r="M181" s="235"/>
      <c r="N181" s="235"/>
      <c r="O181" s="235"/>
      <c r="P181" s="12">
        <f>SUM(F181:O181)</f>
        <v>0</v>
      </c>
      <c r="Q181" s="521"/>
    </row>
    <row r="182" spans="1:17" ht="13.5" customHeight="1">
      <c r="A182" s="540"/>
      <c r="B182" s="540"/>
      <c r="C182" s="64" t="s">
        <v>258</v>
      </c>
      <c r="D182" s="542"/>
      <c r="E182" s="93">
        <v>2</v>
      </c>
      <c r="F182" s="235">
        <v>-291</v>
      </c>
      <c r="G182" s="235">
        <v>-70</v>
      </c>
      <c r="H182" s="235">
        <v>1010</v>
      </c>
      <c r="I182" s="235"/>
      <c r="J182" s="235">
        <v>-21</v>
      </c>
      <c r="K182" s="235"/>
      <c r="L182" s="235"/>
      <c r="M182" s="235"/>
      <c r="N182" s="235"/>
      <c r="O182" s="235"/>
      <c r="P182" s="12">
        <f>SUM(F182:O182)</f>
        <v>628</v>
      </c>
      <c r="Q182" s="521" t="s">
        <v>606</v>
      </c>
    </row>
    <row r="183" spans="1:17" ht="13.5" customHeight="1">
      <c r="A183" s="540"/>
      <c r="B183" s="540"/>
      <c r="C183" s="14" t="s">
        <v>487</v>
      </c>
      <c r="D183" s="542"/>
      <c r="E183" s="93">
        <v>2</v>
      </c>
      <c r="F183" s="235"/>
      <c r="G183" s="235"/>
      <c r="H183" s="235"/>
      <c r="I183" s="235"/>
      <c r="J183" s="235">
        <v>-500</v>
      </c>
      <c r="K183" s="235"/>
      <c r="L183" s="235"/>
      <c r="M183" s="235"/>
      <c r="N183" s="235"/>
      <c r="O183" s="235"/>
      <c r="P183" s="12">
        <f>SUM(F183:O183)</f>
        <v>-500</v>
      </c>
      <c r="Q183" s="521" t="s">
        <v>606</v>
      </c>
    </row>
    <row r="184" spans="1:17" ht="13.5" customHeight="1">
      <c r="A184" s="540"/>
      <c r="B184" s="540"/>
      <c r="C184" s="14" t="s">
        <v>399</v>
      </c>
      <c r="D184" s="542"/>
      <c r="E184" s="93">
        <v>1</v>
      </c>
      <c r="F184" s="235">
        <v>4173</v>
      </c>
      <c r="G184" s="235">
        <v>1223</v>
      </c>
      <c r="H184" s="235"/>
      <c r="I184" s="235"/>
      <c r="J184" s="235"/>
      <c r="K184" s="235"/>
      <c r="L184" s="235"/>
      <c r="M184" s="235"/>
      <c r="N184" s="235"/>
      <c r="O184" s="235"/>
      <c r="P184" s="12">
        <f>SUM(F184:O184)</f>
        <v>5396</v>
      </c>
      <c r="Q184" s="521" t="s">
        <v>606</v>
      </c>
    </row>
    <row r="185" spans="1:17" ht="13.5" customHeight="1">
      <c r="A185" s="540"/>
      <c r="B185" s="540"/>
      <c r="C185" s="1261" t="s">
        <v>1474</v>
      </c>
      <c r="D185" s="1340"/>
      <c r="E185" s="93"/>
      <c r="F185" s="235"/>
      <c r="G185" s="235"/>
      <c r="H185" s="235"/>
      <c r="I185" s="235"/>
      <c r="J185" s="235"/>
      <c r="K185" s="235"/>
      <c r="L185" s="235"/>
      <c r="M185" s="235"/>
      <c r="N185" s="235"/>
      <c r="O185" s="235"/>
      <c r="P185" s="12"/>
      <c r="Q185" s="521"/>
    </row>
    <row r="186" spans="1:17" ht="13.5" customHeight="1">
      <c r="A186" s="540"/>
      <c r="B186" s="540"/>
      <c r="C186" s="15" t="s">
        <v>943</v>
      </c>
      <c r="D186" s="522"/>
      <c r="E186" s="93">
        <v>2</v>
      </c>
      <c r="F186" s="235">
        <v>-200</v>
      </c>
      <c r="G186" s="235">
        <v>1000</v>
      </c>
      <c r="H186" s="235">
        <v>50</v>
      </c>
      <c r="I186" s="235"/>
      <c r="J186" s="235">
        <v>-200</v>
      </c>
      <c r="K186" s="235"/>
      <c r="L186" s="235"/>
      <c r="M186" s="235"/>
      <c r="N186" s="235"/>
      <c r="O186" s="235"/>
      <c r="P186" s="12">
        <f>SUM(F186:O186)</f>
        <v>650</v>
      </c>
      <c r="Q186" s="521" t="s">
        <v>606</v>
      </c>
    </row>
    <row r="187" spans="1:17" ht="13.5" customHeight="1">
      <c r="A187" s="540"/>
      <c r="B187" s="540"/>
      <c r="C187" s="64" t="s">
        <v>1426</v>
      </c>
      <c r="D187" s="137"/>
      <c r="E187" s="63"/>
      <c r="F187" s="235"/>
      <c r="G187" s="235"/>
      <c r="H187" s="235"/>
      <c r="I187" s="235"/>
      <c r="J187" s="235"/>
      <c r="K187" s="235"/>
      <c r="L187" s="235"/>
      <c r="M187" s="235"/>
      <c r="N187" s="235"/>
      <c r="O187" s="235"/>
      <c r="P187" s="12"/>
      <c r="Q187" s="521"/>
    </row>
    <row r="188" spans="1:17" ht="13.5" customHeight="1">
      <c r="A188" s="540"/>
      <c r="B188" s="540"/>
      <c r="C188" s="1249" t="s">
        <v>68</v>
      </c>
      <c r="D188" s="1250"/>
      <c r="E188" s="63">
        <v>2</v>
      </c>
      <c r="F188" s="235"/>
      <c r="G188" s="235"/>
      <c r="H188" s="235"/>
      <c r="I188" s="235"/>
      <c r="J188" s="235">
        <v>1350</v>
      </c>
      <c r="K188" s="235"/>
      <c r="L188" s="235"/>
      <c r="M188" s="235"/>
      <c r="N188" s="235"/>
      <c r="O188" s="235"/>
      <c r="P188" s="12">
        <f>SUM(F188:O188)</f>
        <v>1350</v>
      </c>
      <c r="Q188" s="521" t="s">
        <v>606</v>
      </c>
    </row>
    <row r="189" spans="1:17" ht="13.5" customHeight="1">
      <c r="A189" s="540"/>
      <c r="B189" s="540"/>
      <c r="C189" s="141" t="s">
        <v>924</v>
      </c>
      <c r="D189" s="545"/>
      <c r="E189" s="536">
        <v>2</v>
      </c>
      <c r="F189" s="235"/>
      <c r="G189" s="235"/>
      <c r="H189" s="235">
        <v>-737</v>
      </c>
      <c r="I189" s="235"/>
      <c r="J189" s="235">
        <v>1005</v>
      </c>
      <c r="K189" s="235"/>
      <c r="L189" s="235"/>
      <c r="M189" s="235"/>
      <c r="N189" s="235"/>
      <c r="O189" s="235"/>
      <c r="P189" s="12">
        <f>SUM(F189:O189)</f>
        <v>268</v>
      </c>
      <c r="Q189" s="521" t="s">
        <v>606</v>
      </c>
    </row>
    <row r="190" spans="1:17" ht="13.5" customHeight="1">
      <c r="A190" s="547"/>
      <c r="B190" s="547"/>
      <c r="C190" s="548" t="s">
        <v>1690</v>
      </c>
      <c r="D190" s="549"/>
      <c r="E190" s="443"/>
      <c r="F190" s="501">
        <f aca="true" t="shared" si="20" ref="F190:P190">SUM(F178:F189)</f>
        <v>6582</v>
      </c>
      <c r="G190" s="501">
        <f t="shared" si="20"/>
        <v>478</v>
      </c>
      <c r="H190" s="501">
        <f t="shared" si="20"/>
        <v>-1552</v>
      </c>
      <c r="I190" s="501">
        <f t="shared" si="20"/>
        <v>0</v>
      </c>
      <c r="J190" s="501">
        <f t="shared" si="20"/>
        <v>2134</v>
      </c>
      <c r="K190" s="501">
        <f t="shared" si="20"/>
        <v>0</v>
      </c>
      <c r="L190" s="501">
        <f t="shared" si="20"/>
        <v>0</v>
      </c>
      <c r="M190" s="501">
        <f t="shared" si="20"/>
        <v>0</v>
      </c>
      <c r="N190" s="501">
        <f t="shared" si="20"/>
        <v>0</v>
      </c>
      <c r="O190" s="501">
        <f t="shared" si="20"/>
        <v>0</v>
      </c>
      <c r="P190" s="501">
        <f t="shared" si="20"/>
        <v>7642</v>
      </c>
      <c r="Q190" s="531"/>
    </row>
    <row r="191" spans="1:17" ht="13.5" customHeight="1">
      <c r="A191" s="8"/>
      <c r="B191" s="8"/>
      <c r="C191" s="15" t="s">
        <v>1110</v>
      </c>
      <c r="D191" s="59"/>
      <c r="E191" s="78"/>
      <c r="F191" s="9"/>
      <c r="G191" s="9"/>
      <c r="H191" s="9"/>
      <c r="I191" s="9"/>
      <c r="J191" s="9"/>
      <c r="K191" s="235">
        <f>'[4]7'!J277</f>
        <v>0</v>
      </c>
      <c r="L191" s="235"/>
      <c r="M191" s="235">
        <f>'[4]7'!K277</f>
        <v>107736</v>
      </c>
      <c r="N191" s="235"/>
      <c r="O191" s="9"/>
      <c r="P191" s="12">
        <f>SUM(F191:O191)</f>
        <v>107736</v>
      </c>
      <c r="Q191" s="491" t="s">
        <v>606</v>
      </c>
    </row>
    <row r="192" spans="1:17" ht="13.5" customHeight="1">
      <c r="A192" s="497"/>
      <c r="B192" s="497"/>
      <c r="C192" s="71" t="s">
        <v>1092</v>
      </c>
      <c r="D192" s="499"/>
      <c r="E192" s="500"/>
      <c r="F192" s="501">
        <f aca="true" t="shared" si="21" ref="F192:P192">SUM(F190:F191)</f>
        <v>6582</v>
      </c>
      <c r="G192" s="501">
        <f t="shared" si="21"/>
        <v>478</v>
      </c>
      <c r="H192" s="501">
        <f t="shared" si="21"/>
        <v>-1552</v>
      </c>
      <c r="I192" s="501">
        <f t="shared" si="21"/>
        <v>0</v>
      </c>
      <c r="J192" s="501">
        <f t="shared" si="21"/>
        <v>2134</v>
      </c>
      <c r="K192" s="501">
        <f t="shared" si="21"/>
        <v>0</v>
      </c>
      <c r="L192" s="501">
        <f t="shared" si="21"/>
        <v>0</v>
      </c>
      <c r="M192" s="501">
        <f t="shared" si="21"/>
        <v>107736</v>
      </c>
      <c r="N192" s="501">
        <f t="shared" si="21"/>
        <v>0</v>
      </c>
      <c r="O192" s="501">
        <f t="shared" si="21"/>
        <v>0</v>
      </c>
      <c r="P192" s="501">
        <f t="shared" si="21"/>
        <v>115378</v>
      </c>
      <c r="Q192" s="502"/>
    </row>
    <row r="193" spans="1:17" ht="13.5" customHeight="1">
      <c r="A193" s="78">
        <v>1</v>
      </c>
      <c r="B193" s="78">
        <v>30</v>
      </c>
      <c r="C193" s="19" t="s">
        <v>1137</v>
      </c>
      <c r="D193" s="522"/>
      <c r="E193" s="78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2"/>
      <c r="Q193" s="491"/>
    </row>
    <row r="194" spans="1:17" ht="13.5" customHeight="1">
      <c r="A194" s="78"/>
      <c r="B194" s="84">
        <v>31</v>
      </c>
      <c r="C194" s="19" t="s">
        <v>1692</v>
      </c>
      <c r="D194" s="18"/>
      <c r="E194" s="78">
        <v>1</v>
      </c>
      <c r="F194" s="16"/>
      <c r="G194" s="16"/>
      <c r="H194" s="16"/>
      <c r="I194" s="16"/>
      <c r="J194" s="16">
        <v>-1450</v>
      </c>
      <c r="K194" s="16"/>
      <c r="L194" s="16"/>
      <c r="M194" s="16"/>
      <c r="N194" s="16"/>
      <c r="O194" s="16"/>
      <c r="P194" s="12">
        <f>SUM(F194:O194)</f>
        <v>-1450</v>
      </c>
      <c r="Q194" s="491" t="s">
        <v>606</v>
      </c>
    </row>
    <row r="195" spans="1:17" ht="13.5" customHeight="1">
      <c r="A195" s="78"/>
      <c r="B195" s="78">
        <v>32</v>
      </c>
      <c r="C195" s="19" t="s">
        <v>1138</v>
      </c>
      <c r="D195" s="522"/>
      <c r="E195" s="78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2"/>
      <c r="Q195" s="491"/>
    </row>
    <row r="196" spans="1:17" ht="12.75" customHeight="1">
      <c r="A196" s="78"/>
      <c r="B196" s="78"/>
      <c r="C196" s="1214" t="s">
        <v>1139</v>
      </c>
      <c r="D196" s="1215"/>
      <c r="E196" s="78">
        <v>1</v>
      </c>
      <c r="F196" s="16"/>
      <c r="G196" s="16"/>
      <c r="H196" s="16"/>
      <c r="I196" s="16"/>
      <c r="J196" s="16">
        <v>-2388</v>
      </c>
      <c r="K196" s="16"/>
      <c r="L196" s="16"/>
      <c r="M196" s="16"/>
      <c r="N196" s="16"/>
      <c r="O196" s="16"/>
      <c r="P196" s="12">
        <f>SUM(F196:O196)</f>
        <v>-2388</v>
      </c>
      <c r="Q196" s="491" t="s">
        <v>606</v>
      </c>
    </row>
    <row r="197" spans="1:17" ht="12.75" customHeight="1">
      <c r="A197" s="78"/>
      <c r="B197" s="78"/>
      <c r="C197" s="732" t="s">
        <v>1512</v>
      </c>
      <c r="D197" s="733"/>
      <c r="E197" s="536">
        <v>1</v>
      </c>
      <c r="F197" s="16"/>
      <c r="G197" s="16"/>
      <c r="H197" s="16"/>
      <c r="I197" s="16"/>
      <c r="J197" s="16">
        <v>-14634</v>
      </c>
      <c r="K197" s="16"/>
      <c r="L197" s="16"/>
      <c r="M197" s="16"/>
      <c r="N197" s="16"/>
      <c r="O197" s="16"/>
      <c r="P197" s="12">
        <f>SUM(F197:O197)</f>
        <v>-14634</v>
      </c>
      <c r="Q197" s="491" t="s">
        <v>606</v>
      </c>
    </row>
    <row r="198" spans="1:17" ht="24.75" customHeight="1">
      <c r="A198" s="78"/>
      <c r="B198" s="78"/>
      <c r="C198" s="1249" t="s">
        <v>1476</v>
      </c>
      <c r="D198" s="1250"/>
      <c r="E198" s="536">
        <v>1</v>
      </c>
      <c r="F198" s="16"/>
      <c r="G198" s="16"/>
      <c r="H198" s="16"/>
      <c r="I198" s="16"/>
      <c r="J198" s="16">
        <v>-32227</v>
      </c>
      <c r="K198" s="16"/>
      <c r="L198" s="16"/>
      <c r="M198" s="16"/>
      <c r="N198" s="16"/>
      <c r="O198" s="16"/>
      <c r="P198" s="12">
        <f>SUM(F198:O198)</f>
        <v>-32227</v>
      </c>
      <c r="Q198" s="491" t="s">
        <v>606</v>
      </c>
    </row>
    <row r="199" spans="1:17" ht="12.75" customHeight="1">
      <c r="A199" s="78" t="s">
        <v>1080</v>
      </c>
      <c r="B199" s="78"/>
      <c r="C199" s="139" t="s">
        <v>427</v>
      </c>
      <c r="D199" s="522"/>
      <c r="E199" s="78"/>
      <c r="F199" s="16"/>
      <c r="G199" s="16"/>
      <c r="H199" s="16"/>
      <c r="I199" s="16"/>
      <c r="J199" s="16"/>
      <c r="K199" s="16">
        <f>'[4]7'!J280</f>
        <v>0</v>
      </c>
      <c r="L199" s="16">
        <f>'[4]8'!J218</f>
        <v>-882</v>
      </c>
      <c r="M199" s="16"/>
      <c r="N199" s="16"/>
      <c r="O199" s="16"/>
      <c r="P199" s="12">
        <f>SUM(K199:O199)</f>
        <v>-882</v>
      </c>
      <c r="Q199" s="491"/>
    </row>
    <row r="200" spans="1:17" ht="13.5" customHeight="1">
      <c r="A200" s="68"/>
      <c r="B200" s="68"/>
      <c r="C200" s="71" t="s">
        <v>428</v>
      </c>
      <c r="D200" s="553"/>
      <c r="E200" s="68"/>
      <c r="F200" s="76">
        <f aca="true" t="shared" si="22" ref="F200:P200">SUM(F193:F199)</f>
        <v>0</v>
      </c>
      <c r="G200" s="76">
        <f t="shared" si="22"/>
        <v>0</v>
      </c>
      <c r="H200" s="76">
        <f t="shared" si="22"/>
        <v>0</v>
      </c>
      <c r="I200" s="76">
        <f t="shared" si="22"/>
        <v>0</v>
      </c>
      <c r="J200" s="76">
        <f t="shared" si="22"/>
        <v>-50699</v>
      </c>
      <c r="K200" s="76">
        <f t="shared" si="22"/>
        <v>0</v>
      </c>
      <c r="L200" s="76">
        <f t="shared" si="22"/>
        <v>-882</v>
      </c>
      <c r="M200" s="76">
        <f t="shared" si="22"/>
        <v>0</v>
      </c>
      <c r="N200" s="76">
        <f t="shared" si="22"/>
        <v>0</v>
      </c>
      <c r="O200" s="76">
        <f t="shared" si="22"/>
        <v>0</v>
      </c>
      <c r="P200" s="76">
        <f t="shared" si="22"/>
        <v>-51581</v>
      </c>
      <c r="Q200" s="502"/>
    </row>
    <row r="201" spans="1:17" ht="25.5" customHeight="1">
      <c r="A201" s="68"/>
      <c r="B201" s="68"/>
      <c r="C201" s="1317" t="s">
        <v>602</v>
      </c>
      <c r="D201" s="1330"/>
      <c r="E201" s="554"/>
      <c r="F201" s="76">
        <f aca="true" t="shared" si="23" ref="F201:P201">SUM(F28+F72+F117+F134+F154+F160+F175+F177+F192+F200)</f>
        <v>8612</v>
      </c>
      <c r="G201" s="76">
        <f t="shared" si="23"/>
        <v>2438</v>
      </c>
      <c r="H201" s="76">
        <f t="shared" si="23"/>
        <v>159075</v>
      </c>
      <c r="I201" s="76">
        <f t="shared" si="23"/>
        <v>-21218</v>
      </c>
      <c r="J201" s="76">
        <f t="shared" si="23"/>
        <v>4869</v>
      </c>
      <c r="K201" s="76">
        <f t="shared" si="23"/>
        <v>-481509</v>
      </c>
      <c r="L201" s="76">
        <f t="shared" si="23"/>
        <v>490431</v>
      </c>
      <c r="M201" s="76">
        <f t="shared" si="23"/>
        <v>92776</v>
      </c>
      <c r="N201" s="76">
        <f t="shared" si="23"/>
        <v>0</v>
      </c>
      <c r="O201" s="76">
        <f t="shared" si="23"/>
        <v>10980</v>
      </c>
      <c r="P201" s="76">
        <f t="shared" si="23"/>
        <v>266454</v>
      </c>
      <c r="Q201" s="76"/>
    </row>
    <row r="202" spans="1:17" ht="12.75" customHeight="1">
      <c r="A202" s="63">
        <v>2</v>
      </c>
      <c r="B202" s="63"/>
      <c r="C202" s="180" t="s">
        <v>398</v>
      </c>
      <c r="D202" s="67"/>
      <c r="E202" s="63"/>
      <c r="F202" s="13">
        <f>'[4]táj.2.'!C20</f>
        <v>62241</v>
      </c>
      <c r="G202" s="13">
        <f>'[4]táj.2.'!D20</f>
        <v>27747</v>
      </c>
      <c r="H202" s="13">
        <f>'[4]táj.2.'!E20</f>
        <v>-42424</v>
      </c>
      <c r="I202" s="13">
        <f>'[4]táj.2.'!F20</f>
        <v>0</v>
      </c>
      <c r="J202" s="13">
        <f>'[4]táj.2.'!G20</f>
        <v>-631</v>
      </c>
      <c r="K202" s="13">
        <f>'[4]táj.2.'!H20</f>
        <v>17264</v>
      </c>
      <c r="L202" s="13">
        <f>'[4]táj.2.'!I20</f>
        <v>47865</v>
      </c>
      <c r="M202" s="13">
        <f>'[4]táj.2.'!J20</f>
        <v>0</v>
      </c>
      <c r="N202" s="13"/>
      <c r="O202" s="13"/>
      <c r="P202" s="12">
        <f>SUM(F202:O202)</f>
        <v>112062</v>
      </c>
      <c r="Q202" s="70"/>
    </row>
    <row r="203" spans="1:17" ht="12.75" customHeight="1">
      <c r="A203" s="68"/>
      <c r="B203" s="68"/>
      <c r="C203" s="49" t="s">
        <v>376</v>
      </c>
      <c r="D203" s="553"/>
      <c r="E203" s="68"/>
      <c r="F203" s="76">
        <f aca="true" t="shared" si="24" ref="F203:P203">SUM(F201:F202)</f>
        <v>70853</v>
      </c>
      <c r="G203" s="76">
        <f t="shared" si="24"/>
        <v>30185</v>
      </c>
      <c r="H203" s="76">
        <f t="shared" si="24"/>
        <v>116651</v>
      </c>
      <c r="I203" s="76">
        <f t="shared" si="24"/>
        <v>-21218</v>
      </c>
      <c r="J203" s="76">
        <f t="shared" si="24"/>
        <v>4238</v>
      </c>
      <c r="K203" s="76">
        <f t="shared" si="24"/>
        <v>-464245</v>
      </c>
      <c r="L203" s="76">
        <f t="shared" si="24"/>
        <v>538296</v>
      </c>
      <c r="M203" s="76">
        <f t="shared" si="24"/>
        <v>92776</v>
      </c>
      <c r="N203" s="76">
        <f t="shared" si="24"/>
        <v>0</v>
      </c>
      <c r="O203" s="76">
        <f t="shared" si="24"/>
        <v>10980</v>
      </c>
      <c r="P203" s="76">
        <f t="shared" si="24"/>
        <v>378516</v>
      </c>
      <c r="Q203" s="76"/>
    </row>
    <row r="204" spans="3:5" ht="12.75">
      <c r="C204" s="1331"/>
      <c r="D204" s="1332"/>
      <c r="E204" s="555"/>
    </row>
  </sheetData>
  <sheetProtection/>
  <mergeCells count="111">
    <mergeCell ref="C164:D164"/>
    <mergeCell ref="C147:D147"/>
    <mergeCell ref="C150:D150"/>
    <mergeCell ref="C148:D148"/>
    <mergeCell ref="C149:D149"/>
    <mergeCell ref="C43:D43"/>
    <mergeCell ref="C44:D44"/>
    <mergeCell ref="C33:D33"/>
    <mergeCell ref="C40:D40"/>
    <mergeCell ref="C39:D39"/>
    <mergeCell ref="C41:D41"/>
    <mergeCell ref="C36:D36"/>
    <mergeCell ref="C22:D22"/>
    <mergeCell ref="C34:D34"/>
    <mergeCell ref="C32:D32"/>
    <mergeCell ref="C35:D35"/>
    <mergeCell ref="C50:D50"/>
    <mergeCell ref="C93:D93"/>
    <mergeCell ref="C84:D84"/>
    <mergeCell ref="C48:D48"/>
    <mergeCell ref="C52:D52"/>
    <mergeCell ref="C76:D76"/>
    <mergeCell ref="C56:D56"/>
    <mergeCell ref="C59:D59"/>
    <mergeCell ref="C67:D67"/>
    <mergeCell ref="C54:D54"/>
    <mergeCell ref="Q1:Q2"/>
    <mergeCell ref="P1:P2"/>
    <mergeCell ref="E1:E2"/>
    <mergeCell ref="F1:M1"/>
    <mergeCell ref="N1:O1"/>
    <mergeCell ref="C18:D18"/>
    <mergeCell ref="C38:D38"/>
    <mergeCell ref="C171:D171"/>
    <mergeCell ref="C165:D165"/>
    <mergeCell ref="C87:D87"/>
    <mergeCell ref="C79:D79"/>
    <mergeCell ref="C86:D86"/>
    <mergeCell ref="C94:D94"/>
    <mergeCell ref="C90:D90"/>
    <mergeCell ref="C53:D53"/>
    <mergeCell ref="C169:D169"/>
    <mergeCell ref="C168:D168"/>
    <mergeCell ref="C166:D166"/>
    <mergeCell ref="C176:D176"/>
    <mergeCell ref="C170:D170"/>
    <mergeCell ref="C196:D196"/>
    <mergeCell ref="C204:D204"/>
    <mergeCell ref="C178:D178"/>
    <mergeCell ref="C197:D197"/>
    <mergeCell ref="C185:D185"/>
    <mergeCell ref="C198:D198"/>
    <mergeCell ref="C201:D201"/>
    <mergeCell ref="C188:D188"/>
    <mergeCell ref="C179:D179"/>
    <mergeCell ref="A1:A2"/>
    <mergeCell ref="B1:B2"/>
    <mergeCell ref="C1:D2"/>
    <mergeCell ref="C13:D13"/>
    <mergeCell ref="C12:D12"/>
    <mergeCell ref="C8:D8"/>
    <mergeCell ref="C5:D5"/>
    <mergeCell ref="C55:D55"/>
    <mergeCell ref="C78:D78"/>
    <mergeCell ref="C61:D61"/>
    <mergeCell ref="C63:D63"/>
    <mergeCell ref="C66:D66"/>
    <mergeCell ref="C95:D95"/>
    <mergeCell ref="C119:D119"/>
    <mergeCell ref="C42:D42"/>
    <mergeCell ref="C98:D98"/>
    <mergeCell ref="C100:D100"/>
    <mergeCell ref="C107:D107"/>
    <mergeCell ref="C49:D49"/>
    <mergeCell ref="C46:D46"/>
    <mergeCell ref="C47:D47"/>
    <mergeCell ref="C110:D110"/>
    <mergeCell ref="C120:D120"/>
    <mergeCell ref="C103:D103"/>
    <mergeCell ref="C112:D112"/>
    <mergeCell ref="C106:D106"/>
    <mergeCell ref="C128:D128"/>
    <mergeCell ref="C20:D20"/>
    <mergeCell ref="C141:D141"/>
    <mergeCell ref="C137:D137"/>
    <mergeCell ref="C130:D130"/>
    <mergeCell ref="C136:D136"/>
    <mergeCell ref="C121:D121"/>
    <mergeCell ref="C122:D122"/>
    <mergeCell ref="C97:D97"/>
    <mergeCell ref="C113:D113"/>
    <mergeCell ref="C145:D145"/>
    <mergeCell ref="C109:D109"/>
    <mergeCell ref="C129:D129"/>
    <mergeCell ref="C142:D142"/>
    <mergeCell ref="C144:D144"/>
    <mergeCell ref="C143:D143"/>
    <mergeCell ref="C139:D139"/>
    <mergeCell ref="C140:D140"/>
    <mergeCell ref="C127:D127"/>
    <mergeCell ref="C126:D126"/>
    <mergeCell ref="C146:D146"/>
    <mergeCell ref="C167:D167"/>
    <mergeCell ref="C104:D104"/>
    <mergeCell ref="C45:D45"/>
    <mergeCell ref="C162:D162"/>
    <mergeCell ref="C156:D156"/>
    <mergeCell ref="C157:D157"/>
    <mergeCell ref="C123:D123"/>
    <mergeCell ref="C124:D124"/>
    <mergeCell ref="C125:D125"/>
  </mergeCells>
  <printOptions horizontalCentered="1" verticalCentered="1"/>
  <pageMargins left="0" right="0.2362204724409449" top="0.6692913385826772" bottom="1.1811023622047245" header="0.11811023622047245" footer="0.7086614173228347"/>
  <pageSetup horizontalDpi="300" verticalDpi="300" orientation="landscape" paperSize="9" scale="90" r:id="rId1"/>
  <headerFooter alignWithMargins="0">
    <oddHeader>&amp;CZALAEGERSZEG MEGYEI JOGÚ VÁROS ÖNKORMÁNYZATA
2014. ÉVI KIADÁSI ELŐIRÁNYZATAINAK MÓDOSÍTÁSA A IV. NEGYEDÉVBEN
&amp;R&amp;"Times New Roman CE,Félkövér dőlt"6.a  melléklet mód.
Adatok: ezer Ft-ban</oddHeader>
    <oddFooter>&amp;L* kgy= közgyűlési hatáskörben           
   pm= polgármesteri hatáskörben
   biz = bizottsági hatáskörben&amp;C&amp;P. oldal&amp;RFeladat jellege:
1 =    kötelező
2=önként vállalt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Q118"/>
  <sheetViews>
    <sheetView tabSelected="1" zoomScaleSheetLayoutView="120" workbookViewId="0" topLeftCell="A1">
      <pane ySplit="2" topLeftCell="BM63" activePane="bottomLeft" state="frozen"/>
      <selection pane="topLeft" activeCell="A1" sqref="A1"/>
      <selection pane="bottomLeft" activeCell="A60" sqref="A60"/>
    </sheetView>
  </sheetViews>
  <sheetFormatPr defaultColWidth="9.00390625" defaultRowHeight="12.75"/>
  <cols>
    <col min="1" max="1" width="5.125" style="7" customWidth="1"/>
    <col min="2" max="2" width="5.875" style="7" customWidth="1"/>
    <col min="3" max="3" width="9.375" style="7" customWidth="1"/>
    <col min="4" max="4" width="35.125" style="7" customWidth="1"/>
    <col min="5" max="5" width="4.375" style="7" customWidth="1"/>
    <col min="6" max="6" width="10.125" style="7" customWidth="1"/>
    <col min="7" max="7" width="11.00390625" style="7" customWidth="1"/>
    <col min="8" max="8" width="10.00390625" style="7" customWidth="1"/>
    <col min="9" max="10" width="9.375" style="7" customWidth="1"/>
    <col min="11" max="11" width="10.125" style="7" customWidth="1"/>
    <col min="12" max="12" width="9.375" style="7" customWidth="1"/>
    <col min="13" max="13" width="11.00390625" style="7" bestFit="1" customWidth="1"/>
    <col min="14" max="14" width="10.125" style="7" customWidth="1"/>
    <col min="15" max="15" width="9.875" style="7" bestFit="1" customWidth="1"/>
    <col min="16" max="16" width="10.50390625" style="7" customWidth="1"/>
    <col min="17" max="17" width="7.625" style="7" customWidth="1"/>
    <col min="18" max="16384" width="9.375" style="7" customWidth="1"/>
  </cols>
  <sheetData>
    <row r="1" spans="1:17" s="485" customFormat="1" ht="24.75" customHeight="1">
      <c r="A1" s="1374" t="s">
        <v>896</v>
      </c>
      <c r="B1" s="1376" t="s">
        <v>897</v>
      </c>
      <c r="C1" s="1377" t="s">
        <v>46</v>
      </c>
      <c r="D1" s="1378"/>
      <c r="E1" s="1381" t="s">
        <v>415</v>
      </c>
      <c r="F1" s="1383"/>
      <c r="G1" s="1384"/>
      <c r="H1" s="1384"/>
      <c r="I1" s="1384"/>
      <c r="J1" s="1384"/>
      <c r="K1" s="1384"/>
      <c r="L1" s="1384"/>
      <c r="M1" s="1384"/>
      <c r="N1" s="1305" t="s">
        <v>59</v>
      </c>
      <c r="O1" s="1305"/>
      <c r="P1" s="1372" t="s">
        <v>49</v>
      </c>
      <c r="Q1" s="1328" t="s">
        <v>678</v>
      </c>
    </row>
    <row r="2" spans="1:17" ht="63.75" customHeight="1">
      <c r="A2" s="1375"/>
      <c r="B2" s="1273"/>
      <c r="C2" s="1379"/>
      <c r="D2" s="1380"/>
      <c r="E2" s="1382"/>
      <c r="F2" s="233" t="s">
        <v>280</v>
      </c>
      <c r="G2" s="233" t="s">
        <v>603</v>
      </c>
      <c r="H2" s="233" t="s">
        <v>423</v>
      </c>
      <c r="I2" s="233" t="s">
        <v>679</v>
      </c>
      <c r="J2" s="233" t="s">
        <v>1238</v>
      </c>
      <c r="K2" s="233" t="s">
        <v>1222</v>
      </c>
      <c r="L2" s="233" t="s">
        <v>1221</v>
      </c>
      <c r="M2" s="233" t="s">
        <v>680</v>
      </c>
      <c r="N2" s="233" t="s">
        <v>604</v>
      </c>
      <c r="O2" s="486" t="s">
        <v>69</v>
      </c>
      <c r="P2" s="1373"/>
      <c r="Q2" s="1329"/>
    </row>
    <row r="3" spans="1:17" ht="13.5" customHeight="1">
      <c r="A3" s="269">
        <v>1</v>
      </c>
      <c r="B3" s="269"/>
      <c r="C3" s="487" t="s">
        <v>396</v>
      </c>
      <c r="D3" s="59"/>
      <c r="E3" s="271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9"/>
      <c r="Q3" s="490"/>
    </row>
    <row r="4" spans="1:17" ht="13.5" customHeight="1">
      <c r="A4" s="8">
        <v>1</v>
      </c>
      <c r="B4" s="8">
        <v>1</v>
      </c>
      <c r="C4" s="58" t="s">
        <v>1885</v>
      </c>
      <c r="D4" s="59"/>
      <c r="E4" s="16"/>
      <c r="F4" s="9"/>
      <c r="G4" s="9"/>
      <c r="H4" s="9"/>
      <c r="I4" s="9"/>
      <c r="J4" s="9"/>
      <c r="K4" s="9"/>
      <c r="L4" s="9"/>
      <c r="M4" s="9"/>
      <c r="N4" s="9"/>
      <c r="O4" s="9"/>
      <c r="P4" s="12"/>
      <c r="Q4" s="491"/>
    </row>
    <row r="5" spans="1:17" ht="14.25" customHeight="1">
      <c r="A5" s="8">
        <v>1</v>
      </c>
      <c r="B5" s="8">
        <v>12</v>
      </c>
      <c r="C5" s="1218" t="s">
        <v>1550</v>
      </c>
      <c r="D5" s="1219"/>
      <c r="E5" s="16"/>
      <c r="F5" s="9"/>
      <c r="G5" s="9"/>
      <c r="H5" s="9"/>
      <c r="I5" s="9"/>
      <c r="J5" s="9"/>
      <c r="K5" s="9"/>
      <c r="L5" s="9"/>
      <c r="M5" s="9"/>
      <c r="N5" s="9"/>
      <c r="O5" s="9"/>
      <c r="P5" s="12"/>
      <c r="Q5" s="491"/>
    </row>
    <row r="6" spans="1:17" ht="14.25" customHeight="1">
      <c r="A6" s="8"/>
      <c r="B6" s="8"/>
      <c r="C6" s="12" t="s">
        <v>102</v>
      </c>
      <c r="D6" s="328"/>
      <c r="E6" s="492">
        <v>1</v>
      </c>
      <c r="F6" s="235"/>
      <c r="G6" s="235"/>
      <c r="H6" s="235"/>
      <c r="I6" s="235">
        <v>1720</v>
      </c>
      <c r="J6" s="235"/>
      <c r="K6" s="235"/>
      <c r="L6" s="9"/>
      <c r="M6" s="9"/>
      <c r="N6" s="9"/>
      <c r="O6" s="9"/>
      <c r="P6" s="12">
        <f>SUM(F6:O6)</f>
        <v>1720</v>
      </c>
      <c r="Q6" s="491" t="s">
        <v>606</v>
      </c>
    </row>
    <row r="7" spans="1:17" ht="14.25" customHeight="1">
      <c r="A7" s="8"/>
      <c r="B7" s="8"/>
      <c r="C7" s="1216" t="s">
        <v>1549</v>
      </c>
      <c r="D7" s="1217"/>
      <c r="E7" s="492"/>
      <c r="F7" s="235"/>
      <c r="G7" s="235"/>
      <c r="H7" s="235"/>
      <c r="I7" s="235"/>
      <c r="J7" s="235"/>
      <c r="K7" s="235"/>
      <c r="L7" s="9"/>
      <c r="M7" s="9"/>
      <c r="N7" s="9"/>
      <c r="O7" s="9"/>
      <c r="P7" s="12"/>
      <c r="Q7" s="491"/>
    </row>
    <row r="8" spans="1:17" ht="14.25" customHeight="1">
      <c r="A8" s="8"/>
      <c r="B8" s="8"/>
      <c r="C8" s="12" t="s">
        <v>274</v>
      </c>
      <c r="D8" s="328"/>
      <c r="E8" s="492">
        <v>1</v>
      </c>
      <c r="F8" s="235"/>
      <c r="G8" s="235"/>
      <c r="H8" s="235"/>
      <c r="I8" s="235">
        <v>-1720</v>
      </c>
      <c r="J8" s="235"/>
      <c r="K8" s="235"/>
      <c r="L8" s="235"/>
      <c r="M8" s="235"/>
      <c r="N8" s="235"/>
      <c r="O8" s="235"/>
      <c r="P8" s="12">
        <f>SUM(I8:O8)</f>
        <v>-1720</v>
      </c>
      <c r="Q8" s="491" t="s">
        <v>606</v>
      </c>
    </row>
    <row r="9" spans="1:17" ht="14.25" customHeight="1">
      <c r="A9" s="8"/>
      <c r="B9" s="8"/>
      <c r="C9" s="728" t="s">
        <v>685</v>
      </c>
      <c r="D9" s="729"/>
      <c r="E9" s="492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12"/>
      <c r="Q9" s="491"/>
    </row>
    <row r="10" spans="1:17" ht="14.25" customHeight="1">
      <c r="A10" s="8"/>
      <c r="B10" s="8"/>
      <c r="C10" s="15" t="s">
        <v>358</v>
      </c>
      <c r="D10" s="79"/>
      <c r="E10" s="492">
        <v>1</v>
      </c>
      <c r="F10" s="235">
        <v>33</v>
      </c>
      <c r="G10" s="235">
        <v>21</v>
      </c>
      <c r="H10" s="235">
        <v>-54</v>
      </c>
      <c r="I10" s="235"/>
      <c r="J10" s="235"/>
      <c r="K10" s="235"/>
      <c r="L10" s="235"/>
      <c r="M10" s="235"/>
      <c r="N10" s="235"/>
      <c r="O10" s="235"/>
      <c r="P10" s="12">
        <f>SUM(F10:O10)</f>
        <v>0</v>
      </c>
      <c r="Q10" s="491" t="s">
        <v>606</v>
      </c>
    </row>
    <row r="11" spans="1:17" ht="23.25" customHeight="1">
      <c r="A11" s="8"/>
      <c r="B11" s="8"/>
      <c r="C11" s="1266" t="s">
        <v>800</v>
      </c>
      <c r="D11" s="1267"/>
      <c r="E11" s="492"/>
      <c r="F11" s="235"/>
      <c r="G11" s="235"/>
      <c r="H11" s="235"/>
      <c r="I11" s="235"/>
      <c r="J11" s="235"/>
      <c r="K11" s="235"/>
      <c r="L11" s="9"/>
      <c r="M11" s="9"/>
      <c r="N11" s="9"/>
      <c r="O11" s="9"/>
      <c r="P11" s="12"/>
      <c r="Q11" s="491"/>
    </row>
    <row r="12" spans="1:17" ht="13.5" customHeight="1">
      <c r="A12" s="8"/>
      <c r="B12" s="8"/>
      <c r="C12" s="1218" t="s">
        <v>333</v>
      </c>
      <c r="D12" s="1219"/>
      <c r="E12" s="492">
        <v>2</v>
      </c>
      <c r="F12" s="235"/>
      <c r="G12" s="235"/>
      <c r="H12" s="235">
        <v>-650</v>
      </c>
      <c r="I12" s="235"/>
      <c r="J12" s="235"/>
      <c r="K12" s="235"/>
      <c r="L12" s="9"/>
      <c r="M12" s="9"/>
      <c r="N12" s="9"/>
      <c r="O12" s="9"/>
      <c r="P12" s="12">
        <f>SUM(F12:O12)</f>
        <v>-650</v>
      </c>
      <c r="Q12" s="491" t="s">
        <v>624</v>
      </c>
    </row>
    <row r="13" spans="1:17" ht="13.5" customHeight="1">
      <c r="A13" s="497"/>
      <c r="B13" s="497"/>
      <c r="C13" s="498" t="s">
        <v>686</v>
      </c>
      <c r="D13" s="499"/>
      <c r="E13" s="500"/>
      <c r="F13" s="501">
        <f aca="true" t="shared" si="0" ref="F13:M13">SUM(F5:F12)</f>
        <v>33</v>
      </c>
      <c r="G13" s="501">
        <f t="shared" si="0"/>
        <v>21</v>
      </c>
      <c r="H13" s="501">
        <f t="shared" si="0"/>
        <v>-704</v>
      </c>
      <c r="I13" s="501">
        <f t="shared" si="0"/>
        <v>0</v>
      </c>
      <c r="J13" s="501">
        <f t="shared" si="0"/>
        <v>0</v>
      </c>
      <c r="K13" s="501">
        <f t="shared" si="0"/>
        <v>0</v>
      </c>
      <c r="L13" s="501">
        <f t="shared" si="0"/>
        <v>0</v>
      </c>
      <c r="M13" s="501">
        <f t="shared" si="0"/>
        <v>0</v>
      </c>
      <c r="N13" s="501"/>
      <c r="O13" s="501">
        <f>SUM(O5:O12)</f>
        <v>0</v>
      </c>
      <c r="P13" s="501">
        <f>SUM(P5:P12)</f>
        <v>-650</v>
      </c>
      <c r="Q13" s="502"/>
    </row>
    <row r="14" spans="1:17" ht="13.5" customHeight="1">
      <c r="A14" s="8"/>
      <c r="B14" s="8"/>
      <c r="C14" s="448" t="s">
        <v>687</v>
      </c>
      <c r="D14" s="59"/>
      <c r="E14" s="503"/>
      <c r="F14" s="9"/>
      <c r="G14" s="9"/>
      <c r="H14" s="9"/>
      <c r="I14" s="9"/>
      <c r="J14" s="9"/>
      <c r="K14" s="9">
        <f>'[5]7'!J8</f>
        <v>0</v>
      </c>
      <c r="L14" s="9"/>
      <c r="M14" s="9">
        <f>'[5]7'!K8</f>
        <v>0</v>
      </c>
      <c r="N14" s="9"/>
      <c r="O14" s="9"/>
      <c r="P14" s="12">
        <f>SUM(F14:O14)</f>
        <v>0</v>
      </c>
      <c r="Q14" s="491"/>
    </row>
    <row r="15" spans="1:17" ht="13.5" customHeight="1">
      <c r="A15" s="8"/>
      <c r="B15" s="8"/>
      <c r="C15" s="448" t="s">
        <v>1874</v>
      </c>
      <c r="D15" s="59"/>
      <c r="E15" s="503"/>
      <c r="F15" s="9"/>
      <c r="G15" s="9"/>
      <c r="H15" s="9"/>
      <c r="I15" s="9"/>
      <c r="J15" s="9"/>
      <c r="K15" s="9"/>
      <c r="L15" s="9"/>
      <c r="M15" s="9"/>
      <c r="N15" s="9"/>
      <c r="O15" s="9"/>
      <c r="P15" s="12">
        <f>SUM(F15:O15)</f>
        <v>0</v>
      </c>
      <c r="Q15" s="491"/>
    </row>
    <row r="16" spans="1:17" ht="13.5" customHeight="1">
      <c r="A16" s="497"/>
      <c r="B16" s="497"/>
      <c r="C16" s="498" t="s">
        <v>253</v>
      </c>
      <c r="D16" s="499"/>
      <c r="E16" s="504"/>
      <c r="F16" s="501">
        <f aca="true" t="shared" si="1" ref="F16:M16">SUM(F13:F15)</f>
        <v>33</v>
      </c>
      <c r="G16" s="501">
        <f t="shared" si="1"/>
        <v>21</v>
      </c>
      <c r="H16" s="501">
        <f t="shared" si="1"/>
        <v>-704</v>
      </c>
      <c r="I16" s="501">
        <f t="shared" si="1"/>
        <v>0</v>
      </c>
      <c r="J16" s="501">
        <f t="shared" si="1"/>
        <v>0</v>
      </c>
      <c r="K16" s="501">
        <f t="shared" si="1"/>
        <v>0</v>
      </c>
      <c r="L16" s="501">
        <f t="shared" si="1"/>
        <v>0</v>
      </c>
      <c r="M16" s="501">
        <f t="shared" si="1"/>
        <v>0</v>
      </c>
      <c r="N16" s="501"/>
      <c r="O16" s="501">
        <f>SUM(O13:O15)</f>
        <v>0</v>
      </c>
      <c r="P16" s="501">
        <f>SUM(P13:P15)</f>
        <v>-650</v>
      </c>
      <c r="Q16" s="502"/>
    </row>
    <row r="17" spans="1:17" ht="13.5" customHeight="1">
      <c r="A17" s="63">
        <v>1</v>
      </c>
      <c r="B17" s="63">
        <v>13</v>
      </c>
      <c r="C17" s="46" t="s">
        <v>250</v>
      </c>
      <c r="D17" s="74"/>
      <c r="E17" s="505"/>
      <c r="F17" s="9"/>
      <c r="G17" s="9"/>
      <c r="H17" s="9"/>
      <c r="I17" s="9"/>
      <c r="J17" s="9"/>
      <c r="K17" s="9"/>
      <c r="L17" s="9"/>
      <c r="M17" s="9"/>
      <c r="N17" s="9"/>
      <c r="O17" s="9"/>
      <c r="P17" s="12"/>
      <c r="Q17" s="491"/>
    </row>
    <row r="18" spans="1:17" ht="13.5" customHeight="1">
      <c r="A18" s="63"/>
      <c r="B18" s="63"/>
      <c r="C18" s="506" t="s">
        <v>1234</v>
      </c>
      <c r="D18" s="74"/>
      <c r="E18" s="505"/>
      <c r="F18" s="9"/>
      <c r="G18" s="9"/>
      <c r="H18" s="9"/>
      <c r="I18" s="9"/>
      <c r="J18" s="9"/>
      <c r="K18" s="9"/>
      <c r="L18" s="9"/>
      <c r="M18" s="9"/>
      <c r="N18" s="9"/>
      <c r="O18" s="9"/>
      <c r="P18" s="12"/>
      <c r="Q18" s="491"/>
    </row>
    <row r="19" spans="1:17" ht="13.5" customHeight="1">
      <c r="A19" s="63"/>
      <c r="B19" s="63"/>
      <c r="C19" s="64" t="s">
        <v>1461</v>
      </c>
      <c r="D19" s="136"/>
      <c r="E19" s="507"/>
      <c r="F19" s="9"/>
      <c r="G19" s="9"/>
      <c r="H19" s="235"/>
      <c r="I19" s="235"/>
      <c r="J19" s="235"/>
      <c r="K19" s="9"/>
      <c r="L19" s="9"/>
      <c r="M19" s="9"/>
      <c r="N19" s="9"/>
      <c r="O19" s="9"/>
      <c r="P19" s="12"/>
      <c r="Q19" s="491"/>
    </row>
    <row r="20" spans="1:17" ht="24.75" customHeight="1">
      <c r="A20" s="63"/>
      <c r="B20" s="63"/>
      <c r="C20" s="1266" t="s">
        <v>281</v>
      </c>
      <c r="D20" s="1267"/>
      <c r="E20" s="507">
        <v>2</v>
      </c>
      <c r="F20" s="9"/>
      <c r="G20" s="9"/>
      <c r="H20" s="235"/>
      <c r="I20" s="235"/>
      <c r="J20" s="235">
        <v>100</v>
      </c>
      <c r="K20" s="235"/>
      <c r="L20" s="9"/>
      <c r="M20" s="9"/>
      <c r="N20" s="9"/>
      <c r="O20" s="9"/>
      <c r="P20" s="12">
        <f>SUM(F20:O20)</f>
        <v>100</v>
      </c>
      <c r="Q20" s="491" t="s">
        <v>606</v>
      </c>
    </row>
    <row r="21" spans="1:17" ht="15.75" customHeight="1">
      <c r="A21" s="63"/>
      <c r="B21" s="63"/>
      <c r="C21" s="1326" t="s">
        <v>1235</v>
      </c>
      <c r="D21" s="1327"/>
      <c r="E21" s="508"/>
      <c r="F21" s="235"/>
      <c r="G21" s="235"/>
      <c r="H21" s="235"/>
      <c r="I21" s="235"/>
      <c r="J21" s="235"/>
      <c r="K21" s="9"/>
      <c r="L21" s="9"/>
      <c r="M21" s="9"/>
      <c r="N21" s="9"/>
      <c r="O21" s="9"/>
      <c r="P21" s="12"/>
      <c r="Q21" s="491"/>
    </row>
    <row r="22" spans="1:17" ht="24.75" customHeight="1">
      <c r="A22" s="63"/>
      <c r="B22" s="63"/>
      <c r="C22" s="1266" t="s">
        <v>1463</v>
      </c>
      <c r="D22" s="1267"/>
      <c r="E22" s="508"/>
      <c r="F22" s="235"/>
      <c r="G22" s="235"/>
      <c r="H22" s="235"/>
      <c r="I22" s="235"/>
      <c r="J22" s="235"/>
      <c r="K22" s="9"/>
      <c r="L22" s="9"/>
      <c r="M22" s="9"/>
      <c r="N22" s="9"/>
      <c r="O22" s="9"/>
      <c r="P22" s="12"/>
      <c r="Q22" s="491"/>
    </row>
    <row r="23" spans="1:17" ht="15" customHeight="1">
      <c r="A23" s="63"/>
      <c r="B23" s="63"/>
      <c r="C23" s="1266" t="s">
        <v>1877</v>
      </c>
      <c r="D23" s="1267"/>
      <c r="E23" s="508">
        <v>2</v>
      </c>
      <c r="F23" s="235"/>
      <c r="G23" s="235">
        <v>15</v>
      </c>
      <c r="H23" s="235">
        <v>-15</v>
      </c>
      <c r="I23" s="235"/>
      <c r="J23" s="235"/>
      <c r="K23" s="9"/>
      <c r="L23" s="9"/>
      <c r="M23" s="9"/>
      <c r="N23" s="9"/>
      <c r="O23" s="9"/>
      <c r="P23" s="12">
        <f>SUM(F23:O23)</f>
        <v>0</v>
      </c>
      <c r="Q23" s="491" t="s">
        <v>606</v>
      </c>
    </row>
    <row r="24" spans="1:17" ht="15" customHeight="1">
      <c r="A24" s="63"/>
      <c r="B24" s="63"/>
      <c r="C24" s="14" t="s">
        <v>1106</v>
      </c>
      <c r="D24" s="442"/>
      <c r="E24" s="508">
        <v>2</v>
      </c>
      <c r="F24" s="235"/>
      <c r="G24" s="235">
        <v>12</v>
      </c>
      <c r="H24" s="235">
        <v>-12</v>
      </c>
      <c r="I24" s="235"/>
      <c r="J24" s="235"/>
      <c r="K24" s="9"/>
      <c r="L24" s="9"/>
      <c r="M24" s="9"/>
      <c r="N24" s="9"/>
      <c r="O24" s="9"/>
      <c r="P24" s="12">
        <f>SUM(F24:O24)</f>
        <v>0</v>
      </c>
      <c r="Q24" s="491" t="s">
        <v>606</v>
      </c>
    </row>
    <row r="25" spans="1:17" ht="15" customHeight="1">
      <c r="A25" s="63"/>
      <c r="B25" s="63"/>
      <c r="C25" s="1214" t="s">
        <v>491</v>
      </c>
      <c r="D25" s="1215"/>
      <c r="E25" s="508">
        <v>2</v>
      </c>
      <c r="F25" s="235"/>
      <c r="G25" s="235">
        <v>67</v>
      </c>
      <c r="H25" s="235"/>
      <c r="I25" s="235"/>
      <c r="J25" s="235">
        <v>-67</v>
      </c>
      <c r="K25" s="9"/>
      <c r="L25" s="9"/>
      <c r="M25" s="9"/>
      <c r="N25" s="9"/>
      <c r="O25" s="9"/>
      <c r="P25" s="12">
        <f>SUM(F25:O25)</f>
        <v>0</v>
      </c>
      <c r="Q25" s="491" t="s">
        <v>606</v>
      </c>
    </row>
    <row r="26" spans="1:17" ht="15" customHeight="1">
      <c r="A26" s="63"/>
      <c r="B26" s="63"/>
      <c r="C26" s="64" t="s">
        <v>334</v>
      </c>
      <c r="D26" s="137"/>
      <c r="E26" s="508">
        <v>2</v>
      </c>
      <c r="F26" s="235"/>
      <c r="G26" s="235">
        <v>51</v>
      </c>
      <c r="H26" s="235">
        <v>-51</v>
      </c>
      <c r="I26" s="235"/>
      <c r="J26" s="235"/>
      <c r="K26" s="9"/>
      <c r="L26" s="9"/>
      <c r="M26" s="9"/>
      <c r="N26" s="9"/>
      <c r="O26" s="9"/>
      <c r="P26" s="12">
        <f>SUM(F26:O26)</f>
        <v>0</v>
      </c>
      <c r="Q26" s="491" t="s">
        <v>606</v>
      </c>
    </row>
    <row r="27" spans="1:17" ht="13.5" customHeight="1">
      <c r="A27" s="63"/>
      <c r="B27" s="63"/>
      <c r="C27" s="1266" t="s">
        <v>580</v>
      </c>
      <c r="D27" s="1267"/>
      <c r="E27" s="1203"/>
      <c r="F27" s="9"/>
      <c r="G27" s="9"/>
      <c r="H27" s="235"/>
      <c r="I27" s="235"/>
      <c r="J27" s="235"/>
      <c r="K27" s="9"/>
      <c r="L27" s="9"/>
      <c r="M27" s="9"/>
      <c r="N27" s="9"/>
      <c r="O27" s="9"/>
      <c r="P27" s="12"/>
      <c r="Q27" s="491"/>
    </row>
    <row r="28" spans="1:17" ht="16.5" customHeight="1">
      <c r="A28" s="63"/>
      <c r="B28" s="63"/>
      <c r="C28" s="1263" t="s">
        <v>725</v>
      </c>
      <c r="D28" s="1264"/>
      <c r="E28" s="1203">
        <v>2</v>
      </c>
      <c r="F28" s="9"/>
      <c r="G28" s="9"/>
      <c r="H28" s="235">
        <v>-439</v>
      </c>
      <c r="I28" s="235"/>
      <c r="J28" s="235">
        <v>439</v>
      </c>
      <c r="K28" s="9"/>
      <c r="L28" s="9"/>
      <c r="M28" s="9"/>
      <c r="N28" s="9"/>
      <c r="O28" s="9"/>
      <c r="P28" s="12">
        <f>SUM(F28:O28)</f>
        <v>0</v>
      </c>
      <c r="Q28" s="491" t="s">
        <v>606</v>
      </c>
    </row>
    <row r="29" spans="1:17" ht="16.5" customHeight="1">
      <c r="A29" s="63"/>
      <c r="B29" s="63"/>
      <c r="C29" s="1266" t="s">
        <v>1466</v>
      </c>
      <c r="D29" s="1267"/>
      <c r="E29" s="1203"/>
      <c r="F29" s="9"/>
      <c r="G29" s="235"/>
      <c r="H29" s="235"/>
      <c r="I29" s="235"/>
      <c r="J29" s="235"/>
      <c r="K29" s="9"/>
      <c r="L29" s="9"/>
      <c r="M29" s="9"/>
      <c r="N29" s="9"/>
      <c r="O29" s="9"/>
      <c r="P29" s="12">
        <f>SUM(F29:O29)</f>
        <v>0</v>
      </c>
      <c r="Q29" s="491" t="s">
        <v>606</v>
      </c>
    </row>
    <row r="30" spans="1:17" ht="16.5" customHeight="1">
      <c r="A30" s="63"/>
      <c r="B30" s="63"/>
      <c r="C30" s="1266" t="s">
        <v>1881</v>
      </c>
      <c r="D30" s="1267"/>
      <c r="E30" s="1203">
        <v>2</v>
      </c>
      <c r="F30" s="9"/>
      <c r="G30" s="235"/>
      <c r="H30" s="235"/>
      <c r="I30" s="235">
        <v>18</v>
      </c>
      <c r="J30" s="235"/>
      <c r="K30" s="9"/>
      <c r="L30" s="9"/>
      <c r="M30" s="9"/>
      <c r="N30" s="9"/>
      <c r="O30" s="9"/>
      <c r="P30" s="12">
        <f>SUM(F30:O30)</f>
        <v>18</v>
      </c>
      <c r="Q30" s="491" t="s">
        <v>606</v>
      </c>
    </row>
    <row r="31" spans="1:17" ht="13.5" customHeight="1">
      <c r="A31" s="63"/>
      <c r="B31" s="63"/>
      <c r="C31" s="1342" t="s">
        <v>365</v>
      </c>
      <c r="D31" s="1343"/>
      <c r="E31" s="496"/>
      <c r="F31" s="9"/>
      <c r="G31" s="9"/>
      <c r="H31" s="235"/>
      <c r="I31" s="235"/>
      <c r="J31" s="235"/>
      <c r="K31" s="9"/>
      <c r="L31" s="9"/>
      <c r="M31" s="9"/>
      <c r="N31" s="9"/>
      <c r="O31" s="9"/>
      <c r="P31" s="12"/>
      <c r="Q31" s="491"/>
    </row>
    <row r="32" spans="1:17" ht="16.5" customHeight="1">
      <c r="A32" s="63"/>
      <c r="B32" s="63"/>
      <c r="C32" s="732" t="s">
        <v>1555</v>
      </c>
      <c r="D32" s="733"/>
      <c r="E32" s="492"/>
      <c r="F32" s="9"/>
      <c r="G32" s="9"/>
      <c r="H32" s="235"/>
      <c r="I32" s="235"/>
      <c r="J32" s="235"/>
      <c r="K32" s="9"/>
      <c r="L32" s="9"/>
      <c r="M32" s="9"/>
      <c r="N32" s="9"/>
      <c r="O32" s="9"/>
      <c r="P32" s="12"/>
      <c r="Q32" s="491"/>
    </row>
    <row r="33" spans="1:17" ht="13.5" customHeight="1">
      <c r="A33" s="63"/>
      <c r="B33" s="63"/>
      <c r="C33" s="14" t="s">
        <v>1101</v>
      </c>
      <c r="D33" s="65"/>
      <c r="E33" s="493">
        <v>2</v>
      </c>
      <c r="F33" s="235">
        <v>-12</v>
      </c>
      <c r="G33" s="235">
        <v>12</v>
      </c>
      <c r="H33" s="235"/>
      <c r="I33" s="235"/>
      <c r="J33" s="235"/>
      <c r="K33" s="9"/>
      <c r="L33" s="9"/>
      <c r="M33" s="9"/>
      <c r="N33" s="9"/>
      <c r="O33" s="9"/>
      <c r="P33" s="12">
        <f>SUM(F33:O33)</f>
        <v>0</v>
      </c>
      <c r="Q33" s="491" t="s">
        <v>606</v>
      </c>
    </row>
    <row r="34" spans="1:17" ht="15.75" customHeight="1">
      <c r="A34" s="63"/>
      <c r="B34" s="63"/>
      <c r="C34" s="1263" t="s">
        <v>1468</v>
      </c>
      <c r="D34" s="1264"/>
      <c r="E34" s="493"/>
      <c r="F34" s="235"/>
      <c r="G34" s="235"/>
      <c r="H34" s="235"/>
      <c r="I34" s="235"/>
      <c r="J34" s="235"/>
      <c r="K34" s="9"/>
      <c r="L34" s="9"/>
      <c r="M34" s="9"/>
      <c r="N34" s="9"/>
      <c r="O34" s="9"/>
      <c r="P34" s="12"/>
      <c r="Q34" s="491"/>
    </row>
    <row r="35" spans="1:17" ht="12.75" customHeight="1">
      <c r="A35" s="63"/>
      <c r="B35" s="63"/>
      <c r="C35" s="732" t="s">
        <v>787</v>
      </c>
      <c r="D35" s="733"/>
      <c r="E35" s="493">
        <v>2</v>
      </c>
      <c r="F35" s="235">
        <v>-79</v>
      </c>
      <c r="G35" s="235">
        <v>151</v>
      </c>
      <c r="H35" s="235">
        <v>-72</v>
      </c>
      <c r="I35" s="235"/>
      <c r="J35" s="235"/>
      <c r="K35" s="9"/>
      <c r="L35" s="9"/>
      <c r="M35" s="9"/>
      <c r="N35" s="9"/>
      <c r="O35" s="9"/>
      <c r="P35" s="12">
        <f>SUM(F35:O35)</f>
        <v>0</v>
      </c>
      <c r="Q35" s="491" t="s">
        <v>606</v>
      </c>
    </row>
    <row r="36" spans="1:17" ht="13.5" customHeight="1">
      <c r="A36" s="63"/>
      <c r="B36" s="63"/>
      <c r="C36" s="513" t="s">
        <v>1686</v>
      </c>
      <c r="D36" s="514"/>
      <c r="E36" s="493"/>
      <c r="F36" s="9"/>
      <c r="G36" s="9"/>
      <c r="H36" s="235"/>
      <c r="I36" s="235"/>
      <c r="J36" s="235"/>
      <c r="K36" s="9"/>
      <c r="L36" s="9"/>
      <c r="M36" s="9"/>
      <c r="N36" s="9"/>
      <c r="O36" s="9"/>
      <c r="P36" s="12"/>
      <c r="Q36" s="16"/>
    </row>
    <row r="37" spans="1:17" ht="13.5" customHeight="1">
      <c r="A37" s="63"/>
      <c r="B37" s="63"/>
      <c r="C37" s="1214" t="s">
        <v>1560</v>
      </c>
      <c r="D37" s="1215"/>
      <c r="E37" s="493"/>
      <c r="F37" s="9"/>
      <c r="G37" s="9"/>
      <c r="H37" s="235"/>
      <c r="I37" s="235"/>
      <c r="J37" s="235"/>
      <c r="K37" s="9"/>
      <c r="L37" s="9"/>
      <c r="M37" s="9"/>
      <c r="N37" s="9"/>
      <c r="O37" s="9"/>
      <c r="P37" s="12"/>
      <c r="Q37" s="16"/>
    </row>
    <row r="38" spans="1:17" ht="13.5" customHeight="1">
      <c r="A38" s="63"/>
      <c r="B38" s="63"/>
      <c r="C38" s="14" t="s">
        <v>395</v>
      </c>
      <c r="D38" s="514"/>
      <c r="E38" s="493">
        <v>2</v>
      </c>
      <c r="F38" s="9"/>
      <c r="G38" s="9"/>
      <c r="H38" s="235">
        <v>31</v>
      </c>
      <c r="I38" s="235"/>
      <c r="J38" s="235">
        <v>-31</v>
      </c>
      <c r="K38" s="9"/>
      <c r="L38" s="9"/>
      <c r="M38" s="9"/>
      <c r="N38" s="9"/>
      <c r="O38" s="9"/>
      <c r="P38" s="12">
        <f>SUM(F38:O38)</f>
        <v>0</v>
      </c>
      <c r="Q38" s="16" t="s">
        <v>606</v>
      </c>
    </row>
    <row r="39" spans="1:17" ht="13.5" customHeight="1">
      <c r="A39" s="63"/>
      <c r="B39" s="63"/>
      <c r="C39" s="766" t="s">
        <v>1562</v>
      </c>
      <c r="D39" s="727"/>
      <c r="E39" s="493"/>
      <c r="F39" s="9"/>
      <c r="G39" s="9"/>
      <c r="H39" s="235"/>
      <c r="I39" s="235"/>
      <c r="J39" s="235"/>
      <c r="K39" s="9"/>
      <c r="L39" s="9"/>
      <c r="M39" s="9"/>
      <c r="N39" s="9"/>
      <c r="O39" s="9"/>
      <c r="P39" s="12">
        <f>SUM(F39:O39)</f>
        <v>0</v>
      </c>
      <c r="Q39" s="16"/>
    </row>
    <row r="40" spans="1:17" ht="13.5" customHeight="1">
      <c r="A40" s="63"/>
      <c r="B40" s="63"/>
      <c r="C40" s="15" t="s">
        <v>694</v>
      </c>
      <c r="D40" s="79"/>
      <c r="E40" s="493">
        <v>1</v>
      </c>
      <c r="F40" s="235">
        <v>-25</v>
      </c>
      <c r="G40" s="235">
        <v>32</v>
      </c>
      <c r="H40" s="235">
        <v>88</v>
      </c>
      <c r="I40" s="235"/>
      <c r="J40" s="235">
        <v>617</v>
      </c>
      <c r="K40" s="9"/>
      <c r="L40" s="9"/>
      <c r="M40" s="9"/>
      <c r="N40" s="9"/>
      <c r="O40" s="9"/>
      <c r="P40" s="12">
        <f>SUM(F40:O40)</f>
        <v>712</v>
      </c>
      <c r="Q40" s="16" t="s">
        <v>624</v>
      </c>
    </row>
    <row r="41" spans="1:17" ht="13.5" customHeight="1">
      <c r="A41" s="63"/>
      <c r="B41" s="63"/>
      <c r="C41" s="1246" t="s">
        <v>1061</v>
      </c>
      <c r="D41" s="79"/>
      <c r="E41" s="493">
        <v>1</v>
      </c>
      <c r="F41" s="235"/>
      <c r="G41" s="235"/>
      <c r="H41" s="235"/>
      <c r="I41" s="235"/>
      <c r="J41" s="235"/>
      <c r="K41" s="9"/>
      <c r="L41" s="9"/>
      <c r="M41" s="9"/>
      <c r="N41" s="9"/>
      <c r="O41" s="9"/>
      <c r="P41" s="12">
        <f>SUM(F41:O41)</f>
        <v>0</v>
      </c>
      <c r="Q41" s="16" t="s">
        <v>606</v>
      </c>
    </row>
    <row r="42" spans="1:17" ht="13.5" customHeight="1">
      <c r="A42" s="63"/>
      <c r="B42" s="63"/>
      <c r="C42" s="1214" t="s">
        <v>1561</v>
      </c>
      <c r="D42" s="1215"/>
      <c r="E42" s="493"/>
      <c r="F42" s="235"/>
      <c r="G42" s="235"/>
      <c r="H42" s="235"/>
      <c r="I42" s="235"/>
      <c r="J42" s="235"/>
      <c r="K42" s="9"/>
      <c r="L42" s="9"/>
      <c r="M42" s="9"/>
      <c r="N42" s="9"/>
      <c r="O42" s="9"/>
      <c r="P42" s="12"/>
      <c r="Q42" s="16"/>
    </row>
    <row r="43" spans="1:17" ht="13.5" customHeight="1">
      <c r="A43" s="63"/>
      <c r="B43" s="63"/>
      <c r="C43" s="1261" t="s">
        <v>1689</v>
      </c>
      <c r="D43" s="1262"/>
      <c r="E43" s="493">
        <v>1</v>
      </c>
      <c r="F43" s="235">
        <v>-8</v>
      </c>
      <c r="G43" s="235">
        <v>8</v>
      </c>
      <c r="H43" s="235">
        <v>-62</v>
      </c>
      <c r="I43" s="235"/>
      <c r="J43" s="235"/>
      <c r="K43" s="9"/>
      <c r="L43" s="9"/>
      <c r="M43" s="9"/>
      <c r="N43" s="9"/>
      <c r="O43" s="9"/>
      <c r="P43" s="12">
        <f>SUM(F43:O43)</f>
        <v>-62</v>
      </c>
      <c r="Q43" s="16" t="s">
        <v>606</v>
      </c>
    </row>
    <row r="44" spans="1:17" ht="13.5" customHeight="1">
      <c r="A44" s="63"/>
      <c r="B44" s="63"/>
      <c r="C44" s="15"/>
      <c r="D44" s="514"/>
      <c r="E44" s="493">
        <v>1</v>
      </c>
      <c r="F44" s="9"/>
      <c r="G44" s="9"/>
      <c r="H44" s="235"/>
      <c r="I44" s="235"/>
      <c r="J44" s="235"/>
      <c r="K44" s="9"/>
      <c r="L44" s="9"/>
      <c r="M44" s="9"/>
      <c r="N44" s="9"/>
      <c r="O44" s="9"/>
      <c r="P44" s="12"/>
      <c r="Q44" s="16"/>
    </row>
    <row r="45" spans="1:17" ht="13.5" customHeight="1">
      <c r="A45" s="68"/>
      <c r="B45" s="68"/>
      <c r="C45" s="517" t="s">
        <v>251</v>
      </c>
      <c r="D45" s="518"/>
      <c r="E45" s="68"/>
      <c r="F45" s="501">
        <f aca="true" t="shared" si="2" ref="F45:P45">SUM(F19:F44)</f>
        <v>-124</v>
      </c>
      <c r="G45" s="501">
        <f t="shared" si="2"/>
        <v>348</v>
      </c>
      <c r="H45" s="501">
        <f t="shared" si="2"/>
        <v>-532</v>
      </c>
      <c r="I45" s="501">
        <f t="shared" si="2"/>
        <v>18</v>
      </c>
      <c r="J45" s="501">
        <f t="shared" si="2"/>
        <v>1058</v>
      </c>
      <c r="K45" s="501">
        <f t="shared" si="2"/>
        <v>0</v>
      </c>
      <c r="L45" s="501">
        <f t="shared" si="2"/>
        <v>0</v>
      </c>
      <c r="M45" s="501">
        <f t="shared" si="2"/>
        <v>0</v>
      </c>
      <c r="N45" s="501">
        <f t="shared" si="2"/>
        <v>0</v>
      </c>
      <c r="O45" s="501">
        <f t="shared" si="2"/>
        <v>0</v>
      </c>
      <c r="P45" s="501">
        <f t="shared" si="2"/>
        <v>768</v>
      </c>
      <c r="Q45" s="501"/>
    </row>
    <row r="46" spans="1:17" ht="13.5" customHeight="1">
      <c r="A46" s="8"/>
      <c r="B46" s="8"/>
      <c r="C46" s="14" t="s">
        <v>1110</v>
      </c>
      <c r="D46" s="59"/>
      <c r="E46" s="78"/>
      <c r="F46" s="9"/>
      <c r="G46" s="9"/>
      <c r="H46" s="9"/>
      <c r="I46" s="9"/>
      <c r="J46" s="9"/>
      <c r="K46" s="235">
        <f>'[5]7'!J38</f>
        <v>-406</v>
      </c>
      <c r="L46" s="235"/>
      <c r="M46" s="235">
        <f>'[5]7'!K38</f>
        <v>100</v>
      </c>
      <c r="N46" s="235"/>
      <c r="O46" s="8"/>
      <c r="P46" s="12">
        <f>SUM(F46:O46)</f>
        <v>-306</v>
      </c>
      <c r="Q46" s="491"/>
    </row>
    <row r="47" spans="1:17" ht="13.5" customHeight="1">
      <c r="A47" s="8"/>
      <c r="B47" s="8"/>
      <c r="C47" s="14" t="s">
        <v>1874</v>
      </c>
      <c r="D47" s="59"/>
      <c r="E47" s="78"/>
      <c r="F47" s="9"/>
      <c r="G47" s="9"/>
      <c r="H47" s="9"/>
      <c r="I47" s="9"/>
      <c r="J47" s="9"/>
      <c r="K47" s="235"/>
      <c r="L47" s="235">
        <f>'[5]8'!J52</f>
        <v>1522</v>
      </c>
      <c r="M47" s="235">
        <f>'[5]8'!K52</f>
        <v>0</v>
      </c>
      <c r="N47" s="235"/>
      <c r="O47" s="8"/>
      <c r="P47" s="12">
        <f>SUM(F47:O47)</f>
        <v>1522</v>
      </c>
      <c r="Q47" s="491"/>
    </row>
    <row r="48" spans="1:17" ht="13.5" customHeight="1">
      <c r="A48" s="497"/>
      <c r="B48" s="497"/>
      <c r="C48" s="71" t="s">
        <v>252</v>
      </c>
      <c r="D48" s="499"/>
      <c r="E48" s="500"/>
      <c r="F48" s="501">
        <f aca="true" t="shared" si="3" ref="F48:P48">SUM(F45:F47)</f>
        <v>-124</v>
      </c>
      <c r="G48" s="501">
        <f t="shared" si="3"/>
        <v>348</v>
      </c>
      <c r="H48" s="501">
        <f t="shared" si="3"/>
        <v>-532</v>
      </c>
      <c r="I48" s="501">
        <f t="shared" si="3"/>
        <v>18</v>
      </c>
      <c r="J48" s="501">
        <f t="shared" si="3"/>
        <v>1058</v>
      </c>
      <c r="K48" s="501">
        <f t="shared" si="3"/>
        <v>-406</v>
      </c>
      <c r="L48" s="501">
        <f t="shared" si="3"/>
        <v>1522</v>
      </c>
      <c r="M48" s="501">
        <f t="shared" si="3"/>
        <v>100</v>
      </c>
      <c r="N48" s="501">
        <f t="shared" si="3"/>
        <v>0</v>
      </c>
      <c r="O48" s="501">
        <f t="shared" si="3"/>
        <v>0</v>
      </c>
      <c r="P48" s="501">
        <f t="shared" si="3"/>
        <v>1984</v>
      </c>
      <c r="Q48" s="502"/>
    </row>
    <row r="49" spans="1:17" ht="13.5" customHeight="1">
      <c r="A49" s="8">
        <v>1</v>
      </c>
      <c r="B49" s="8">
        <v>15</v>
      </c>
      <c r="C49" s="519" t="s">
        <v>1111</v>
      </c>
      <c r="D49" s="514"/>
      <c r="E49" s="63"/>
      <c r="F49" s="9"/>
      <c r="G49" s="9"/>
      <c r="H49" s="9"/>
      <c r="I49" s="9"/>
      <c r="J49" s="9"/>
      <c r="K49" s="520"/>
      <c r="L49" s="520"/>
      <c r="M49" s="520"/>
      <c r="N49" s="520"/>
      <c r="O49" s="9"/>
      <c r="P49" s="12"/>
      <c r="Q49" s="521"/>
    </row>
    <row r="50" spans="1:17" ht="13.5" customHeight="1">
      <c r="A50" s="8"/>
      <c r="B50" s="8"/>
      <c r="C50" s="766" t="s">
        <v>1423</v>
      </c>
      <c r="D50" s="727"/>
      <c r="E50" s="52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12"/>
      <c r="Q50" s="521"/>
    </row>
    <row r="51" spans="1:17" ht="23.25" customHeight="1">
      <c r="A51" s="8"/>
      <c r="B51" s="8"/>
      <c r="C51" s="1249" t="s">
        <v>727</v>
      </c>
      <c r="D51" s="1250"/>
      <c r="E51" s="63">
        <v>1</v>
      </c>
      <c r="F51" s="235"/>
      <c r="G51" s="235"/>
      <c r="H51" s="235">
        <v>-950</v>
      </c>
      <c r="I51" s="235">
        <v>950</v>
      </c>
      <c r="J51" s="235"/>
      <c r="K51" s="235"/>
      <c r="L51" s="235"/>
      <c r="M51" s="235"/>
      <c r="N51" s="235"/>
      <c r="O51" s="235"/>
      <c r="P51" s="12">
        <f>SUM(F51:O51)</f>
        <v>0</v>
      </c>
      <c r="Q51" s="521" t="s">
        <v>606</v>
      </c>
    </row>
    <row r="52" spans="1:17" ht="15" customHeight="1">
      <c r="A52" s="8"/>
      <c r="B52" s="8"/>
      <c r="C52" s="766" t="s">
        <v>1426</v>
      </c>
      <c r="D52" s="727"/>
      <c r="E52" s="63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12"/>
      <c r="Q52" s="521"/>
    </row>
    <row r="53" spans="1:17" ht="15" customHeight="1">
      <c r="A53" s="8"/>
      <c r="B53" s="8"/>
      <c r="C53" s="15" t="s">
        <v>583</v>
      </c>
      <c r="D53" s="79"/>
      <c r="E53" s="63">
        <v>1</v>
      </c>
      <c r="F53" s="235"/>
      <c r="G53" s="235"/>
      <c r="H53" s="235">
        <v>-191</v>
      </c>
      <c r="I53" s="235">
        <v>191</v>
      </c>
      <c r="J53" s="235"/>
      <c r="K53" s="235"/>
      <c r="L53" s="235"/>
      <c r="M53" s="235"/>
      <c r="N53" s="235"/>
      <c r="O53" s="235"/>
      <c r="P53" s="12">
        <f>SUM(F53:O53)</f>
        <v>0</v>
      </c>
      <c r="Q53" s="521" t="s">
        <v>606</v>
      </c>
    </row>
    <row r="54" spans="1:17" ht="15" customHeight="1">
      <c r="A54" s="8"/>
      <c r="B54" s="8"/>
      <c r="C54" s="15" t="s">
        <v>278</v>
      </c>
      <c r="D54" s="530"/>
      <c r="E54" s="63"/>
      <c r="F54" s="235"/>
      <c r="G54" s="235"/>
      <c r="H54" s="235">
        <v>150</v>
      </c>
      <c r="I54" s="235"/>
      <c r="J54" s="235"/>
      <c r="K54" s="235"/>
      <c r="L54" s="235"/>
      <c r="M54" s="235"/>
      <c r="N54" s="235"/>
      <c r="O54" s="235"/>
      <c r="P54" s="12">
        <f>SUM(F54:O54)</f>
        <v>150</v>
      </c>
      <c r="Q54" s="521" t="s">
        <v>606</v>
      </c>
    </row>
    <row r="55" spans="1:17" ht="15" customHeight="1">
      <c r="A55" s="8"/>
      <c r="B55" s="8"/>
      <c r="C55" s="1214" t="s">
        <v>1431</v>
      </c>
      <c r="D55" s="1215"/>
      <c r="E55" s="63">
        <v>1</v>
      </c>
      <c r="F55" s="235">
        <v>289</v>
      </c>
      <c r="G55" s="235">
        <v>100</v>
      </c>
      <c r="H55" s="235">
        <v>-299</v>
      </c>
      <c r="I55" s="235"/>
      <c r="J55" s="235"/>
      <c r="K55" s="235"/>
      <c r="L55" s="235"/>
      <c r="M55" s="235"/>
      <c r="N55" s="235"/>
      <c r="O55" s="235"/>
      <c r="P55" s="12">
        <f>SUM(F55:O55)</f>
        <v>90</v>
      </c>
      <c r="Q55" s="521" t="s">
        <v>606</v>
      </c>
    </row>
    <row r="56" spans="1:17" ht="15" customHeight="1">
      <c r="A56" s="8"/>
      <c r="B56" s="8"/>
      <c r="C56" s="1263" t="s">
        <v>1470</v>
      </c>
      <c r="D56" s="1264"/>
      <c r="E56" s="63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12"/>
      <c r="Q56" s="521"/>
    </row>
    <row r="57" spans="1:17" ht="24" customHeight="1">
      <c r="A57" s="8"/>
      <c r="B57" s="8"/>
      <c r="C57" s="1263" t="s">
        <v>279</v>
      </c>
      <c r="D57" s="1264"/>
      <c r="E57" s="63">
        <v>2</v>
      </c>
      <c r="F57" s="235"/>
      <c r="G57" s="235"/>
      <c r="H57" s="235">
        <v>11835</v>
      </c>
      <c r="I57" s="235"/>
      <c r="J57" s="235"/>
      <c r="K57" s="235"/>
      <c r="L57" s="235"/>
      <c r="M57" s="235"/>
      <c r="N57" s="235"/>
      <c r="O57" s="235"/>
      <c r="P57" s="12">
        <f>SUM(F57:O57)</f>
        <v>11835</v>
      </c>
      <c r="Q57" s="521" t="s">
        <v>606</v>
      </c>
    </row>
    <row r="58" spans="1:17" ht="18" customHeight="1">
      <c r="A58" s="8"/>
      <c r="B58" s="8"/>
      <c r="C58" s="766" t="s">
        <v>1428</v>
      </c>
      <c r="D58" s="727"/>
      <c r="E58" s="63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12"/>
      <c r="Q58" s="521"/>
    </row>
    <row r="59" spans="1:17" ht="15.75" customHeight="1">
      <c r="A59" s="8"/>
      <c r="B59" s="8"/>
      <c r="C59" s="15" t="s">
        <v>345</v>
      </c>
      <c r="D59" s="294"/>
      <c r="E59" s="63">
        <v>2</v>
      </c>
      <c r="F59" s="235"/>
      <c r="G59" s="235"/>
      <c r="H59" s="235">
        <v>175</v>
      </c>
      <c r="I59" s="235"/>
      <c r="J59" s="235"/>
      <c r="K59" s="235"/>
      <c r="L59" s="235"/>
      <c r="M59" s="235"/>
      <c r="N59" s="235"/>
      <c r="O59" s="235"/>
      <c r="P59" s="12">
        <f>SUM(F59:O59)</f>
        <v>175</v>
      </c>
      <c r="Q59" s="521" t="s">
        <v>606</v>
      </c>
    </row>
    <row r="60" spans="1:17" ht="13.5" customHeight="1">
      <c r="A60" s="497"/>
      <c r="B60" s="497"/>
      <c r="C60" s="71" t="s">
        <v>1118</v>
      </c>
      <c r="D60" s="499"/>
      <c r="E60" s="500"/>
      <c r="F60" s="501">
        <f aca="true" t="shared" si="4" ref="F60:P60">SUM(F50:F59)</f>
        <v>289</v>
      </c>
      <c r="G60" s="501">
        <f t="shared" si="4"/>
        <v>100</v>
      </c>
      <c r="H60" s="501">
        <f t="shared" si="4"/>
        <v>10720</v>
      </c>
      <c r="I60" s="501">
        <f t="shared" si="4"/>
        <v>1141</v>
      </c>
      <c r="J60" s="501">
        <f t="shared" si="4"/>
        <v>0</v>
      </c>
      <c r="K60" s="501">
        <f t="shared" si="4"/>
        <v>0</v>
      </c>
      <c r="L60" s="501">
        <f t="shared" si="4"/>
        <v>0</v>
      </c>
      <c r="M60" s="501">
        <f t="shared" si="4"/>
        <v>0</v>
      </c>
      <c r="N60" s="501">
        <f t="shared" si="4"/>
        <v>0</v>
      </c>
      <c r="O60" s="501">
        <f t="shared" si="4"/>
        <v>0</v>
      </c>
      <c r="P60" s="501">
        <f t="shared" si="4"/>
        <v>12250</v>
      </c>
      <c r="Q60" s="502"/>
    </row>
    <row r="61" spans="1:17" ht="13.5" customHeight="1">
      <c r="A61" s="8"/>
      <c r="B61" s="8"/>
      <c r="C61" s="14" t="s">
        <v>1119</v>
      </c>
      <c r="D61" s="514"/>
      <c r="E61" s="63"/>
      <c r="F61" s="9"/>
      <c r="G61" s="9"/>
      <c r="H61" s="9"/>
      <c r="I61" s="9"/>
      <c r="J61" s="9"/>
      <c r="K61" s="235">
        <f>'[5]7'!J135</f>
        <v>-3972</v>
      </c>
      <c r="L61" s="235"/>
      <c r="M61" s="235">
        <f>'[5]7'!K135</f>
        <v>0</v>
      </c>
      <c r="N61" s="235"/>
      <c r="O61" s="9"/>
      <c r="P61" s="12">
        <f>SUM(F61:O61)</f>
        <v>-3972</v>
      </c>
      <c r="Q61" s="521"/>
    </row>
    <row r="62" spans="1:17" ht="13.5" customHeight="1">
      <c r="A62" s="8"/>
      <c r="B62" s="8"/>
      <c r="C62" s="14" t="s">
        <v>1883</v>
      </c>
      <c r="D62" s="514"/>
      <c r="E62" s="63"/>
      <c r="F62" s="9"/>
      <c r="G62" s="9"/>
      <c r="H62" s="9"/>
      <c r="I62" s="9"/>
      <c r="J62" s="9"/>
      <c r="K62" s="235"/>
      <c r="L62" s="235">
        <f>'[5]8'!J178</f>
        <v>2221</v>
      </c>
      <c r="M62" s="235">
        <f>'[5]8'!K178</f>
        <v>0</v>
      </c>
      <c r="N62" s="235"/>
      <c r="O62" s="9"/>
      <c r="P62" s="12">
        <f>SUM(F62:O62)</f>
        <v>2221</v>
      </c>
      <c r="Q62" s="521"/>
    </row>
    <row r="63" spans="1:17" ht="13.5" customHeight="1">
      <c r="A63" s="233"/>
      <c r="B63" s="233"/>
      <c r="C63" s="71" t="s">
        <v>982</v>
      </c>
      <c r="D63" s="518"/>
      <c r="E63" s="68"/>
      <c r="F63" s="501">
        <f aca="true" t="shared" si="5" ref="F63:P63">SUM(F60:F62)</f>
        <v>289</v>
      </c>
      <c r="G63" s="501">
        <f t="shared" si="5"/>
        <v>100</v>
      </c>
      <c r="H63" s="501">
        <f t="shared" si="5"/>
        <v>10720</v>
      </c>
      <c r="I63" s="501">
        <f t="shared" si="5"/>
        <v>1141</v>
      </c>
      <c r="J63" s="501">
        <f t="shared" si="5"/>
        <v>0</v>
      </c>
      <c r="K63" s="501">
        <f t="shared" si="5"/>
        <v>-3972</v>
      </c>
      <c r="L63" s="501">
        <f t="shared" si="5"/>
        <v>2221</v>
      </c>
      <c r="M63" s="501">
        <f t="shared" si="5"/>
        <v>0</v>
      </c>
      <c r="N63" s="501">
        <f t="shared" si="5"/>
        <v>0</v>
      </c>
      <c r="O63" s="501">
        <f t="shared" si="5"/>
        <v>0</v>
      </c>
      <c r="P63" s="501">
        <f t="shared" si="5"/>
        <v>10499</v>
      </c>
      <c r="Q63" s="531"/>
    </row>
    <row r="64" spans="1:17" ht="13.5" customHeight="1">
      <c r="A64" s="8">
        <v>1</v>
      </c>
      <c r="B64" s="8">
        <v>16</v>
      </c>
      <c r="C64" s="519" t="s">
        <v>1493</v>
      </c>
      <c r="D64" s="532"/>
      <c r="E64" s="77"/>
      <c r="F64" s="9"/>
      <c r="G64" s="9"/>
      <c r="H64" s="9"/>
      <c r="I64" s="9"/>
      <c r="J64" s="9"/>
      <c r="K64" s="520"/>
      <c r="L64" s="520"/>
      <c r="M64" s="520"/>
      <c r="N64" s="520"/>
      <c r="O64" s="9"/>
      <c r="P64" s="12"/>
      <c r="Q64" s="533"/>
    </row>
    <row r="65" spans="1:17" ht="13.5" customHeight="1">
      <c r="A65" s="8"/>
      <c r="B65" s="8"/>
      <c r="C65" s="1485" t="s">
        <v>810</v>
      </c>
      <c r="D65" s="1486"/>
      <c r="E65" s="77"/>
      <c r="F65" s="9"/>
      <c r="G65" s="9"/>
      <c r="H65" s="9"/>
      <c r="I65" s="9"/>
      <c r="J65" s="9"/>
      <c r="K65" s="520"/>
      <c r="L65" s="520"/>
      <c r="M65" s="520"/>
      <c r="N65" s="520"/>
      <c r="O65" s="9"/>
      <c r="P65" s="12"/>
      <c r="Q65" s="533"/>
    </row>
    <row r="66" spans="1:17" ht="27.75" customHeight="1">
      <c r="A66" s="8"/>
      <c r="B66" s="8"/>
      <c r="C66" s="1501" t="s">
        <v>335</v>
      </c>
      <c r="D66" s="1502"/>
      <c r="E66" s="524">
        <v>2</v>
      </c>
      <c r="F66" s="9"/>
      <c r="G66" s="9"/>
      <c r="H66" s="235">
        <v>5461</v>
      </c>
      <c r="I66" s="235"/>
      <c r="J66" s="235"/>
      <c r="K66" s="235"/>
      <c r="L66" s="235"/>
      <c r="M66" s="235"/>
      <c r="N66" s="235"/>
      <c r="O66" s="235"/>
      <c r="P66" s="1205">
        <f>SUM(H66:O66)</f>
        <v>5461</v>
      </c>
      <c r="Q66" s="537" t="s">
        <v>606</v>
      </c>
    </row>
    <row r="67" spans="1:17" ht="16.5" customHeight="1">
      <c r="A67" s="8"/>
      <c r="B67" s="8"/>
      <c r="C67" s="1497" t="s">
        <v>336</v>
      </c>
      <c r="D67" s="1498"/>
      <c r="E67" s="524">
        <v>2</v>
      </c>
      <c r="F67" s="9"/>
      <c r="G67" s="9"/>
      <c r="H67" s="235">
        <v>9846</v>
      </c>
      <c r="I67" s="235"/>
      <c r="J67" s="235"/>
      <c r="K67" s="235"/>
      <c r="L67" s="235"/>
      <c r="M67" s="235"/>
      <c r="N67" s="235"/>
      <c r="O67" s="235"/>
      <c r="P67" s="1205">
        <f>SUM(H67:O67)</f>
        <v>9846</v>
      </c>
      <c r="Q67" s="537" t="s">
        <v>606</v>
      </c>
    </row>
    <row r="68" spans="1:17" ht="40.5" customHeight="1">
      <c r="A68" s="8"/>
      <c r="B68" s="8"/>
      <c r="C68" s="1577" t="s">
        <v>698</v>
      </c>
      <c r="D68" s="1578"/>
      <c r="E68" s="524">
        <v>2</v>
      </c>
      <c r="F68" s="9"/>
      <c r="G68" s="9"/>
      <c r="H68" s="235">
        <v>12192</v>
      </c>
      <c r="I68" s="235"/>
      <c r="J68" s="235"/>
      <c r="K68" s="235"/>
      <c r="L68" s="235"/>
      <c r="M68" s="235"/>
      <c r="N68" s="235"/>
      <c r="O68" s="235"/>
      <c r="P68" s="1205">
        <f>SUM(H68:O68)</f>
        <v>12192</v>
      </c>
      <c r="Q68" s="537" t="s">
        <v>606</v>
      </c>
    </row>
    <row r="69" spans="1:17" ht="42.75" customHeight="1">
      <c r="A69" s="8"/>
      <c r="B69" s="8"/>
      <c r="C69" s="1579" t="s">
        <v>699</v>
      </c>
      <c r="D69" s="1580"/>
      <c r="E69" s="524">
        <v>2</v>
      </c>
      <c r="F69" s="9"/>
      <c r="G69" s="9"/>
      <c r="H69" s="235">
        <v>12192</v>
      </c>
      <c r="I69" s="235"/>
      <c r="J69" s="235"/>
      <c r="K69" s="235"/>
      <c r="L69" s="235"/>
      <c r="M69" s="235"/>
      <c r="N69" s="235"/>
      <c r="O69" s="235"/>
      <c r="P69" s="1205">
        <f>SUM(H69:O69)</f>
        <v>12192</v>
      </c>
      <c r="Q69" s="537" t="s">
        <v>606</v>
      </c>
    </row>
    <row r="70" spans="1:17" ht="27.75" customHeight="1">
      <c r="A70" s="8"/>
      <c r="B70" s="8"/>
      <c r="C70" s="1497" t="s">
        <v>1069</v>
      </c>
      <c r="D70" s="1498"/>
      <c r="E70" s="524">
        <v>2</v>
      </c>
      <c r="F70" s="9"/>
      <c r="G70" s="9"/>
      <c r="H70" s="235">
        <v>5006</v>
      </c>
      <c r="I70" s="235"/>
      <c r="J70" s="235"/>
      <c r="K70" s="235"/>
      <c r="L70" s="235"/>
      <c r="M70" s="235"/>
      <c r="N70" s="235"/>
      <c r="O70" s="235"/>
      <c r="P70" s="1205">
        <f>SUM(H70:O70)</f>
        <v>5006</v>
      </c>
      <c r="Q70" s="537" t="s">
        <v>606</v>
      </c>
    </row>
    <row r="71" spans="1:17" ht="28.5" customHeight="1">
      <c r="A71" s="8"/>
      <c r="B71" s="8"/>
      <c r="C71" s="1493" t="s">
        <v>1425</v>
      </c>
      <c r="D71" s="1494"/>
      <c r="E71" s="524"/>
      <c r="F71" s="9"/>
      <c r="G71" s="9"/>
      <c r="H71" s="235"/>
      <c r="I71" s="235"/>
      <c r="J71" s="235"/>
      <c r="K71" s="235"/>
      <c r="L71" s="235"/>
      <c r="M71" s="235"/>
      <c r="N71" s="235"/>
      <c r="O71" s="235"/>
      <c r="P71" s="1205"/>
      <c r="Q71" s="537"/>
    </row>
    <row r="72" spans="1:17" ht="37.5" customHeight="1">
      <c r="A72" s="8"/>
      <c r="B72" s="8"/>
      <c r="C72" s="1497" t="s">
        <v>1071</v>
      </c>
      <c r="D72" s="1498"/>
      <c r="E72" s="524">
        <v>2</v>
      </c>
      <c r="F72" s="9"/>
      <c r="G72" s="9"/>
      <c r="H72" s="235">
        <v>6165</v>
      </c>
      <c r="I72" s="235"/>
      <c r="J72" s="235"/>
      <c r="K72" s="235"/>
      <c r="L72" s="235"/>
      <c r="M72" s="235"/>
      <c r="N72" s="235"/>
      <c r="O72" s="235"/>
      <c r="P72" s="1205">
        <f>SUM(H72:O72)</f>
        <v>6165</v>
      </c>
      <c r="Q72" s="537" t="s">
        <v>606</v>
      </c>
    </row>
    <row r="73" spans="1:17" ht="13.5" customHeight="1">
      <c r="A73" s="497"/>
      <c r="B73" s="497"/>
      <c r="C73" s="71" t="s">
        <v>1120</v>
      </c>
      <c r="D73" s="518"/>
      <c r="E73" s="68"/>
      <c r="F73" s="501"/>
      <c r="G73" s="501"/>
      <c r="H73" s="501">
        <f aca="true" t="shared" si="6" ref="H73:P73">SUM(H66:H72)</f>
        <v>50862</v>
      </c>
      <c r="I73" s="501">
        <f t="shared" si="6"/>
        <v>0</v>
      </c>
      <c r="J73" s="501">
        <f t="shared" si="6"/>
        <v>0</v>
      </c>
      <c r="K73" s="501">
        <f t="shared" si="6"/>
        <v>0</v>
      </c>
      <c r="L73" s="501">
        <f t="shared" si="6"/>
        <v>0</v>
      </c>
      <c r="M73" s="501">
        <f t="shared" si="6"/>
        <v>0</v>
      </c>
      <c r="N73" s="501">
        <f t="shared" si="6"/>
        <v>0</v>
      </c>
      <c r="O73" s="501">
        <f t="shared" si="6"/>
        <v>0</v>
      </c>
      <c r="P73" s="501">
        <f t="shared" si="6"/>
        <v>50862</v>
      </c>
      <c r="Q73" s="531"/>
    </row>
    <row r="74" spans="1:17" ht="13.5" customHeight="1">
      <c r="A74" s="9"/>
      <c r="B74" s="9"/>
      <c r="C74" s="14" t="s">
        <v>1121</v>
      </c>
      <c r="D74" s="532"/>
      <c r="E74" s="77"/>
      <c r="F74" s="9"/>
      <c r="G74" s="9"/>
      <c r="H74" s="9"/>
      <c r="I74" s="9"/>
      <c r="J74" s="9"/>
      <c r="K74" s="235">
        <f>'[5]7'!J248</f>
        <v>-48386</v>
      </c>
      <c r="L74" s="235"/>
      <c r="M74" s="235">
        <f>'[5]7'!K248</f>
        <v>0</v>
      </c>
      <c r="N74" s="235"/>
      <c r="O74" s="9"/>
      <c r="P74" s="12">
        <f>SUM(F74:O74)</f>
        <v>-48386</v>
      </c>
      <c r="Q74" s="533"/>
    </row>
    <row r="75" spans="1:17" ht="13.5" customHeight="1">
      <c r="A75" s="9"/>
      <c r="B75" s="9"/>
      <c r="C75" s="14" t="s">
        <v>1874</v>
      </c>
      <c r="D75" s="532"/>
      <c r="E75" s="77"/>
      <c r="F75" s="9"/>
      <c r="G75" s="9"/>
      <c r="H75" s="9"/>
      <c r="I75" s="9"/>
      <c r="J75" s="9"/>
      <c r="K75" s="235"/>
      <c r="L75" s="235">
        <f>'[5]8'!J203</f>
        <v>-221</v>
      </c>
      <c r="M75" s="235">
        <f>'[5]8'!K203</f>
        <v>0</v>
      </c>
      <c r="N75" s="235"/>
      <c r="O75" s="9"/>
      <c r="P75" s="12">
        <f>SUM(F75:O75)</f>
        <v>-221</v>
      </c>
      <c r="Q75" s="533"/>
    </row>
    <row r="76" spans="1:17" ht="13.5" customHeight="1">
      <c r="A76" s="233"/>
      <c r="B76" s="233"/>
      <c r="C76" s="71" t="s">
        <v>986</v>
      </c>
      <c r="D76" s="518"/>
      <c r="E76" s="68"/>
      <c r="F76" s="501">
        <f aca="true" t="shared" si="7" ref="F76:M76">SUM(F73:F75)</f>
        <v>0</v>
      </c>
      <c r="G76" s="501">
        <f t="shared" si="7"/>
        <v>0</v>
      </c>
      <c r="H76" s="501">
        <f t="shared" si="7"/>
        <v>50862</v>
      </c>
      <c r="I76" s="501">
        <f t="shared" si="7"/>
        <v>0</v>
      </c>
      <c r="J76" s="501">
        <f t="shared" si="7"/>
        <v>0</v>
      </c>
      <c r="K76" s="501">
        <f t="shared" si="7"/>
        <v>-48386</v>
      </c>
      <c r="L76" s="501">
        <f t="shared" si="7"/>
        <v>-221</v>
      </c>
      <c r="M76" s="501">
        <f t="shared" si="7"/>
        <v>0</v>
      </c>
      <c r="N76" s="501"/>
      <c r="O76" s="501">
        <f>SUM(O73:O75)</f>
        <v>0</v>
      </c>
      <c r="P76" s="501">
        <f>SUM(P73:P75)</f>
        <v>2255</v>
      </c>
      <c r="Q76" s="531"/>
    </row>
    <row r="77" spans="1:17" ht="13.5" customHeight="1">
      <c r="A77" s="8">
        <v>1</v>
      </c>
      <c r="B77" s="8">
        <v>17</v>
      </c>
      <c r="C77" s="519" t="s">
        <v>52</v>
      </c>
      <c r="D77" s="532"/>
      <c r="E77" s="77"/>
      <c r="F77" s="9"/>
      <c r="G77" s="9"/>
      <c r="H77" s="9"/>
      <c r="I77" s="9"/>
      <c r="J77" s="9"/>
      <c r="K77" s="520"/>
      <c r="L77" s="520"/>
      <c r="M77" s="520"/>
      <c r="N77" s="520"/>
      <c r="O77" s="9"/>
      <c r="P77" s="12"/>
      <c r="Q77" s="533"/>
    </row>
    <row r="78" spans="1:17" ht="15" customHeight="1">
      <c r="A78" s="8"/>
      <c r="B78" s="8"/>
      <c r="C78" s="1253" t="s">
        <v>1472</v>
      </c>
      <c r="D78" s="1389"/>
      <c r="E78" s="529"/>
      <c r="F78" s="9"/>
      <c r="G78" s="9"/>
      <c r="H78" s="9"/>
      <c r="I78" s="9"/>
      <c r="J78" s="9"/>
      <c r="K78" s="520"/>
      <c r="L78" s="520"/>
      <c r="M78" s="520"/>
      <c r="N78" s="520"/>
      <c r="O78" s="9"/>
      <c r="P78" s="12"/>
      <c r="Q78" s="533"/>
    </row>
    <row r="79" spans="1:17" ht="24" customHeight="1">
      <c r="A79" s="8"/>
      <c r="B79" s="8"/>
      <c r="C79" s="1212" t="s">
        <v>403</v>
      </c>
      <c r="D79" s="1213"/>
      <c r="E79" s="529">
        <v>1</v>
      </c>
      <c r="F79" s="9"/>
      <c r="G79" s="9"/>
      <c r="H79" s="235">
        <v>2400</v>
      </c>
      <c r="I79" s="9"/>
      <c r="J79" s="9"/>
      <c r="K79" s="520"/>
      <c r="L79" s="520"/>
      <c r="M79" s="520"/>
      <c r="N79" s="520"/>
      <c r="O79" s="9"/>
      <c r="P79" s="12">
        <f>SUM(H79:O79)</f>
        <v>2400</v>
      </c>
      <c r="Q79" s="521" t="s">
        <v>606</v>
      </c>
    </row>
    <row r="80" spans="1:17" ht="18" customHeight="1">
      <c r="A80" s="8"/>
      <c r="B80" s="8"/>
      <c r="C80" s="1263" t="s">
        <v>1487</v>
      </c>
      <c r="D80" s="1264"/>
      <c r="E80" s="529">
        <v>1</v>
      </c>
      <c r="F80" s="9"/>
      <c r="G80" s="9"/>
      <c r="H80" s="235">
        <v>50</v>
      </c>
      <c r="I80" s="9"/>
      <c r="J80" s="9"/>
      <c r="K80" s="520"/>
      <c r="L80" s="520"/>
      <c r="M80" s="520"/>
      <c r="N80" s="520"/>
      <c r="O80" s="9"/>
      <c r="P80" s="12">
        <f>SUM(H80:O80)</f>
        <v>50</v>
      </c>
      <c r="Q80" s="521" t="s">
        <v>606</v>
      </c>
    </row>
    <row r="81" spans="1:17" ht="15" customHeight="1">
      <c r="A81" s="8"/>
      <c r="B81" s="8"/>
      <c r="C81" s="1214" t="s">
        <v>915</v>
      </c>
      <c r="D81" s="1215"/>
      <c r="E81" s="529">
        <v>1</v>
      </c>
      <c r="F81" s="9"/>
      <c r="G81" s="9"/>
      <c r="H81" s="235">
        <v>-279</v>
      </c>
      <c r="I81" s="9"/>
      <c r="J81" s="9"/>
      <c r="K81" s="520"/>
      <c r="L81" s="520"/>
      <c r="M81" s="520"/>
      <c r="N81" s="520"/>
      <c r="O81" s="9"/>
      <c r="P81" s="12">
        <f>SUM(H81:O81)</f>
        <v>-279</v>
      </c>
      <c r="Q81" s="521" t="s">
        <v>606</v>
      </c>
    </row>
    <row r="82" spans="1:17" ht="13.5" customHeight="1">
      <c r="A82" s="497"/>
      <c r="B82" s="497"/>
      <c r="C82" s="71" t="s">
        <v>1125</v>
      </c>
      <c r="D82" s="518"/>
      <c r="E82" s="68"/>
      <c r="F82" s="501">
        <f aca="true" t="shared" si="8" ref="F82:P82">SUM(F79:F81)</f>
        <v>0</v>
      </c>
      <c r="G82" s="501">
        <f t="shared" si="8"/>
        <v>0</v>
      </c>
      <c r="H82" s="501">
        <f t="shared" si="8"/>
        <v>2171</v>
      </c>
      <c r="I82" s="501">
        <f t="shared" si="8"/>
        <v>0</v>
      </c>
      <c r="J82" s="501">
        <f t="shared" si="8"/>
        <v>0</v>
      </c>
      <c r="K82" s="501">
        <f t="shared" si="8"/>
        <v>0</v>
      </c>
      <c r="L82" s="501">
        <f t="shared" si="8"/>
        <v>0</v>
      </c>
      <c r="M82" s="501">
        <f t="shared" si="8"/>
        <v>0</v>
      </c>
      <c r="N82" s="501">
        <f t="shared" si="8"/>
        <v>0</v>
      </c>
      <c r="O82" s="501">
        <f t="shared" si="8"/>
        <v>0</v>
      </c>
      <c r="P82" s="501">
        <f t="shared" si="8"/>
        <v>2171</v>
      </c>
      <c r="Q82" s="531"/>
    </row>
    <row r="83" spans="1:17" ht="13.5" customHeight="1">
      <c r="A83" s="8"/>
      <c r="B83" s="8"/>
      <c r="C83" s="14" t="s">
        <v>1110</v>
      </c>
      <c r="D83" s="532"/>
      <c r="E83" s="77"/>
      <c r="F83" s="9"/>
      <c r="G83" s="9"/>
      <c r="H83" s="9"/>
      <c r="I83" s="9"/>
      <c r="J83" s="9"/>
      <c r="K83" s="520">
        <f>'[5]7'!J261</f>
        <v>1200</v>
      </c>
      <c r="L83" s="235"/>
      <c r="M83" s="235">
        <f>'[5]7'!K261</f>
        <v>0</v>
      </c>
      <c r="N83" s="235"/>
      <c r="O83" s="9"/>
      <c r="P83" s="12">
        <f>SUM(F83:O83)</f>
        <v>1200</v>
      </c>
      <c r="Q83" s="533"/>
    </row>
    <row r="84" spans="1:17" ht="13.5" customHeight="1">
      <c r="A84" s="8"/>
      <c r="B84" s="8"/>
      <c r="C84" s="14" t="s">
        <v>1883</v>
      </c>
      <c r="D84" s="532"/>
      <c r="E84" s="77"/>
      <c r="F84" s="9"/>
      <c r="G84" s="9"/>
      <c r="H84" s="9"/>
      <c r="I84" s="9"/>
      <c r="J84" s="9"/>
      <c r="K84" s="520"/>
      <c r="L84" s="235">
        <f>'[5]8'!J212</f>
        <v>0</v>
      </c>
      <c r="M84" s="235">
        <f>'[5]8'!K212</f>
        <v>0</v>
      </c>
      <c r="N84" s="235"/>
      <c r="O84" s="9"/>
      <c r="P84" s="12">
        <f>SUM(F84:O84)</f>
        <v>0</v>
      </c>
      <c r="Q84" s="533"/>
    </row>
    <row r="85" spans="1:17" ht="13.5" customHeight="1">
      <c r="A85" s="497"/>
      <c r="B85" s="497"/>
      <c r="C85" s="71" t="s">
        <v>1672</v>
      </c>
      <c r="D85" s="518"/>
      <c r="E85" s="68"/>
      <c r="F85" s="501">
        <f aca="true" t="shared" si="9" ref="F85:P85">SUM(F82:F84)</f>
        <v>0</v>
      </c>
      <c r="G85" s="501">
        <f t="shared" si="9"/>
        <v>0</v>
      </c>
      <c r="H85" s="501">
        <f t="shared" si="9"/>
        <v>2171</v>
      </c>
      <c r="I85" s="501">
        <f t="shared" si="9"/>
        <v>0</v>
      </c>
      <c r="J85" s="501">
        <f t="shared" si="9"/>
        <v>0</v>
      </c>
      <c r="K85" s="501">
        <f t="shared" si="9"/>
        <v>1200</v>
      </c>
      <c r="L85" s="501">
        <f t="shared" si="9"/>
        <v>0</v>
      </c>
      <c r="M85" s="501">
        <f t="shared" si="9"/>
        <v>0</v>
      </c>
      <c r="N85" s="501">
        <f t="shared" si="9"/>
        <v>0</v>
      </c>
      <c r="O85" s="501">
        <f t="shared" si="9"/>
        <v>0</v>
      </c>
      <c r="P85" s="501">
        <f t="shared" si="9"/>
        <v>3371</v>
      </c>
      <c r="Q85" s="531"/>
    </row>
    <row r="86" spans="1:17" ht="13.5" customHeight="1">
      <c r="A86" s="8">
        <v>1</v>
      </c>
      <c r="B86" s="8">
        <v>18</v>
      </c>
      <c r="C86" s="519" t="s">
        <v>357</v>
      </c>
      <c r="D86" s="532"/>
      <c r="E86" s="77"/>
      <c r="F86" s="9"/>
      <c r="G86" s="9"/>
      <c r="H86" s="9"/>
      <c r="I86" s="9"/>
      <c r="J86" s="9"/>
      <c r="K86" s="520"/>
      <c r="L86" s="520"/>
      <c r="M86" s="520"/>
      <c r="N86" s="520"/>
      <c r="O86" s="9"/>
      <c r="P86" s="12"/>
      <c r="Q86" s="533"/>
    </row>
    <row r="87" spans="1:17" ht="13.5" customHeight="1">
      <c r="A87" s="8"/>
      <c r="B87" s="8"/>
      <c r="C87" s="1493" t="s">
        <v>1565</v>
      </c>
      <c r="D87" s="1494"/>
      <c r="E87" s="77"/>
      <c r="F87" s="9"/>
      <c r="G87" s="9"/>
      <c r="H87" s="9"/>
      <c r="I87" s="9"/>
      <c r="J87" s="9"/>
      <c r="K87" s="520"/>
      <c r="L87" s="520"/>
      <c r="M87" s="520"/>
      <c r="N87" s="520"/>
      <c r="O87" s="9"/>
      <c r="P87" s="12"/>
      <c r="Q87" s="533"/>
    </row>
    <row r="88" spans="1:17" ht="13.5" customHeight="1">
      <c r="A88" s="8"/>
      <c r="B88" s="8"/>
      <c r="C88" s="1581" t="s">
        <v>1174</v>
      </c>
      <c r="D88" s="1582"/>
      <c r="E88" s="63">
        <v>2</v>
      </c>
      <c r="F88" s="9"/>
      <c r="G88" s="9"/>
      <c r="H88" s="235">
        <v>1265</v>
      </c>
      <c r="I88" s="9"/>
      <c r="J88" s="9"/>
      <c r="K88" s="520"/>
      <c r="L88" s="520"/>
      <c r="M88" s="520"/>
      <c r="N88" s="520"/>
      <c r="O88" s="9"/>
      <c r="P88" s="12">
        <v>1265</v>
      </c>
      <c r="Q88" s="521" t="s">
        <v>606</v>
      </c>
    </row>
    <row r="89" spans="1:17" ht="13.5" customHeight="1">
      <c r="A89" s="497"/>
      <c r="B89" s="497"/>
      <c r="C89" s="71" t="s">
        <v>1128</v>
      </c>
      <c r="D89" s="518"/>
      <c r="E89" s="68"/>
      <c r="F89" s="501"/>
      <c r="G89" s="501"/>
      <c r="H89" s="501">
        <f>SUM(H88:H88)</f>
        <v>1265</v>
      </c>
      <c r="I89" s="501"/>
      <c r="J89" s="501"/>
      <c r="K89" s="501"/>
      <c r="L89" s="501"/>
      <c r="M89" s="501"/>
      <c r="N89" s="501"/>
      <c r="O89" s="501"/>
      <c r="P89" s="501">
        <f>SUM(P88:P88)</f>
        <v>1265</v>
      </c>
      <c r="Q89" s="531"/>
    </row>
    <row r="90" spans="1:17" ht="13.5" customHeight="1">
      <c r="A90" s="8"/>
      <c r="B90" s="8"/>
      <c r="C90" s="14" t="s">
        <v>1110</v>
      </c>
      <c r="D90" s="532"/>
      <c r="E90" s="77"/>
      <c r="F90" s="9"/>
      <c r="G90" s="9"/>
      <c r="H90" s="9"/>
      <c r="I90" s="9"/>
      <c r="J90" s="9"/>
      <c r="K90" s="520">
        <f>'[5]7'!J264</f>
        <v>0</v>
      </c>
      <c r="L90" s="520"/>
      <c r="M90" s="520">
        <f>'[5]7'!K264</f>
        <v>0</v>
      </c>
      <c r="N90" s="520"/>
      <c r="O90" s="9"/>
      <c r="P90" s="12">
        <f>SUM(F90:O90)</f>
        <v>0</v>
      </c>
      <c r="Q90" s="533"/>
    </row>
    <row r="91" spans="1:17" ht="13.5" customHeight="1">
      <c r="A91" s="497"/>
      <c r="B91" s="497"/>
      <c r="C91" s="71" t="s">
        <v>935</v>
      </c>
      <c r="D91" s="518"/>
      <c r="E91" s="68"/>
      <c r="F91" s="501">
        <f aca="true" t="shared" si="10" ref="F91:P91">SUM(F89:F90)</f>
        <v>0</v>
      </c>
      <c r="G91" s="501">
        <f t="shared" si="10"/>
        <v>0</v>
      </c>
      <c r="H91" s="501">
        <f t="shared" si="10"/>
        <v>1265</v>
      </c>
      <c r="I91" s="501">
        <f t="shared" si="10"/>
        <v>0</v>
      </c>
      <c r="J91" s="501">
        <f t="shared" si="10"/>
        <v>0</v>
      </c>
      <c r="K91" s="501">
        <f t="shared" si="10"/>
        <v>0</v>
      </c>
      <c r="L91" s="501">
        <f t="shared" si="10"/>
        <v>0</v>
      </c>
      <c r="M91" s="501">
        <f t="shared" si="10"/>
        <v>0</v>
      </c>
      <c r="N91" s="501">
        <f t="shared" si="10"/>
        <v>0</v>
      </c>
      <c r="O91" s="501">
        <f t="shared" si="10"/>
        <v>0</v>
      </c>
      <c r="P91" s="501">
        <f t="shared" si="10"/>
        <v>1265</v>
      </c>
      <c r="Q91" s="531"/>
    </row>
    <row r="92" spans="1:17" ht="13.5" customHeight="1">
      <c r="A92" s="78">
        <v>1</v>
      </c>
      <c r="B92" s="78">
        <v>19</v>
      </c>
      <c r="C92" s="19" t="s">
        <v>893</v>
      </c>
      <c r="D92" s="522"/>
      <c r="E92" s="78"/>
      <c r="F92" s="9"/>
      <c r="G92" s="9"/>
      <c r="H92" s="9"/>
      <c r="I92" s="9"/>
      <c r="J92" s="9"/>
      <c r="K92" s="9"/>
      <c r="L92" s="9"/>
      <c r="M92" s="9"/>
      <c r="N92" s="9"/>
      <c r="O92" s="9"/>
      <c r="P92" s="12"/>
      <c r="Q92" s="491"/>
    </row>
    <row r="93" spans="1:17" ht="24.75" customHeight="1">
      <c r="A93" s="78"/>
      <c r="B93" s="78"/>
      <c r="C93" s="1358" t="s">
        <v>1553</v>
      </c>
      <c r="D93" s="1359"/>
      <c r="E93" s="536"/>
      <c r="F93" s="235"/>
      <c r="G93" s="235"/>
      <c r="H93" s="235"/>
      <c r="I93" s="235"/>
      <c r="J93" s="235"/>
      <c r="K93" s="235"/>
      <c r="L93" s="235"/>
      <c r="M93" s="235"/>
      <c r="N93" s="235"/>
      <c r="O93" s="235"/>
      <c r="P93" s="12"/>
      <c r="Q93" s="491"/>
    </row>
    <row r="94" spans="1:17" ht="13.5" customHeight="1">
      <c r="A94" s="78"/>
      <c r="B94" s="78"/>
      <c r="C94" s="15" t="s">
        <v>938</v>
      </c>
      <c r="D94" s="526"/>
      <c r="E94" s="525">
        <v>1</v>
      </c>
      <c r="F94" s="235"/>
      <c r="G94" s="235"/>
      <c r="H94" s="235">
        <v>341</v>
      </c>
      <c r="I94" s="235"/>
      <c r="J94" s="235"/>
      <c r="K94" s="235"/>
      <c r="L94" s="235"/>
      <c r="M94" s="235"/>
      <c r="N94" s="235"/>
      <c r="O94" s="235"/>
      <c r="P94" s="12">
        <f>SUM(F94:O94)</f>
        <v>341</v>
      </c>
      <c r="Q94" s="491" t="s">
        <v>606</v>
      </c>
    </row>
    <row r="95" spans="1:17" ht="13.5" customHeight="1">
      <c r="A95" s="500"/>
      <c r="B95" s="500"/>
      <c r="C95" s="71" t="s">
        <v>1135</v>
      </c>
      <c r="D95" s="499"/>
      <c r="E95" s="500"/>
      <c r="F95" s="501">
        <f aca="true" t="shared" si="11" ref="F95:P95">SUM(F93:F94)</f>
        <v>0</v>
      </c>
      <c r="G95" s="501">
        <f t="shared" si="11"/>
        <v>0</v>
      </c>
      <c r="H95" s="501">
        <f t="shared" si="11"/>
        <v>341</v>
      </c>
      <c r="I95" s="501">
        <f t="shared" si="11"/>
        <v>0</v>
      </c>
      <c r="J95" s="501">
        <f t="shared" si="11"/>
        <v>0</v>
      </c>
      <c r="K95" s="501">
        <f t="shared" si="11"/>
        <v>0</v>
      </c>
      <c r="L95" s="501">
        <f t="shared" si="11"/>
        <v>0</v>
      </c>
      <c r="M95" s="501">
        <f t="shared" si="11"/>
        <v>0</v>
      </c>
      <c r="N95" s="501">
        <f t="shared" si="11"/>
        <v>0</v>
      </c>
      <c r="O95" s="501">
        <f t="shared" si="11"/>
        <v>0</v>
      </c>
      <c r="P95" s="501">
        <f t="shared" si="11"/>
        <v>341</v>
      </c>
      <c r="Q95" s="502"/>
    </row>
    <row r="96" spans="1:17" ht="13.5" customHeight="1">
      <c r="A96" s="8"/>
      <c r="B96" s="8"/>
      <c r="C96" s="15" t="s">
        <v>1110</v>
      </c>
      <c r="D96" s="59"/>
      <c r="E96" s="78"/>
      <c r="F96" s="9"/>
      <c r="G96" s="9"/>
      <c r="H96" s="9"/>
      <c r="I96" s="9"/>
      <c r="J96" s="9"/>
      <c r="K96" s="520">
        <f>'[5]7'!J273</f>
        <v>0</v>
      </c>
      <c r="L96" s="520"/>
      <c r="M96" s="235">
        <f>'[5]7'!K273</f>
        <v>-4160</v>
      </c>
      <c r="N96" s="235"/>
      <c r="O96" s="9"/>
      <c r="P96" s="12">
        <f>SUM(F96:O96)</f>
        <v>-4160</v>
      </c>
      <c r="Q96" s="491"/>
    </row>
    <row r="97" spans="1:17" ht="13.5" customHeight="1">
      <c r="A97" s="8"/>
      <c r="B97" s="8"/>
      <c r="C97" s="15" t="s">
        <v>1883</v>
      </c>
      <c r="D97" s="59"/>
      <c r="E97" s="78"/>
      <c r="F97" s="9"/>
      <c r="G97" s="9"/>
      <c r="H97" s="9"/>
      <c r="I97" s="9"/>
      <c r="J97" s="9"/>
      <c r="K97" s="520"/>
      <c r="L97" s="520">
        <f>'[5]8'!K216</f>
        <v>0</v>
      </c>
      <c r="M97" s="235">
        <f>'[5]8'!K216</f>
        <v>0</v>
      </c>
      <c r="N97" s="235"/>
      <c r="O97" s="9"/>
      <c r="P97" s="12">
        <f>SUM(F97:O97)</f>
        <v>0</v>
      </c>
      <c r="Q97" s="491"/>
    </row>
    <row r="98" spans="1:17" ht="13.5" customHeight="1">
      <c r="A98" s="497"/>
      <c r="B98" s="497"/>
      <c r="C98" s="71" t="s">
        <v>895</v>
      </c>
      <c r="D98" s="499"/>
      <c r="E98" s="500"/>
      <c r="F98" s="501">
        <f aca="true" t="shared" si="12" ref="F98:P98">SUM(F95:F97)</f>
        <v>0</v>
      </c>
      <c r="G98" s="501">
        <f t="shared" si="12"/>
        <v>0</v>
      </c>
      <c r="H98" s="501">
        <f t="shared" si="12"/>
        <v>341</v>
      </c>
      <c r="I98" s="501">
        <f t="shared" si="12"/>
        <v>0</v>
      </c>
      <c r="J98" s="501">
        <f t="shared" si="12"/>
        <v>0</v>
      </c>
      <c r="K98" s="501">
        <f t="shared" si="12"/>
        <v>0</v>
      </c>
      <c r="L98" s="501">
        <f t="shared" si="12"/>
        <v>0</v>
      </c>
      <c r="M98" s="501">
        <f t="shared" si="12"/>
        <v>-4160</v>
      </c>
      <c r="N98" s="501">
        <f t="shared" si="12"/>
        <v>0</v>
      </c>
      <c r="O98" s="501">
        <f t="shared" si="12"/>
        <v>0</v>
      </c>
      <c r="P98" s="501">
        <f t="shared" si="12"/>
        <v>-3819</v>
      </c>
      <c r="Q98" s="502"/>
    </row>
    <row r="99" spans="1:17" ht="24.75" customHeight="1">
      <c r="A99" s="8">
        <v>1</v>
      </c>
      <c r="B99" s="8">
        <v>20</v>
      </c>
      <c r="C99" s="1209" t="s">
        <v>1553</v>
      </c>
      <c r="D99" s="1368"/>
      <c r="E99" s="63"/>
      <c r="F99" s="9"/>
      <c r="G99" s="9"/>
      <c r="H99" s="539"/>
      <c r="I99" s="539"/>
      <c r="J99" s="539"/>
      <c r="K99" s="539"/>
      <c r="L99" s="539"/>
      <c r="M99" s="539"/>
      <c r="N99" s="539"/>
      <c r="O99" s="539"/>
      <c r="P99" s="12">
        <f>SUM(F99:O99)</f>
        <v>0</v>
      </c>
      <c r="Q99" s="521"/>
    </row>
    <row r="100" spans="1:17" ht="13.5" customHeight="1">
      <c r="A100" s="497"/>
      <c r="B100" s="497"/>
      <c r="C100" s="71" t="s">
        <v>1886</v>
      </c>
      <c r="D100" s="499"/>
      <c r="E100" s="500">
        <v>1</v>
      </c>
      <c r="F100" s="501">
        <f>SUM(F99:F99)</f>
        <v>0</v>
      </c>
      <c r="G100" s="501">
        <f>SUM(G99:G99)</f>
        <v>0</v>
      </c>
      <c r="H100" s="501">
        <v>0</v>
      </c>
      <c r="I100" s="501">
        <f aca="true" t="shared" si="13" ref="I100:O100">SUM(I99:I99)</f>
        <v>0</v>
      </c>
      <c r="J100" s="501">
        <f t="shared" si="13"/>
        <v>0</v>
      </c>
      <c r="K100" s="501">
        <f t="shared" si="13"/>
        <v>0</v>
      </c>
      <c r="L100" s="501">
        <f t="shared" si="13"/>
        <v>0</v>
      </c>
      <c r="M100" s="501">
        <f t="shared" si="13"/>
        <v>0</v>
      </c>
      <c r="N100" s="501">
        <f t="shared" si="13"/>
        <v>0</v>
      </c>
      <c r="O100" s="501">
        <f t="shared" si="13"/>
        <v>0</v>
      </c>
      <c r="P100" s="501">
        <f>SUM(F100:O100)</f>
        <v>0</v>
      </c>
      <c r="Q100" s="502" t="s">
        <v>606</v>
      </c>
    </row>
    <row r="101" spans="1:17" ht="13.5" customHeight="1">
      <c r="A101" s="540">
        <v>1</v>
      </c>
      <c r="B101" s="540">
        <v>22</v>
      </c>
      <c r="C101" s="1333" t="s">
        <v>1090</v>
      </c>
      <c r="D101" s="1334"/>
      <c r="E101" s="541"/>
      <c r="F101" s="9"/>
      <c r="G101" s="9"/>
      <c r="H101" s="9"/>
      <c r="I101" s="9"/>
      <c r="J101" s="9"/>
      <c r="K101" s="520"/>
      <c r="L101" s="520"/>
      <c r="M101" s="520"/>
      <c r="N101" s="520"/>
      <c r="O101" s="9"/>
      <c r="P101" s="12"/>
      <c r="Q101" s="491"/>
    </row>
    <row r="102" spans="1:17" ht="13.5" customHeight="1">
      <c r="A102" s="540"/>
      <c r="B102" s="540"/>
      <c r="C102" s="64" t="s">
        <v>1426</v>
      </c>
      <c r="D102" s="137"/>
      <c r="E102" s="63"/>
      <c r="F102" s="235"/>
      <c r="G102" s="235"/>
      <c r="H102" s="235"/>
      <c r="I102" s="235"/>
      <c r="J102" s="235"/>
      <c r="K102" s="235"/>
      <c r="L102" s="235"/>
      <c r="M102" s="235"/>
      <c r="N102" s="235"/>
      <c r="O102" s="235"/>
      <c r="P102" s="12"/>
      <c r="Q102" s="521"/>
    </row>
    <row r="103" spans="1:17" ht="13.5" customHeight="1">
      <c r="A103" s="540"/>
      <c r="B103" s="540"/>
      <c r="C103" s="141" t="s">
        <v>924</v>
      </c>
      <c r="D103" s="545"/>
      <c r="E103" s="536">
        <v>2</v>
      </c>
      <c r="F103" s="235"/>
      <c r="G103" s="235"/>
      <c r="H103" s="235">
        <v>-308</v>
      </c>
      <c r="I103" s="235"/>
      <c r="J103" s="235"/>
      <c r="K103" s="235"/>
      <c r="L103" s="235"/>
      <c r="M103" s="235"/>
      <c r="N103" s="235"/>
      <c r="O103" s="235"/>
      <c r="P103" s="12">
        <f>SUM(F103:O103)</f>
        <v>-308</v>
      </c>
      <c r="Q103" s="521" t="s">
        <v>606</v>
      </c>
    </row>
    <row r="104" spans="1:17" ht="13.5" customHeight="1">
      <c r="A104" s="547"/>
      <c r="B104" s="547"/>
      <c r="C104" s="548" t="s">
        <v>1690</v>
      </c>
      <c r="D104" s="549"/>
      <c r="E104" s="443"/>
      <c r="F104" s="501">
        <f aca="true" t="shared" si="14" ref="F104:P104">SUM(F101:F103)</f>
        <v>0</v>
      </c>
      <c r="G104" s="501">
        <f t="shared" si="14"/>
        <v>0</v>
      </c>
      <c r="H104" s="501">
        <f t="shared" si="14"/>
        <v>-308</v>
      </c>
      <c r="I104" s="501">
        <f t="shared" si="14"/>
        <v>0</v>
      </c>
      <c r="J104" s="501">
        <f t="shared" si="14"/>
        <v>0</v>
      </c>
      <c r="K104" s="501">
        <f t="shared" si="14"/>
        <v>0</v>
      </c>
      <c r="L104" s="501">
        <f t="shared" si="14"/>
        <v>0</v>
      </c>
      <c r="M104" s="501">
        <f t="shared" si="14"/>
        <v>0</v>
      </c>
      <c r="N104" s="501">
        <f t="shared" si="14"/>
        <v>0</v>
      </c>
      <c r="O104" s="501">
        <f t="shared" si="14"/>
        <v>0</v>
      </c>
      <c r="P104" s="501">
        <f t="shared" si="14"/>
        <v>-308</v>
      </c>
      <c r="Q104" s="531"/>
    </row>
    <row r="105" spans="1:17" ht="13.5" customHeight="1">
      <c r="A105" s="8"/>
      <c r="B105" s="8"/>
      <c r="C105" s="15" t="s">
        <v>1110</v>
      </c>
      <c r="D105" s="59"/>
      <c r="E105" s="78"/>
      <c r="F105" s="9"/>
      <c r="G105" s="9"/>
      <c r="H105" s="9"/>
      <c r="I105" s="9"/>
      <c r="J105" s="9"/>
      <c r="K105" s="235">
        <f>'[5]7'!J279</f>
        <v>288</v>
      </c>
      <c r="L105" s="235"/>
      <c r="M105" s="235">
        <f>'[5]7'!K279</f>
        <v>20</v>
      </c>
      <c r="N105" s="235"/>
      <c r="O105" s="9"/>
      <c r="P105" s="12">
        <f>SUM(F105:O105)</f>
        <v>308</v>
      </c>
      <c r="Q105" s="491" t="s">
        <v>606</v>
      </c>
    </row>
    <row r="106" spans="1:17" ht="13.5" customHeight="1">
      <c r="A106" s="497"/>
      <c r="B106" s="497"/>
      <c r="C106" s="71" t="s">
        <v>1092</v>
      </c>
      <c r="D106" s="499"/>
      <c r="E106" s="500"/>
      <c r="F106" s="501">
        <f aca="true" t="shared" si="15" ref="F106:P106">SUM(F104:F105)</f>
        <v>0</v>
      </c>
      <c r="G106" s="501">
        <f t="shared" si="15"/>
        <v>0</v>
      </c>
      <c r="H106" s="501">
        <f t="shared" si="15"/>
        <v>-308</v>
      </c>
      <c r="I106" s="501">
        <f t="shared" si="15"/>
        <v>0</v>
      </c>
      <c r="J106" s="501">
        <f t="shared" si="15"/>
        <v>0</v>
      </c>
      <c r="K106" s="501">
        <f t="shared" si="15"/>
        <v>288</v>
      </c>
      <c r="L106" s="501">
        <f t="shared" si="15"/>
        <v>0</v>
      </c>
      <c r="M106" s="501">
        <f t="shared" si="15"/>
        <v>20</v>
      </c>
      <c r="N106" s="501">
        <f t="shared" si="15"/>
        <v>0</v>
      </c>
      <c r="O106" s="501">
        <f t="shared" si="15"/>
        <v>0</v>
      </c>
      <c r="P106" s="501">
        <f t="shared" si="15"/>
        <v>0</v>
      </c>
      <c r="Q106" s="502"/>
    </row>
    <row r="107" spans="1:17" ht="13.5" customHeight="1">
      <c r="A107" s="78">
        <v>1</v>
      </c>
      <c r="B107" s="78">
        <v>30</v>
      </c>
      <c r="C107" s="19" t="s">
        <v>1137</v>
      </c>
      <c r="D107" s="522"/>
      <c r="E107" s="78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2"/>
      <c r="Q107" s="491"/>
    </row>
    <row r="108" spans="1:17" ht="13.5" customHeight="1">
      <c r="A108" s="78"/>
      <c r="B108" s="84">
        <v>31</v>
      </c>
      <c r="C108" s="19" t="s">
        <v>1692</v>
      </c>
      <c r="D108" s="18"/>
      <c r="E108" s="78">
        <v>1</v>
      </c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2"/>
      <c r="Q108" s="491"/>
    </row>
    <row r="109" spans="1:17" ht="13.5" customHeight="1">
      <c r="A109" s="78"/>
      <c r="B109" s="78">
        <v>32</v>
      </c>
      <c r="C109" s="19" t="s">
        <v>1138</v>
      </c>
      <c r="D109" s="522"/>
      <c r="E109" s="78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2"/>
      <c r="Q109" s="491"/>
    </row>
    <row r="110" spans="1:17" ht="12.75" customHeight="1">
      <c r="A110" s="78"/>
      <c r="B110" s="78"/>
      <c r="C110" s="1214" t="s">
        <v>1139</v>
      </c>
      <c r="D110" s="1215"/>
      <c r="E110" s="78">
        <v>1</v>
      </c>
      <c r="F110" s="16"/>
      <c r="G110" s="16"/>
      <c r="H110" s="16"/>
      <c r="I110" s="16"/>
      <c r="J110" s="16">
        <v>-2902</v>
      </c>
      <c r="K110" s="16"/>
      <c r="L110" s="16"/>
      <c r="M110" s="16"/>
      <c r="N110" s="16"/>
      <c r="O110" s="16"/>
      <c r="P110" s="12">
        <f>SUM(F110:O110)</f>
        <v>-2902</v>
      </c>
      <c r="Q110" s="491" t="s">
        <v>606</v>
      </c>
    </row>
    <row r="111" spans="1:17" ht="12.75" customHeight="1">
      <c r="A111" s="78"/>
      <c r="B111" s="78"/>
      <c r="C111" s="732" t="s">
        <v>1421</v>
      </c>
      <c r="D111" s="733"/>
      <c r="E111" s="536">
        <v>1</v>
      </c>
      <c r="F111" s="16"/>
      <c r="G111" s="16"/>
      <c r="H111" s="16"/>
      <c r="I111" s="16"/>
      <c r="J111" s="16">
        <v>-25000</v>
      </c>
      <c r="K111" s="16"/>
      <c r="L111" s="16"/>
      <c r="M111" s="16"/>
      <c r="N111" s="16"/>
      <c r="O111" s="16"/>
      <c r="P111" s="12">
        <f>SUM(F111:O111)</f>
        <v>-25000</v>
      </c>
      <c r="Q111" s="491" t="s">
        <v>606</v>
      </c>
    </row>
    <row r="112" spans="1:17" ht="24.75" customHeight="1">
      <c r="A112" s="78"/>
      <c r="B112" s="78"/>
      <c r="C112" s="1263" t="s">
        <v>337</v>
      </c>
      <c r="D112" s="1363"/>
      <c r="E112" s="536">
        <v>1</v>
      </c>
      <c r="F112" s="16"/>
      <c r="G112" s="16"/>
      <c r="H112" s="16"/>
      <c r="I112" s="16"/>
      <c r="J112" s="16">
        <v>800000</v>
      </c>
      <c r="K112" s="16"/>
      <c r="L112" s="16"/>
      <c r="M112" s="16"/>
      <c r="N112" s="16"/>
      <c r="O112" s="16"/>
      <c r="P112" s="12">
        <f>SUM(F112:O112)</f>
        <v>800000</v>
      </c>
      <c r="Q112" s="491" t="s">
        <v>606</v>
      </c>
    </row>
    <row r="113" spans="1:17" ht="12.75" customHeight="1">
      <c r="A113" s="78" t="s">
        <v>1080</v>
      </c>
      <c r="B113" s="78"/>
      <c r="C113" s="139" t="s">
        <v>427</v>
      </c>
      <c r="D113" s="522"/>
      <c r="E113" s="78"/>
      <c r="F113" s="16"/>
      <c r="G113" s="16"/>
      <c r="H113" s="16"/>
      <c r="I113" s="16"/>
      <c r="J113" s="16"/>
      <c r="K113" s="16">
        <f>'[5]7'!J282</f>
        <v>4160</v>
      </c>
      <c r="L113" s="16">
        <f>'[5]8'!J219</f>
        <v>-1522</v>
      </c>
      <c r="M113" s="16"/>
      <c r="N113" s="16"/>
      <c r="O113" s="16"/>
      <c r="P113" s="12">
        <f>SUM(K113:O113)</f>
        <v>2638</v>
      </c>
      <c r="Q113" s="491"/>
    </row>
    <row r="114" spans="1:17" ht="13.5" customHeight="1">
      <c r="A114" s="68"/>
      <c r="B114" s="68"/>
      <c r="C114" s="71" t="s">
        <v>428</v>
      </c>
      <c r="D114" s="553"/>
      <c r="E114" s="68"/>
      <c r="F114" s="76">
        <f aca="true" t="shared" si="16" ref="F114:P114">SUM(F107:F113)</f>
        <v>0</v>
      </c>
      <c r="G114" s="76">
        <f t="shared" si="16"/>
        <v>0</v>
      </c>
      <c r="H114" s="76">
        <f t="shared" si="16"/>
        <v>0</v>
      </c>
      <c r="I114" s="76">
        <f t="shared" si="16"/>
        <v>0</v>
      </c>
      <c r="J114" s="76">
        <f t="shared" si="16"/>
        <v>772098</v>
      </c>
      <c r="K114" s="76">
        <f t="shared" si="16"/>
        <v>4160</v>
      </c>
      <c r="L114" s="76">
        <f t="shared" si="16"/>
        <v>-1522</v>
      </c>
      <c r="M114" s="76">
        <f t="shared" si="16"/>
        <v>0</v>
      </c>
      <c r="N114" s="76">
        <f t="shared" si="16"/>
        <v>0</v>
      </c>
      <c r="O114" s="76">
        <f t="shared" si="16"/>
        <v>0</v>
      </c>
      <c r="P114" s="76">
        <f t="shared" si="16"/>
        <v>774736</v>
      </c>
      <c r="Q114" s="502"/>
    </row>
    <row r="115" spans="1:17" ht="25.5" customHeight="1">
      <c r="A115" s="68"/>
      <c r="B115" s="68"/>
      <c r="C115" s="1317" t="s">
        <v>602</v>
      </c>
      <c r="D115" s="1330"/>
      <c r="E115" s="554"/>
      <c r="F115" s="76">
        <f aca="true" t="shared" si="17" ref="F115:P115">SUM(F16+F48+F63+F76+F85+F91+F98+F100+F106+F114)</f>
        <v>198</v>
      </c>
      <c r="G115" s="76">
        <f t="shared" si="17"/>
        <v>469</v>
      </c>
      <c r="H115" s="76">
        <f t="shared" si="17"/>
        <v>63815</v>
      </c>
      <c r="I115" s="76">
        <f t="shared" si="17"/>
        <v>1159</v>
      </c>
      <c r="J115" s="76">
        <f t="shared" si="17"/>
        <v>773156</v>
      </c>
      <c r="K115" s="76">
        <f t="shared" si="17"/>
        <v>-47116</v>
      </c>
      <c r="L115" s="76">
        <f t="shared" si="17"/>
        <v>2000</v>
      </c>
      <c r="M115" s="76">
        <f t="shared" si="17"/>
        <v>-4040</v>
      </c>
      <c r="N115" s="76">
        <f t="shared" si="17"/>
        <v>0</v>
      </c>
      <c r="O115" s="76">
        <f t="shared" si="17"/>
        <v>0</v>
      </c>
      <c r="P115" s="76">
        <f t="shared" si="17"/>
        <v>789641</v>
      </c>
      <c r="Q115" s="76"/>
    </row>
    <row r="116" spans="1:17" ht="12.75" customHeight="1">
      <c r="A116" s="63">
        <v>2</v>
      </c>
      <c r="B116" s="63"/>
      <c r="C116" s="180" t="s">
        <v>398</v>
      </c>
      <c r="D116" s="67"/>
      <c r="E116" s="63"/>
      <c r="F116" s="13">
        <f>'[5]táj.2.'!C20</f>
        <v>-3500</v>
      </c>
      <c r="G116" s="13">
        <f>'[5]táj.2.'!D20</f>
        <v>-180</v>
      </c>
      <c r="H116" s="13">
        <f>'[5]táj.2.'!E20</f>
        <v>8306</v>
      </c>
      <c r="I116" s="13">
        <f>'[5]táj.2.'!F20</f>
        <v>0</v>
      </c>
      <c r="J116" s="13">
        <f>'[5]táj.2.'!G20</f>
        <v>582</v>
      </c>
      <c r="K116" s="13">
        <f>'[5]táj.2.'!H20</f>
        <v>3200</v>
      </c>
      <c r="L116" s="13">
        <f>'[5]táj.2.'!I20</f>
        <v>0</v>
      </c>
      <c r="M116" s="13">
        <f>'[5]táj.2.'!J20</f>
        <v>0</v>
      </c>
      <c r="N116" s="13"/>
      <c r="O116" s="13"/>
      <c r="P116" s="12">
        <f>SUM(F116:O116)</f>
        <v>8408</v>
      </c>
      <c r="Q116" s="70"/>
    </row>
    <row r="117" spans="1:17" ht="12.75" customHeight="1">
      <c r="A117" s="68"/>
      <c r="B117" s="68"/>
      <c r="C117" s="49" t="s">
        <v>376</v>
      </c>
      <c r="D117" s="553"/>
      <c r="E117" s="68"/>
      <c r="F117" s="76">
        <f aca="true" t="shared" si="18" ref="F117:P117">SUM(F115:F116)</f>
        <v>-3302</v>
      </c>
      <c r="G117" s="76">
        <f t="shared" si="18"/>
        <v>289</v>
      </c>
      <c r="H117" s="76">
        <f t="shared" si="18"/>
        <v>72121</v>
      </c>
      <c r="I117" s="76">
        <f t="shared" si="18"/>
        <v>1159</v>
      </c>
      <c r="J117" s="76">
        <f t="shared" si="18"/>
        <v>773738</v>
      </c>
      <c r="K117" s="76">
        <f t="shared" si="18"/>
        <v>-43916</v>
      </c>
      <c r="L117" s="76">
        <f t="shared" si="18"/>
        <v>2000</v>
      </c>
      <c r="M117" s="76">
        <f t="shared" si="18"/>
        <v>-4040</v>
      </c>
      <c r="N117" s="76">
        <f t="shared" si="18"/>
        <v>0</v>
      </c>
      <c r="O117" s="76">
        <f t="shared" si="18"/>
        <v>0</v>
      </c>
      <c r="P117" s="76">
        <f t="shared" si="18"/>
        <v>798049</v>
      </c>
      <c r="Q117" s="76"/>
    </row>
    <row r="118" spans="3:5" ht="12.75">
      <c r="C118" s="1331"/>
      <c r="D118" s="1332"/>
      <c r="E118" s="555"/>
    </row>
  </sheetData>
  <sheetProtection/>
  <mergeCells count="59">
    <mergeCell ref="C93:D93"/>
    <mergeCell ref="C87:D87"/>
    <mergeCell ref="C88:D88"/>
    <mergeCell ref="C68:D68"/>
    <mergeCell ref="C70:D70"/>
    <mergeCell ref="C80:D80"/>
    <mergeCell ref="C81:D81"/>
    <mergeCell ref="C79:D79"/>
    <mergeCell ref="C65:D65"/>
    <mergeCell ref="C78:D78"/>
    <mergeCell ref="C72:D72"/>
    <mergeCell ref="C67:D67"/>
    <mergeCell ref="C69:D69"/>
    <mergeCell ref="C71:D71"/>
    <mergeCell ref="C66:D66"/>
    <mergeCell ref="C58:D58"/>
    <mergeCell ref="C51:D51"/>
    <mergeCell ref="C50:D50"/>
    <mergeCell ref="C34:D34"/>
    <mergeCell ref="C35:D35"/>
    <mergeCell ref="C39:D39"/>
    <mergeCell ref="C55:D55"/>
    <mergeCell ref="C57:D57"/>
    <mergeCell ref="C56:D56"/>
    <mergeCell ref="C42:D42"/>
    <mergeCell ref="C32:D32"/>
    <mergeCell ref="C37:D37"/>
    <mergeCell ref="C12:D12"/>
    <mergeCell ref="C52:D52"/>
    <mergeCell ref="C31:D31"/>
    <mergeCell ref="C30:D30"/>
    <mergeCell ref="C29:D29"/>
    <mergeCell ref="C43:D43"/>
    <mergeCell ref="C23:D23"/>
    <mergeCell ref="C27:D27"/>
    <mergeCell ref="C22:D22"/>
    <mergeCell ref="C9:D9"/>
    <mergeCell ref="C11:D11"/>
    <mergeCell ref="A1:A2"/>
    <mergeCell ref="B1:B2"/>
    <mergeCell ref="C1:D2"/>
    <mergeCell ref="C5:D5"/>
    <mergeCell ref="C20:D20"/>
    <mergeCell ref="C110:D110"/>
    <mergeCell ref="C118:D118"/>
    <mergeCell ref="C101:D101"/>
    <mergeCell ref="C111:D111"/>
    <mergeCell ref="C112:D112"/>
    <mergeCell ref="C115:D115"/>
    <mergeCell ref="C99:D99"/>
    <mergeCell ref="C25:D25"/>
    <mergeCell ref="C28:D28"/>
    <mergeCell ref="Q1:Q2"/>
    <mergeCell ref="P1:P2"/>
    <mergeCell ref="E1:E2"/>
    <mergeCell ref="F1:M1"/>
    <mergeCell ref="N1:O1"/>
    <mergeCell ref="C7:D7"/>
    <mergeCell ref="C21:D21"/>
  </mergeCells>
  <printOptions horizontalCentered="1" verticalCentered="1"/>
  <pageMargins left="0" right="0.2362204724409449" top="0.6692913385826772" bottom="1.1811023622047245" header="0.11811023622047245" footer="0.7086614173228347"/>
  <pageSetup horizontalDpi="300" verticalDpi="300" orientation="landscape" paperSize="9" scale="90" r:id="rId1"/>
  <headerFooter alignWithMargins="0">
    <oddHeader>&amp;CZALAEGERSZEG MEGYEI JOGÚ VÁROS ÖNKORMÁNYZATA
2014. ÉVI KIADÁSI ELŐIRÁNYZATAINAK MÓDOSÍTÁSA 
&amp;R&amp;"Times New Roman CE,Félkövér dőlt"6.a  melléklet mód.
Adatok: ezer Ft-ban</oddHeader>
    <oddFooter>&amp;L* kgy= közgyűlési hatáskörben           
   pm= polgármesteri hatáskörben
   biz = bizottsági hatáskörben&amp;C&amp;P. oldal&amp;RFeladat jellege:
1 =    kötelező
2=önként vállalt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O308"/>
  <sheetViews>
    <sheetView workbookViewId="0" topLeftCell="A1">
      <pane ySplit="3" topLeftCell="BM257" activePane="bottomLeft" state="frozen"/>
      <selection pane="topLeft" activeCell="A1" sqref="A1"/>
      <selection pane="bottomLeft" activeCell="G259" sqref="G259:O259"/>
    </sheetView>
  </sheetViews>
  <sheetFormatPr defaultColWidth="9.00390625" defaultRowHeight="12.75"/>
  <cols>
    <col min="1" max="1" width="4.625" style="307" customWidth="1"/>
    <col min="2" max="2" width="4.375" style="307" customWidth="1"/>
    <col min="3" max="3" width="6.625" style="307" customWidth="1"/>
    <col min="4" max="4" width="64.375" style="307" customWidth="1"/>
    <col min="5" max="5" width="4.50390625" style="307" customWidth="1"/>
    <col min="6" max="6" width="5.00390625" style="307" customWidth="1"/>
    <col min="7" max="7" width="12.50390625" style="307" customWidth="1"/>
    <col min="8" max="8" width="10.875" style="307" customWidth="1"/>
    <col min="9" max="9" width="12.50390625" style="307" customWidth="1"/>
    <col min="10" max="10" width="11.125" style="307" customWidth="1"/>
    <col min="11" max="11" width="11.625" style="307" customWidth="1"/>
    <col min="12" max="12" width="12.375" style="307" customWidth="1"/>
    <col min="13" max="13" width="12.50390625" style="307" customWidth="1"/>
    <col min="14" max="14" width="14.50390625" style="307" customWidth="1"/>
    <col min="15" max="15" width="13.00390625" style="307" customWidth="1"/>
    <col min="16" max="16384" width="9.375" style="307" customWidth="1"/>
  </cols>
  <sheetData>
    <row r="1" spans="1:15" ht="37.5" customHeight="1">
      <c r="A1" s="1521" t="s">
        <v>600</v>
      </c>
      <c r="B1" s="1523" t="s">
        <v>601</v>
      </c>
      <c r="C1" s="1523" t="s">
        <v>997</v>
      </c>
      <c r="D1" s="1508" t="s">
        <v>1494</v>
      </c>
      <c r="E1" s="1509"/>
      <c r="F1" s="1519" t="s">
        <v>605</v>
      </c>
      <c r="G1" s="1512" t="s">
        <v>320</v>
      </c>
      <c r="H1" s="1513"/>
      <c r="I1" s="1514"/>
      <c r="J1" s="1515" t="s">
        <v>321</v>
      </c>
      <c r="K1" s="1515"/>
      <c r="L1" s="1515"/>
      <c r="M1" s="1516" t="s">
        <v>1005</v>
      </c>
      <c r="N1" s="1517"/>
      <c r="O1" s="1518"/>
    </row>
    <row r="2" spans="1:15" ht="95.25" thickBot="1">
      <c r="A2" s="1522"/>
      <c r="B2" s="1524"/>
      <c r="C2" s="1524"/>
      <c r="D2" s="1510"/>
      <c r="E2" s="1511"/>
      <c r="F2" s="1520"/>
      <c r="G2" s="847" t="s">
        <v>1495</v>
      </c>
      <c r="H2" s="848" t="s">
        <v>827</v>
      </c>
      <c r="I2" s="847" t="s">
        <v>422</v>
      </c>
      <c r="J2" s="847" t="s">
        <v>1495</v>
      </c>
      <c r="K2" s="848" t="s">
        <v>827</v>
      </c>
      <c r="L2" s="847" t="s">
        <v>422</v>
      </c>
      <c r="M2" s="847" t="s">
        <v>1495</v>
      </c>
      <c r="N2" s="848" t="s">
        <v>827</v>
      </c>
      <c r="O2" s="847" t="s">
        <v>422</v>
      </c>
    </row>
    <row r="3" spans="1:15" ht="13.5" customHeight="1">
      <c r="A3" s="849">
        <v>1</v>
      </c>
      <c r="B3" s="850"/>
      <c r="C3" s="850"/>
      <c r="D3" s="851" t="s">
        <v>396</v>
      </c>
      <c r="E3" s="852"/>
      <c r="F3" s="852"/>
      <c r="G3" s="853"/>
      <c r="H3" s="853"/>
      <c r="I3" s="853"/>
      <c r="J3" s="854"/>
      <c r="K3" s="854"/>
      <c r="L3" s="854"/>
      <c r="M3" s="854"/>
      <c r="N3" s="854"/>
      <c r="O3" s="854"/>
    </row>
    <row r="4" spans="1:15" ht="13.5" customHeight="1">
      <c r="A4" s="855">
        <v>1</v>
      </c>
      <c r="B4" s="855">
        <v>12</v>
      </c>
      <c r="C4" s="856"/>
      <c r="D4" s="857" t="s">
        <v>249</v>
      </c>
      <c r="E4" s="858"/>
      <c r="F4" s="858"/>
      <c r="G4" s="853"/>
      <c r="H4" s="853"/>
      <c r="I4" s="853"/>
      <c r="J4" s="854"/>
      <c r="K4" s="854"/>
      <c r="L4" s="854"/>
      <c r="M4" s="854"/>
      <c r="N4" s="854"/>
      <c r="O4" s="854"/>
    </row>
    <row r="5" spans="1:15" ht="24.75" customHeight="1">
      <c r="A5" s="849"/>
      <c r="B5" s="859"/>
      <c r="C5" s="849" t="s">
        <v>902</v>
      </c>
      <c r="D5" s="860" t="s">
        <v>1633</v>
      </c>
      <c r="E5" s="861"/>
      <c r="F5" s="862" t="s">
        <v>606</v>
      </c>
      <c r="G5" s="854">
        <v>0</v>
      </c>
      <c r="H5" s="877">
        <v>13205</v>
      </c>
      <c r="I5" s="864">
        <v>13205</v>
      </c>
      <c r="J5" s="863"/>
      <c r="K5" s="863">
        <v>-200</v>
      </c>
      <c r="L5" s="863">
        <f>SUM(J5:K5)</f>
        <v>-200</v>
      </c>
      <c r="M5" s="863">
        <f>SUM(G5+J5)</f>
        <v>0</v>
      </c>
      <c r="N5" s="863">
        <f>SUM(H5+K5)</f>
        <v>13005</v>
      </c>
      <c r="O5" s="863">
        <f>SUM(M5:N5)</f>
        <v>13005</v>
      </c>
    </row>
    <row r="6" spans="1:15" ht="24.75" customHeight="1">
      <c r="A6" s="849"/>
      <c r="B6" s="859"/>
      <c r="C6" s="849" t="s">
        <v>898</v>
      </c>
      <c r="D6" s="865" t="s">
        <v>1289</v>
      </c>
      <c r="E6" s="866"/>
      <c r="F6" s="866"/>
      <c r="G6" s="854">
        <v>0</v>
      </c>
      <c r="H6" s="877">
        <v>22519</v>
      </c>
      <c r="I6" s="864">
        <v>22519</v>
      </c>
      <c r="J6" s="863"/>
      <c r="K6" s="863"/>
      <c r="L6" s="863">
        <f>SUM(J6:K6)</f>
        <v>0</v>
      </c>
      <c r="M6" s="863">
        <f>SUM(G6+J6)</f>
        <v>0</v>
      </c>
      <c r="N6" s="863">
        <f>SUM(H6+K6)</f>
        <v>22519</v>
      </c>
      <c r="O6" s="863">
        <f>SUM(M6:N6)</f>
        <v>22519</v>
      </c>
    </row>
    <row r="7" spans="1:15" ht="15" customHeight="1">
      <c r="A7" s="849"/>
      <c r="B7" s="859"/>
      <c r="C7" s="849" t="s">
        <v>903</v>
      </c>
      <c r="D7" s="1221" t="s">
        <v>1010</v>
      </c>
      <c r="E7" s="866"/>
      <c r="F7" s="1222" t="s">
        <v>606</v>
      </c>
      <c r="G7" s="854"/>
      <c r="H7" s="877">
        <v>1200</v>
      </c>
      <c r="I7" s="864">
        <v>1200</v>
      </c>
      <c r="J7" s="863"/>
      <c r="K7" s="863">
        <v>200</v>
      </c>
      <c r="L7" s="863">
        <f>SUM(J7:K7)</f>
        <v>200</v>
      </c>
      <c r="M7" s="863"/>
      <c r="N7" s="863">
        <f>SUM(H7+K7)</f>
        <v>1400</v>
      </c>
      <c r="O7" s="863">
        <f>SUM(M7:N7)</f>
        <v>1400</v>
      </c>
    </row>
    <row r="8" spans="1:15" ht="13.5" customHeight="1">
      <c r="A8" s="867"/>
      <c r="B8" s="868"/>
      <c r="C8" s="867"/>
      <c r="D8" s="869" t="s">
        <v>1290</v>
      </c>
      <c r="E8" s="870"/>
      <c r="F8" s="870"/>
      <c r="G8" s="871"/>
      <c r="H8" s="872">
        <f aca="true" t="shared" si="0" ref="H8:O8">SUM(H5:H7)</f>
        <v>36924</v>
      </c>
      <c r="I8" s="872">
        <f t="shared" si="0"/>
        <v>36924</v>
      </c>
      <c r="J8" s="872">
        <f t="shared" si="0"/>
        <v>0</v>
      </c>
      <c r="K8" s="872">
        <f t="shared" si="0"/>
        <v>0</v>
      </c>
      <c r="L8" s="872">
        <f t="shared" si="0"/>
        <v>0</v>
      </c>
      <c r="M8" s="872">
        <f t="shared" si="0"/>
        <v>0</v>
      </c>
      <c r="N8" s="872">
        <f t="shared" si="0"/>
        <v>36924</v>
      </c>
      <c r="O8" s="872">
        <f t="shared" si="0"/>
        <v>36924</v>
      </c>
    </row>
    <row r="9" spans="1:15" ht="13.5" customHeight="1">
      <c r="A9" s="873">
        <v>1</v>
      </c>
      <c r="B9" s="873">
        <v>13</v>
      </c>
      <c r="C9" s="874"/>
      <c r="D9" s="875" t="s">
        <v>250</v>
      </c>
      <c r="E9" s="876"/>
      <c r="F9" s="876"/>
      <c r="G9" s="854">
        <v>0</v>
      </c>
      <c r="H9" s="854">
        <v>0</v>
      </c>
      <c r="I9" s="878">
        <f>SUM(G9:H9)</f>
        <v>0</v>
      </c>
      <c r="J9" s="877"/>
      <c r="K9" s="877"/>
      <c r="L9" s="877"/>
      <c r="M9" s="877">
        <f aca="true" t="shared" si="1" ref="M9:N12">SUM(G9+J9)</f>
        <v>0</v>
      </c>
      <c r="N9" s="877">
        <f t="shared" si="1"/>
        <v>0</v>
      </c>
      <c r="O9" s="877"/>
    </row>
    <row r="10" spans="1:15" ht="13.5" customHeight="1">
      <c r="A10" s="879"/>
      <c r="B10" s="880"/>
      <c r="C10" s="881" t="s">
        <v>902</v>
      </c>
      <c r="D10" s="882" t="s">
        <v>1234</v>
      </c>
      <c r="E10" s="876"/>
      <c r="F10" s="876"/>
      <c r="G10" s="854">
        <v>0</v>
      </c>
      <c r="H10" s="854">
        <v>0</v>
      </c>
      <c r="I10" s="878">
        <f>SUM(G10:H10)</f>
        <v>0</v>
      </c>
      <c r="J10" s="877"/>
      <c r="K10" s="877"/>
      <c r="L10" s="877"/>
      <c r="M10" s="877">
        <f t="shared" si="1"/>
        <v>0</v>
      </c>
      <c r="N10" s="877">
        <f t="shared" si="1"/>
        <v>0</v>
      </c>
      <c r="O10" s="877"/>
    </row>
    <row r="11" spans="1:15" ht="13.5" customHeight="1">
      <c r="A11" s="879"/>
      <c r="B11" s="880"/>
      <c r="C11" s="883" t="s">
        <v>1598</v>
      </c>
      <c r="D11" s="884" t="s">
        <v>1599</v>
      </c>
      <c r="E11" s="876"/>
      <c r="F11" s="885"/>
      <c r="G11" s="854">
        <v>0</v>
      </c>
      <c r="H11" s="854">
        <v>0</v>
      </c>
      <c r="I11" s="878">
        <f>SUM(G11:H11)</f>
        <v>0</v>
      </c>
      <c r="J11" s="877"/>
      <c r="K11" s="877"/>
      <c r="L11" s="877"/>
      <c r="M11" s="877">
        <f t="shared" si="1"/>
        <v>0</v>
      </c>
      <c r="N11" s="877">
        <f t="shared" si="1"/>
        <v>0</v>
      </c>
      <c r="O11" s="877"/>
    </row>
    <row r="12" spans="1:15" ht="13.5" customHeight="1">
      <c r="A12" s="879"/>
      <c r="B12" s="880"/>
      <c r="C12" s="886" t="s">
        <v>1634</v>
      </c>
      <c r="D12" s="887" t="s">
        <v>1417</v>
      </c>
      <c r="E12" s="888"/>
      <c r="F12" s="888"/>
      <c r="G12" s="854">
        <v>0</v>
      </c>
      <c r="H12" s="854">
        <v>2000</v>
      </c>
      <c r="I12" s="878">
        <v>2000</v>
      </c>
      <c r="J12" s="877"/>
      <c r="K12" s="877"/>
      <c r="L12" s="877">
        <f aca="true" t="shared" si="2" ref="L12:L37">SUM(J12:K12)</f>
        <v>0</v>
      </c>
      <c r="M12" s="877">
        <f t="shared" si="1"/>
        <v>0</v>
      </c>
      <c r="N12" s="877">
        <f t="shared" si="1"/>
        <v>2000</v>
      </c>
      <c r="O12" s="877">
        <f aca="true" t="shared" si="3" ref="O12:O37">SUM(M12:N12)</f>
        <v>2000</v>
      </c>
    </row>
    <row r="13" spans="1:15" ht="13.5" customHeight="1">
      <c r="A13" s="879"/>
      <c r="B13" s="880"/>
      <c r="C13" s="886" t="s">
        <v>1606</v>
      </c>
      <c r="D13" s="889" t="s">
        <v>607</v>
      </c>
      <c r="E13" s="890"/>
      <c r="F13" s="891"/>
      <c r="G13" s="854">
        <v>0</v>
      </c>
      <c r="H13" s="854"/>
      <c r="I13" s="878">
        <v>0</v>
      </c>
      <c r="J13" s="877"/>
      <c r="K13" s="877"/>
      <c r="L13" s="877">
        <f t="shared" si="2"/>
        <v>0</v>
      </c>
      <c r="M13" s="877">
        <f aca="true" t="shared" si="4" ref="M13:M19">SUM(G13+J13)</f>
        <v>0</v>
      </c>
      <c r="N13" s="877"/>
      <c r="O13" s="877">
        <f t="shared" si="3"/>
        <v>0</v>
      </c>
    </row>
    <row r="14" spans="1:15" ht="13.5" customHeight="1">
      <c r="A14" s="879"/>
      <c r="B14" s="880"/>
      <c r="C14" s="886" t="s">
        <v>508</v>
      </c>
      <c r="D14" s="887" t="s">
        <v>509</v>
      </c>
      <c r="E14" s="890"/>
      <c r="F14" s="891"/>
      <c r="G14" s="854">
        <v>3500</v>
      </c>
      <c r="H14" s="854"/>
      <c r="I14" s="878">
        <v>3500</v>
      </c>
      <c r="J14" s="877"/>
      <c r="K14" s="877"/>
      <c r="L14" s="877">
        <f t="shared" si="2"/>
        <v>0</v>
      </c>
      <c r="M14" s="877">
        <f t="shared" si="4"/>
        <v>3500</v>
      </c>
      <c r="N14" s="877"/>
      <c r="O14" s="877">
        <f t="shared" si="3"/>
        <v>3500</v>
      </c>
    </row>
    <row r="15" spans="1:15" ht="13.5" customHeight="1">
      <c r="A15" s="879"/>
      <c r="B15" s="880"/>
      <c r="C15" s="886" t="s">
        <v>1608</v>
      </c>
      <c r="D15" s="892" t="s">
        <v>1235</v>
      </c>
      <c r="E15" s="890"/>
      <c r="F15" s="891"/>
      <c r="G15" s="854">
        <v>0</v>
      </c>
      <c r="H15" s="854">
        <v>0</v>
      </c>
      <c r="I15" s="878">
        <v>0</v>
      </c>
      <c r="J15" s="877"/>
      <c r="K15" s="877"/>
      <c r="L15" s="877">
        <f t="shared" si="2"/>
        <v>0</v>
      </c>
      <c r="M15" s="877">
        <f t="shared" si="4"/>
        <v>0</v>
      </c>
      <c r="N15" s="877">
        <f aca="true" t="shared" si="5" ref="N15:N28">SUM(H15+K15)</f>
        <v>0</v>
      </c>
      <c r="O15" s="877">
        <f t="shared" si="3"/>
        <v>0</v>
      </c>
    </row>
    <row r="16" spans="1:15" ht="15" customHeight="1">
      <c r="A16" s="879"/>
      <c r="B16" s="880"/>
      <c r="C16" s="886" t="s">
        <v>1673</v>
      </c>
      <c r="D16" s="893" t="s">
        <v>844</v>
      </c>
      <c r="E16" s="890"/>
      <c r="F16" s="891"/>
      <c r="G16" s="854">
        <v>0</v>
      </c>
      <c r="H16" s="854">
        <v>13294</v>
      </c>
      <c r="I16" s="878">
        <v>13294</v>
      </c>
      <c r="J16" s="877"/>
      <c r="K16" s="877"/>
      <c r="L16" s="877">
        <f t="shared" si="2"/>
        <v>0</v>
      </c>
      <c r="M16" s="877">
        <f t="shared" si="4"/>
        <v>0</v>
      </c>
      <c r="N16" s="877">
        <f t="shared" si="5"/>
        <v>13294</v>
      </c>
      <c r="O16" s="877">
        <f t="shared" si="3"/>
        <v>13294</v>
      </c>
    </row>
    <row r="17" spans="1:15" ht="14.25" customHeight="1">
      <c r="A17" s="879"/>
      <c r="B17" s="880"/>
      <c r="C17" s="886" t="s">
        <v>934</v>
      </c>
      <c r="D17" s="894" t="s">
        <v>1261</v>
      </c>
      <c r="E17" s="890"/>
      <c r="F17" s="891"/>
      <c r="G17" s="854">
        <v>0</v>
      </c>
      <c r="H17" s="854">
        <v>8000</v>
      </c>
      <c r="I17" s="878">
        <v>8000</v>
      </c>
      <c r="J17" s="877"/>
      <c r="K17" s="877"/>
      <c r="L17" s="877">
        <f t="shared" si="2"/>
        <v>0</v>
      </c>
      <c r="M17" s="877">
        <f t="shared" si="4"/>
        <v>0</v>
      </c>
      <c r="N17" s="877">
        <f t="shared" si="5"/>
        <v>8000</v>
      </c>
      <c r="O17" s="877">
        <f t="shared" si="3"/>
        <v>8000</v>
      </c>
    </row>
    <row r="18" spans="1:15" ht="15" customHeight="1">
      <c r="A18" s="879"/>
      <c r="B18" s="880"/>
      <c r="C18" s="886" t="s">
        <v>888</v>
      </c>
      <c r="D18" s="895" t="s">
        <v>1260</v>
      </c>
      <c r="E18" s="890"/>
      <c r="F18" s="891"/>
      <c r="G18" s="854">
        <v>3000</v>
      </c>
      <c r="H18" s="854">
        <v>0</v>
      </c>
      <c r="I18" s="878">
        <v>3000</v>
      </c>
      <c r="J18" s="877"/>
      <c r="K18" s="877"/>
      <c r="L18" s="877">
        <f t="shared" si="2"/>
        <v>0</v>
      </c>
      <c r="M18" s="877">
        <f t="shared" si="4"/>
        <v>3000</v>
      </c>
      <c r="N18" s="877">
        <f t="shared" si="5"/>
        <v>0</v>
      </c>
      <c r="O18" s="877">
        <f t="shared" si="3"/>
        <v>3000</v>
      </c>
    </row>
    <row r="19" spans="1:15" ht="15" customHeight="1">
      <c r="A19" s="879"/>
      <c r="B19" s="880"/>
      <c r="C19" s="886" t="s">
        <v>608</v>
      </c>
      <c r="D19" s="895" t="s">
        <v>609</v>
      </c>
      <c r="E19" s="890"/>
      <c r="F19" s="891"/>
      <c r="G19" s="854">
        <v>1798</v>
      </c>
      <c r="H19" s="854">
        <v>0</v>
      </c>
      <c r="I19" s="878">
        <v>1798</v>
      </c>
      <c r="J19" s="877"/>
      <c r="K19" s="877"/>
      <c r="L19" s="877">
        <f t="shared" si="2"/>
        <v>0</v>
      </c>
      <c r="M19" s="877">
        <f t="shared" si="4"/>
        <v>1798</v>
      </c>
      <c r="N19" s="877">
        <f t="shared" si="5"/>
        <v>0</v>
      </c>
      <c r="O19" s="877">
        <f t="shared" si="3"/>
        <v>1798</v>
      </c>
    </row>
    <row r="20" spans="1:15" ht="15" customHeight="1">
      <c r="A20" s="879"/>
      <c r="B20" s="880"/>
      <c r="C20" s="886" t="s">
        <v>1011</v>
      </c>
      <c r="D20" s="1223" t="s">
        <v>1012</v>
      </c>
      <c r="E20" s="890"/>
      <c r="F20" s="891"/>
      <c r="G20" s="854"/>
      <c r="H20" s="854">
        <v>140</v>
      </c>
      <c r="I20" s="878">
        <v>140</v>
      </c>
      <c r="J20" s="877"/>
      <c r="K20" s="877"/>
      <c r="L20" s="877">
        <f t="shared" si="2"/>
        <v>0</v>
      </c>
      <c r="M20" s="877"/>
      <c r="N20" s="877">
        <f t="shared" si="5"/>
        <v>140</v>
      </c>
      <c r="O20" s="877">
        <f t="shared" si="3"/>
        <v>140</v>
      </c>
    </row>
    <row r="21" spans="1:15" ht="15" customHeight="1">
      <c r="A21" s="879"/>
      <c r="B21" s="880"/>
      <c r="C21" s="886" t="s">
        <v>1013</v>
      </c>
      <c r="D21" s="1223" t="s">
        <v>1014</v>
      </c>
      <c r="E21" s="890"/>
      <c r="F21" s="891"/>
      <c r="G21" s="854"/>
      <c r="H21" s="854">
        <v>800</v>
      </c>
      <c r="I21" s="878">
        <v>800</v>
      </c>
      <c r="J21" s="877"/>
      <c r="K21" s="877"/>
      <c r="L21" s="877">
        <f t="shared" si="2"/>
        <v>0</v>
      </c>
      <c r="M21" s="877"/>
      <c r="N21" s="877">
        <f t="shared" si="5"/>
        <v>800</v>
      </c>
      <c r="O21" s="877">
        <f t="shared" si="3"/>
        <v>800</v>
      </c>
    </row>
    <row r="22" spans="1:15" ht="15" customHeight="1">
      <c r="A22" s="879"/>
      <c r="B22" s="880"/>
      <c r="C22" s="886" t="s">
        <v>322</v>
      </c>
      <c r="D22" s="1223" t="s">
        <v>323</v>
      </c>
      <c r="E22" s="890"/>
      <c r="F22" s="891" t="s">
        <v>606</v>
      </c>
      <c r="G22" s="854"/>
      <c r="H22" s="854"/>
      <c r="I22" s="878"/>
      <c r="J22" s="877"/>
      <c r="K22" s="877">
        <v>100</v>
      </c>
      <c r="L22" s="877">
        <f t="shared" si="2"/>
        <v>100</v>
      </c>
      <c r="M22" s="877"/>
      <c r="N22" s="877">
        <f t="shared" si="5"/>
        <v>100</v>
      </c>
      <c r="O22" s="877">
        <f t="shared" si="3"/>
        <v>100</v>
      </c>
    </row>
    <row r="23" spans="1:15" ht="15" customHeight="1">
      <c r="A23" s="879"/>
      <c r="B23" s="880"/>
      <c r="C23" s="883" t="s">
        <v>1635</v>
      </c>
      <c r="D23" s="896" t="s">
        <v>1636</v>
      </c>
      <c r="E23" s="890"/>
      <c r="F23" s="891"/>
      <c r="G23" s="854">
        <v>0</v>
      </c>
      <c r="H23" s="854">
        <v>0</v>
      </c>
      <c r="I23" s="878">
        <v>0</v>
      </c>
      <c r="J23" s="877"/>
      <c r="K23" s="877"/>
      <c r="L23" s="877">
        <f t="shared" si="2"/>
        <v>0</v>
      </c>
      <c r="M23" s="877">
        <f aca="true" t="shared" si="6" ref="M23:M29">SUM(G23+J23)</f>
        <v>0</v>
      </c>
      <c r="N23" s="877">
        <f t="shared" si="5"/>
        <v>0</v>
      </c>
      <c r="O23" s="877">
        <f t="shared" si="3"/>
        <v>0</v>
      </c>
    </row>
    <row r="24" spans="1:15" ht="24.75" customHeight="1">
      <c r="A24" s="879"/>
      <c r="B24" s="880"/>
      <c r="C24" s="874" t="s">
        <v>1637</v>
      </c>
      <c r="D24" s="887" t="s">
        <v>610</v>
      </c>
      <c r="E24" s="890"/>
      <c r="F24" s="891"/>
      <c r="G24" s="854">
        <v>15685</v>
      </c>
      <c r="H24" s="877">
        <v>0</v>
      </c>
      <c r="I24" s="878">
        <v>15685</v>
      </c>
      <c r="J24" s="877"/>
      <c r="K24" s="877"/>
      <c r="L24" s="877">
        <f t="shared" si="2"/>
        <v>0</v>
      </c>
      <c r="M24" s="877">
        <f t="shared" si="6"/>
        <v>15685</v>
      </c>
      <c r="N24" s="877">
        <f t="shared" si="5"/>
        <v>0</v>
      </c>
      <c r="O24" s="877">
        <f t="shared" si="3"/>
        <v>15685</v>
      </c>
    </row>
    <row r="25" spans="1:15" ht="24.75" customHeight="1">
      <c r="A25" s="879"/>
      <c r="B25" s="880"/>
      <c r="C25" s="874" t="s">
        <v>1638</v>
      </c>
      <c r="D25" s="887" t="s">
        <v>611</v>
      </c>
      <c r="E25" s="890"/>
      <c r="F25" s="891" t="s">
        <v>606</v>
      </c>
      <c r="G25" s="854">
        <v>5656</v>
      </c>
      <c r="H25" s="877">
        <v>38059</v>
      </c>
      <c r="I25" s="878">
        <v>43715</v>
      </c>
      <c r="J25" s="877">
        <v>-406</v>
      </c>
      <c r="K25" s="877"/>
      <c r="L25" s="877">
        <f t="shared" si="2"/>
        <v>-406</v>
      </c>
      <c r="M25" s="877">
        <f t="shared" si="6"/>
        <v>5250</v>
      </c>
      <c r="N25" s="877">
        <f t="shared" si="5"/>
        <v>38059</v>
      </c>
      <c r="O25" s="877">
        <f t="shared" si="3"/>
        <v>43309</v>
      </c>
    </row>
    <row r="26" spans="1:15" ht="15" customHeight="1">
      <c r="A26" s="879"/>
      <c r="B26" s="880"/>
      <c r="C26" s="874" t="s">
        <v>1639</v>
      </c>
      <c r="D26" s="887" t="s">
        <v>439</v>
      </c>
      <c r="E26" s="890"/>
      <c r="F26" s="891"/>
      <c r="G26" s="854">
        <v>12000</v>
      </c>
      <c r="H26" s="854">
        <v>0</v>
      </c>
      <c r="I26" s="878">
        <v>12000</v>
      </c>
      <c r="J26" s="877"/>
      <c r="K26" s="877"/>
      <c r="L26" s="877">
        <f t="shared" si="2"/>
        <v>0</v>
      </c>
      <c r="M26" s="877">
        <f t="shared" si="6"/>
        <v>12000</v>
      </c>
      <c r="N26" s="877">
        <f t="shared" si="5"/>
        <v>0</v>
      </c>
      <c r="O26" s="877">
        <f t="shared" si="3"/>
        <v>12000</v>
      </c>
    </row>
    <row r="27" spans="1:15" ht="15" customHeight="1">
      <c r="A27" s="879"/>
      <c r="B27" s="880"/>
      <c r="C27" s="874" t="s">
        <v>1640</v>
      </c>
      <c r="D27" s="894" t="s">
        <v>1262</v>
      </c>
      <c r="E27" s="890"/>
      <c r="F27" s="891"/>
      <c r="G27" s="854">
        <v>5700</v>
      </c>
      <c r="H27" s="854">
        <v>0</v>
      </c>
      <c r="I27" s="878">
        <v>5700</v>
      </c>
      <c r="J27" s="877"/>
      <c r="K27" s="877"/>
      <c r="L27" s="877">
        <f t="shared" si="2"/>
        <v>0</v>
      </c>
      <c r="M27" s="877">
        <f t="shared" si="6"/>
        <v>5700</v>
      </c>
      <c r="N27" s="877">
        <f t="shared" si="5"/>
        <v>0</v>
      </c>
      <c r="O27" s="877">
        <f t="shared" si="3"/>
        <v>5700</v>
      </c>
    </row>
    <row r="28" spans="1:15" ht="15" customHeight="1">
      <c r="A28" s="879"/>
      <c r="B28" s="880"/>
      <c r="C28" s="874" t="s">
        <v>1641</v>
      </c>
      <c r="D28" s="897" t="s">
        <v>841</v>
      </c>
      <c r="E28" s="890"/>
      <c r="F28" s="891"/>
      <c r="G28" s="854">
        <v>0</v>
      </c>
      <c r="H28" s="854">
        <v>4933</v>
      </c>
      <c r="I28" s="878">
        <v>4933</v>
      </c>
      <c r="J28" s="877"/>
      <c r="K28" s="877"/>
      <c r="L28" s="877">
        <f t="shared" si="2"/>
        <v>0</v>
      </c>
      <c r="M28" s="877">
        <f t="shared" si="6"/>
        <v>0</v>
      </c>
      <c r="N28" s="877">
        <f t="shared" si="5"/>
        <v>4933</v>
      </c>
      <c r="O28" s="877">
        <f t="shared" si="3"/>
        <v>4933</v>
      </c>
    </row>
    <row r="29" spans="1:15" ht="15" customHeight="1">
      <c r="A29" s="879"/>
      <c r="B29" s="880"/>
      <c r="C29" s="874" t="s">
        <v>612</v>
      </c>
      <c r="D29" s="897" t="s">
        <v>613</v>
      </c>
      <c r="E29" s="890"/>
      <c r="F29" s="891"/>
      <c r="G29" s="854">
        <v>50000</v>
      </c>
      <c r="H29" s="854"/>
      <c r="I29" s="878">
        <v>50000</v>
      </c>
      <c r="J29" s="877"/>
      <c r="K29" s="877"/>
      <c r="L29" s="877">
        <f t="shared" si="2"/>
        <v>0</v>
      </c>
      <c r="M29" s="877">
        <f t="shared" si="6"/>
        <v>50000</v>
      </c>
      <c r="N29" s="877"/>
      <c r="O29" s="877">
        <f t="shared" si="3"/>
        <v>50000</v>
      </c>
    </row>
    <row r="30" spans="1:15" ht="24.75" customHeight="1">
      <c r="A30" s="879"/>
      <c r="B30" s="880"/>
      <c r="C30" s="898" t="s">
        <v>614</v>
      </c>
      <c r="D30" s="897" t="s">
        <v>615</v>
      </c>
      <c r="E30" s="890"/>
      <c r="F30" s="891"/>
      <c r="G30" s="854"/>
      <c r="H30" s="854">
        <v>200</v>
      </c>
      <c r="I30" s="878">
        <v>200</v>
      </c>
      <c r="J30" s="877"/>
      <c r="K30" s="877"/>
      <c r="L30" s="877">
        <f t="shared" si="2"/>
        <v>0</v>
      </c>
      <c r="M30" s="877"/>
      <c r="N30" s="877">
        <v>200</v>
      </c>
      <c r="O30" s="877">
        <f t="shared" si="3"/>
        <v>200</v>
      </c>
    </row>
    <row r="31" spans="1:15" ht="15" customHeight="1">
      <c r="A31" s="879"/>
      <c r="B31" s="880"/>
      <c r="C31" s="898" t="s">
        <v>766</v>
      </c>
      <c r="D31" s="897" t="s">
        <v>767</v>
      </c>
      <c r="E31" s="890"/>
      <c r="F31" s="891"/>
      <c r="G31" s="854">
        <v>28000</v>
      </c>
      <c r="H31" s="854"/>
      <c r="I31" s="878">
        <v>28000</v>
      </c>
      <c r="J31" s="877"/>
      <c r="K31" s="877"/>
      <c r="L31" s="877">
        <f t="shared" si="2"/>
        <v>0</v>
      </c>
      <c r="M31" s="877">
        <f aca="true" t="shared" si="7" ref="M31:M37">SUM(G31+J31)</f>
        <v>28000</v>
      </c>
      <c r="N31" s="877"/>
      <c r="O31" s="877">
        <f t="shared" si="3"/>
        <v>28000</v>
      </c>
    </row>
    <row r="32" spans="1:15" ht="15" customHeight="1">
      <c r="A32" s="879"/>
      <c r="B32" s="880"/>
      <c r="C32" s="874">
        <v>5</v>
      </c>
      <c r="D32" s="899" t="s">
        <v>1717</v>
      </c>
      <c r="E32" s="890"/>
      <c r="F32" s="891"/>
      <c r="G32" s="854">
        <v>0</v>
      </c>
      <c r="H32" s="854">
        <v>0</v>
      </c>
      <c r="I32" s="878">
        <v>0</v>
      </c>
      <c r="J32" s="877"/>
      <c r="K32" s="877"/>
      <c r="L32" s="877">
        <f t="shared" si="2"/>
        <v>0</v>
      </c>
      <c r="M32" s="877">
        <f t="shared" si="7"/>
        <v>0</v>
      </c>
      <c r="N32" s="877">
        <f aca="true" t="shared" si="8" ref="N32:N37">SUM(H32+K32)</f>
        <v>0</v>
      </c>
      <c r="O32" s="877">
        <f t="shared" si="3"/>
        <v>0</v>
      </c>
    </row>
    <row r="33" spans="1:15" ht="15" customHeight="1">
      <c r="A33" s="879"/>
      <c r="B33" s="880"/>
      <c r="C33" s="900" t="s">
        <v>1845</v>
      </c>
      <c r="D33" s="901" t="s">
        <v>1718</v>
      </c>
      <c r="E33" s="902"/>
      <c r="F33" s="903"/>
      <c r="G33" s="854">
        <v>19050</v>
      </c>
      <c r="H33" s="854">
        <v>0</v>
      </c>
      <c r="I33" s="878">
        <v>19050</v>
      </c>
      <c r="J33" s="877"/>
      <c r="K33" s="877"/>
      <c r="L33" s="877">
        <f t="shared" si="2"/>
        <v>0</v>
      </c>
      <c r="M33" s="877">
        <f t="shared" si="7"/>
        <v>19050</v>
      </c>
      <c r="N33" s="877">
        <f t="shared" si="8"/>
        <v>0</v>
      </c>
      <c r="O33" s="877">
        <f t="shared" si="3"/>
        <v>19050</v>
      </c>
    </row>
    <row r="34" spans="1:15" ht="24.75" customHeight="1">
      <c r="A34" s="879"/>
      <c r="B34" s="880"/>
      <c r="C34" s="900" t="s">
        <v>1859</v>
      </c>
      <c r="D34" s="904" t="s">
        <v>1506</v>
      </c>
      <c r="E34" s="902"/>
      <c r="F34" s="903"/>
      <c r="G34" s="854">
        <v>140425</v>
      </c>
      <c r="H34" s="854">
        <v>0</v>
      </c>
      <c r="I34" s="878">
        <v>140425</v>
      </c>
      <c r="J34" s="877"/>
      <c r="K34" s="877"/>
      <c r="L34" s="877">
        <f t="shared" si="2"/>
        <v>0</v>
      </c>
      <c r="M34" s="877">
        <f t="shared" si="7"/>
        <v>140425</v>
      </c>
      <c r="N34" s="877">
        <f t="shared" si="8"/>
        <v>0</v>
      </c>
      <c r="O34" s="877">
        <f t="shared" si="3"/>
        <v>140425</v>
      </c>
    </row>
    <row r="35" spans="1:15" ht="24.75" customHeight="1">
      <c r="A35" s="879"/>
      <c r="B35" s="880"/>
      <c r="C35" s="900" t="s">
        <v>1860</v>
      </c>
      <c r="D35" s="905" t="s">
        <v>1850</v>
      </c>
      <c r="E35" s="906"/>
      <c r="F35" s="907"/>
      <c r="G35" s="854">
        <v>0</v>
      </c>
      <c r="H35" s="854">
        <v>0</v>
      </c>
      <c r="I35" s="878">
        <v>0</v>
      </c>
      <c r="J35" s="877"/>
      <c r="K35" s="877"/>
      <c r="L35" s="877">
        <f t="shared" si="2"/>
        <v>0</v>
      </c>
      <c r="M35" s="877">
        <f t="shared" si="7"/>
        <v>0</v>
      </c>
      <c r="N35" s="877">
        <f t="shared" si="8"/>
        <v>0</v>
      </c>
      <c r="O35" s="877">
        <f t="shared" si="3"/>
        <v>0</v>
      </c>
    </row>
    <row r="36" spans="1:15" ht="15" customHeight="1">
      <c r="A36" s="879"/>
      <c r="B36" s="880"/>
      <c r="C36" s="900" t="s">
        <v>1642</v>
      </c>
      <c r="D36" s="905" t="s">
        <v>1851</v>
      </c>
      <c r="E36" s="906"/>
      <c r="F36" s="907"/>
      <c r="G36" s="854">
        <v>0</v>
      </c>
      <c r="H36" s="854">
        <v>0</v>
      </c>
      <c r="I36" s="878">
        <v>0</v>
      </c>
      <c r="J36" s="877"/>
      <c r="K36" s="877"/>
      <c r="L36" s="877">
        <f t="shared" si="2"/>
        <v>0</v>
      </c>
      <c r="M36" s="877">
        <f t="shared" si="7"/>
        <v>0</v>
      </c>
      <c r="N36" s="877">
        <f t="shared" si="8"/>
        <v>0</v>
      </c>
      <c r="O36" s="877">
        <f t="shared" si="3"/>
        <v>0</v>
      </c>
    </row>
    <row r="37" spans="1:15" ht="24.75" customHeight="1">
      <c r="A37" s="879"/>
      <c r="B37" s="880"/>
      <c r="C37" s="900" t="s">
        <v>1643</v>
      </c>
      <c r="D37" s="897" t="s">
        <v>440</v>
      </c>
      <c r="E37" s="908"/>
      <c r="F37" s="888"/>
      <c r="G37" s="854">
        <v>0</v>
      </c>
      <c r="H37" s="854">
        <v>29000</v>
      </c>
      <c r="I37" s="878">
        <v>29000</v>
      </c>
      <c r="J37" s="877"/>
      <c r="K37" s="877"/>
      <c r="L37" s="877">
        <f t="shared" si="2"/>
        <v>0</v>
      </c>
      <c r="M37" s="877">
        <f t="shared" si="7"/>
        <v>0</v>
      </c>
      <c r="N37" s="877">
        <f t="shared" si="8"/>
        <v>29000</v>
      </c>
      <c r="O37" s="877">
        <f t="shared" si="3"/>
        <v>29000</v>
      </c>
    </row>
    <row r="38" spans="1:15" ht="12.75" customHeight="1">
      <c r="A38" s="909"/>
      <c r="B38" s="910"/>
      <c r="C38" s="911"/>
      <c r="D38" s="912" t="s">
        <v>1248</v>
      </c>
      <c r="E38" s="913"/>
      <c r="F38" s="914"/>
      <c r="G38" s="915">
        <f aca="true" t="shared" si="9" ref="G38:O38">SUM(G12:G37)</f>
        <v>284814</v>
      </c>
      <c r="H38" s="915">
        <f t="shared" si="9"/>
        <v>96426</v>
      </c>
      <c r="I38" s="915">
        <f t="shared" si="9"/>
        <v>381240</v>
      </c>
      <c r="J38" s="915">
        <f t="shared" si="9"/>
        <v>-406</v>
      </c>
      <c r="K38" s="915">
        <f t="shared" si="9"/>
        <v>100</v>
      </c>
      <c r="L38" s="915">
        <f t="shared" si="9"/>
        <v>-306</v>
      </c>
      <c r="M38" s="915">
        <f t="shared" si="9"/>
        <v>284408</v>
      </c>
      <c r="N38" s="915">
        <f t="shared" si="9"/>
        <v>96526</v>
      </c>
      <c r="O38" s="915">
        <f t="shared" si="9"/>
        <v>380934</v>
      </c>
    </row>
    <row r="39" spans="1:15" ht="12.75" customHeight="1">
      <c r="A39" s="916">
        <v>1</v>
      </c>
      <c r="B39" s="917">
        <v>15</v>
      </c>
      <c r="C39" s="898"/>
      <c r="D39" s="918" t="s">
        <v>51</v>
      </c>
      <c r="E39" s="919"/>
      <c r="F39" s="920"/>
      <c r="G39" s="854"/>
      <c r="H39" s="854"/>
      <c r="I39" s="921"/>
      <c r="J39" s="877"/>
      <c r="K39" s="877"/>
      <c r="L39" s="877"/>
      <c r="M39" s="877"/>
      <c r="N39" s="877"/>
      <c r="O39" s="877"/>
    </row>
    <row r="40" spans="1:15" ht="12.75" customHeight="1">
      <c r="A40" s="916"/>
      <c r="B40" s="917"/>
      <c r="C40" s="922">
        <v>1</v>
      </c>
      <c r="D40" s="918" t="s">
        <v>1483</v>
      </c>
      <c r="E40" s="919"/>
      <c r="F40" s="920"/>
      <c r="G40" s="854"/>
      <c r="H40" s="854"/>
      <c r="I40" s="921"/>
      <c r="J40" s="877"/>
      <c r="K40" s="877"/>
      <c r="L40" s="877"/>
      <c r="M40" s="877"/>
      <c r="N40" s="877"/>
      <c r="O40" s="877">
        <f aca="true" t="shared" si="10" ref="O40:O55">SUM(M40:N40)</f>
        <v>0</v>
      </c>
    </row>
    <row r="41" spans="1:15" ht="15" customHeight="1">
      <c r="A41" s="916"/>
      <c r="B41" s="917"/>
      <c r="C41" s="898" t="s">
        <v>899</v>
      </c>
      <c r="D41" s="894" t="s">
        <v>441</v>
      </c>
      <c r="E41" s="919"/>
      <c r="F41" s="920"/>
      <c r="G41" s="854">
        <v>18800</v>
      </c>
      <c r="H41" s="854">
        <v>0</v>
      </c>
      <c r="I41" s="923">
        <v>18800</v>
      </c>
      <c r="J41" s="877"/>
      <c r="K41" s="877"/>
      <c r="L41" s="877">
        <f aca="true" t="shared" si="11" ref="L41:L55">SUM(J41:K41)</f>
        <v>0</v>
      </c>
      <c r="M41" s="877">
        <f aca="true" t="shared" si="12" ref="M41:M51">SUM(G41+J41)</f>
        <v>18800</v>
      </c>
      <c r="N41" s="877">
        <f aca="true" t="shared" si="13" ref="N41:N51">SUM(H41+K41)</f>
        <v>0</v>
      </c>
      <c r="O41" s="877">
        <f t="shared" si="10"/>
        <v>18800</v>
      </c>
    </row>
    <row r="42" spans="1:15" ht="15" customHeight="1">
      <c r="A42" s="924"/>
      <c r="B42" s="925"/>
      <c r="C42" s="898" t="s">
        <v>900</v>
      </c>
      <c r="D42" s="894" t="s">
        <v>1269</v>
      </c>
      <c r="E42" s="919"/>
      <c r="F42" s="920"/>
      <c r="G42" s="854">
        <v>700</v>
      </c>
      <c r="H42" s="854">
        <v>0</v>
      </c>
      <c r="I42" s="923">
        <v>700</v>
      </c>
      <c r="J42" s="877"/>
      <c r="K42" s="877"/>
      <c r="L42" s="877">
        <f t="shared" si="11"/>
        <v>0</v>
      </c>
      <c r="M42" s="877">
        <f t="shared" si="12"/>
        <v>700</v>
      </c>
      <c r="N42" s="877">
        <f t="shared" si="13"/>
        <v>0</v>
      </c>
      <c r="O42" s="877">
        <f t="shared" si="10"/>
        <v>700</v>
      </c>
    </row>
    <row r="43" spans="1:15" ht="15" customHeight="1">
      <c r="A43" s="916"/>
      <c r="B43" s="917"/>
      <c r="C43" s="898" t="s">
        <v>901</v>
      </c>
      <c r="D43" s="926" t="s">
        <v>1270</v>
      </c>
      <c r="E43" s="919"/>
      <c r="F43" s="920"/>
      <c r="G43" s="854">
        <v>0</v>
      </c>
      <c r="H43" s="854">
        <v>0</v>
      </c>
      <c r="I43" s="923">
        <v>0</v>
      </c>
      <c r="J43" s="877"/>
      <c r="K43" s="877"/>
      <c r="L43" s="877">
        <f t="shared" si="11"/>
        <v>0</v>
      </c>
      <c r="M43" s="877">
        <f t="shared" si="12"/>
        <v>0</v>
      </c>
      <c r="N43" s="877">
        <f t="shared" si="13"/>
        <v>0</v>
      </c>
      <c r="O43" s="877">
        <f t="shared" si="10"/>
        <v>0</v>
      </c>
    </row>
    <row r="44" spans="1:15" ht="24.75" customHeight="1">
      <c r="A44" s="916"/>
      <c r="B44" s="917"/>
      <c r="C44" s="898" t="s">
        <v>1484</v>
      </c>
      <c r="D44" s="926" t="s">
        <v>1271</v>
      </c>
      <c r="E44" s="919"/>
      <c r="F44" s="920"/>
      <c r="G44" s="854">
        <v>5000</v>
      </c>
      <c r="H44" s="854">
        <v>0</v>
      </c>
      <c r="I44" s="923">
        <v>5000</v>
      </c>
      <c r="J44" s="877"/>
      <c r="K44" s="877"/>
      <c r="L44" s="877">
        <f t="shared" si="11"/>
        <v>0</v>
      </c>
      <c r="M44" s="877">
        <f t="shared" si="12"/>
        <v>5000</v>
      </c>
      <c r="N44" s="877">
        <f t="shared" si="13"/>
        <v>0</v>
      </c>
      <c r="O44" s="877">
        <f t="shared" si="10"/>
        <v>5000</v>
      </c>
    </row>
    <row r="45" spans="1:15" ht="15" customHeight="1">
      <c r="A45" s="916"/>
      <c r="B45" s="917"/>
      <c r="C45" s="898" t="s">
        <v>1485</v>
      </c>
      <c r="D45" s="894" t="s">
        <v>1272</v>
      </c>
      <c r="E45" s="919"/>
      <c r="F45" s="920"/>
      <c r="G45" s="854">
        <v>750</v>
      </c>
      <c r="H45" s="854">
        <v>0</v>
      </c>
      <c r="I45" s="923">
        <v>750</v>
      </c>
      <c r="J45" s="877"/>
      <c r="K45" s="877"/>
      <c r="L45" s="877">
        <f t="shared" si="11"/>
        <v>0</v>
      </c>
      <c r="M45" s="877">
        <f t="shared" si="12"/>
        <v>750</v>
      </c>
      <c r="N45" s="877">
        <f t="shared" si="13"/>
        <v>0</v>
      </c>
      <c r="O45" s="877">
        <f t="shared" si="10"/>
        <v>750</v>
      </c>
    </row>
    <row r="46" spans="1:15" ht="12.75" customHeight="1">
      <c r="A46" s="916"/>
      <c r="B46" s="917"/>
      <c r="C46" s="898" t="s">
        <v>1274</v>
      </c>
      <c r="D46" s="926" t="s">
        <v>442</v>
      </c>
      <c r="E46" s="919"/>
      <c r="F46" s="920"/>
      <c r="G46" s="854">
        <v>0</v>
      </c>
      <c r="H46" s="854">
        <v>0</v>
      </c>
      <c r="I46" s="923">
        <v>0</v>
      </c>
      <c r="J46" s="877"/>
      <c r="K46" s="877"/>
      <c r="L46" s="877">
        <f t="shared" si="11"/>
        <v>0</v>
      </c>
      <c r="M46" s="877">
        <f t="shared" si="12"/>
        <v>0</v>
      </c>
      <c r="N46" s="877">
        <f t="shared" si="13"/>
        <v>0</v>
      </c>
      <c r="O46" s="877">
        <f t="shared" si="10"/>
        <v>0</v>
      </c>
    </row>
    <row r="47" spans="1:15" ht="12.75" customHeight="1">
      <c r="A47" s="916"/>
      <c r="B47" s="917"/>
      <c r="C47" s="898" t="s">
        <v>1275</v>
      </c>
      <c r="D47" s="926" t="s">
        <v>1652</v>
      </c>
      <c r="E47" s="919"/>
      <c r="F47" s="920"/>
      <c r="G47" s="854">
        <v>0</v>
      </c>
      <c r="H47" s="854">
        <v>0</v>
      </c>
      <c r="I47" s="923">
        <v>0</v>
      </c>
      <c r="J47" s="877"/>
      <c r="K47" s="877"/>
      <c r="L47" s="877">
        <f t="shared" si="11"/>
        <v>0</v>
      </c>
      <c r="M47" s="877">
        <f t="shared" si="12"/>
        <v>0</v>
      </c>
      <c r="N47" s="877">
        <f t="shared" si="13"/>
        <v>0</v>
      </c>
      <c r="O47" s="877">
        <f t="shared" si="10"/>
        <v>0</v>
      </c>
    </row>
    <row r="48" spans="1:15" ht="12.75" customHeight="1">
      <c r="A48" s="916"/>
      <c r="B48" s="917"/>
      <c r="C48" s="898" t="s">
        <v>1276</v>
      </c>
      <c r="D48" s="894" t="s">
        <v>1247</v>
      </c>
      <c r="E48" s="919"/>
      <c r="F48" s="920"/>
      <c r="G48" s="854">
        <v>200</v>
      </c>
      <c r="H48" s="854">
        <v>0</v>
      </c>
      <c r="I48" s="923">
        <v>200</v>
      </c>
      <c r="J48" s="877"/>
      <c r="K48" s="877"/>
      <c r="L48" s="877">
        <f t="shared" si="11"/>
        <v>0</v>
      </c>
      <c r="M48" s="877">
        <f t="shared" si="12"/>
        <v>200</v>
      </c>
      <c r="N48" s="877">
        <f t="shared" si="13"/>
        <v>0</v>
      </c>
      <c r="O48" s="877">
        <f t="shared" si="10"/>
        <v>200</v>
      </c>
    </row>
    <row r="49" spans="1:15" ht="12.75" customHeight="1">
      <c r="A49" s="916"/>
      <c r="B49" s="917"/>
      <c r="C49" s="898" t="s">
        <v>1277</v>
      </c>
      <c r="D49" s="894" t="s">
        <v>1273</v>
      </c>
      <c r="E49" s="919"/>
      <c r="F49" s="920"/>
      <c r="G49" s="854">
        <v>0</v>
      </c>
      <c r="H49" s="854">
        <v>0</v>
      </c>
      <c r="I49" s="923">
        <v>0</v>
      </c>
      <c r="J49" s="877"/>
      <c r="K49" s="877"/>
      <c r="L49" s="877">
        <f t="shared" si="11"/>
        <v>0</v>
      </c>
      <c r="M49" s="877">
        <f t="shared" si="12"/>
        <v>0</v>
      </c>
      <c r="N49" s="877">
        <f t="shared" si="13"/>
        <v>0</v>
      </c>
      <c r="O49" s="877">
        <f t="shared" si="10"/>
        <v>0</v>
      </c>
    </row>
    <row r="50" spans="1:15" ht="12.75" customHeight="1">
      <c r="A50" s="916"/>
      <c r="B50" s="917"/>
      <c r="C50" s="898" t="s">
        <v>616</v>
      </c>
      <c r="D50" s="894" t="s">
        <v>617</v>
      </c>
      <c r="E50" s="919"/>
      <c r="F50" s="920"/>
      <c r="G50" s="854">
        <v>0</v>
      </c>
      <c r="H50" s="854">
        <v>0</v>
      </c>
      <c r="I50" s="923">
        <v>0</v>
      </c>
      <c r="J50" s="877"/>
      <c r="K50" s="877"/>
      <c r="L50" s="877">
        <f t="shared" si="11"/>
        <v>0</v>
      </c>
      <c r="M50" s="877">
        <f t="shared" si="12"/>
        <v>0</v>
      </c>
      <c r="N50" s="877">
        <f t="shared" si="13"/>
        <v>0</v>
      </c>
      <c r="O50" s="877">
        <f t="shared" si="10"/>
        <v>0</v>
      </c>
    </row>
    <row r="51" spans="1:15" ht="12.75" customHeight="1">
      <c r="A51" s="916"/>
      <c r="B51" s="917"/>
      <c r="C51" s="898" t="s">
        <v>618</v>
      </c>
      <c r="D51" s="927" t="s">
        <v>619</v>
      </c>
      <c r="E51" s="919"/>
      <c r="F51" s="920"/>
      <c r="G51" s="854">
        <v>0</v>
      </c>
      <c r="H51" s="854">
        <v>0</v>
      </c>
      <c r="I51" s="923">
        <v>0</v>
      </c>
      <c r="J51" s="877"/>
      <c r="K51" s="877"/>
      <c r="L51" s="877">
        <f t="shared" si="11"/>
        <v>0</v>
      </c>
      <c r="M51" s="877">
        <f t="shared" si="12"/>
        <v>0</v>
      </c>
      <c r="N51" s="877">
        <f t="shared" si="13"/>
        <v>0</v>
      </c>
      <c r="O51" s="877">
        <f t="shared" si="10"/>
        <v>0</v>
      </c>
    </row>
    <row r="52" spans="1:15" ht="12.75" customHeight="1">
      <c r="A52" s="916"/>
      <c r="B52" s="917"/>
      <c r="C52" s="898" t="s">
        <v>1015</v>
      </c>
      <c r="D52" s="927" t="s">
        <v>1016</v>
      </c>
      <c r="E52" s="919"/>
      <c r="F52" s="920"/>
      <c r="G52" s="854">
        <v>15123</v>
      </c>
      <c r="H52" s="854"/>
      <c r="I52" s="923">
        <v>15123</v>
      </c>
      <c r="J52" s="877"/>
      <c r="K52" s="877"/>
      <c r="L52" s="877">
        <f t="shared" si="11"/>
        <v>0</v>
      </c>
      <c r="M52" s="877">
        <f>SUM(G52+J52)</f>
        <v>15123</v>
      </c>
      <c r="N52" s="877"/>
      <c r="O52" s="877">
        <f t="shared" si="10"/>
        <v>15123</v>
      </c>
    </row>
    <row r="53" spans="1:15" ht="12.75" customHeight="1">
      <c r="A53" s="916"/>
      <c r="B53" s="917"/>
      <c r="C53" s="898" t="s">
        <v>1017</v>
      </c>
      <c r="D53" s="927" t="s">
        <v>1018</v>
      </c>
      <c r="E53" s="919"/>
      <c r="F53" s="920"/>
      <c r="G53" s="854">
        <v>991</v>
      </c>
      <c r="H53" s="854"/>
      <c r="I53" s="923">
        <v>991</v>
      </c>
      <c r="J53" s="877"/>
      <c r="K53" s="877"/>
      <c r="L53" s="877">
        <f t="shared" si="11"/>
        <v>0</v>
      </c>
      <c r="M53" s="877">
        <f>SUM(G53+J53)</f>
        <v>991</v>
      </c>
      <c r="N53" s="877"/>
      <c r="O53" s="877">
        <f t="shared" si="10"/>
        <v>991</v>
      </c>
    </row>
    <row r="54" spans="1:15" ht="12.75" customHeight="1">
      <c r="A54" s="916"/>
      <c r="B54" s="917"/>
      <c r="C54" s="898"/>
      <c r="D54" s="928" t="s">
        <v>1717</v>
      </c>
      <c r="E54" s="919"/>
      <c r="F54" s="920"/>
      <c r="G54" s="854">
        <v>0</v>
      </c>
      <c r="H54" s="854">
        <v>0</v>
      </c>
      <c r="I54" s="923">
        <v>0</v>
      </c>
      <c r="J54" s="877"/>
      <c r="K54" s="877"/>
      <c r="L54" s="877">
        <f t="shared" si="11"/>
        <v>0</v>
      </c>
      <c r="M54" s="877">
        <f>SUM(G54+J54)</f>
        <v>0</v>
      </c>
      <c r="N54" s="877">
        <f>SUM(H54+K54)</f>
        <v>0</v>
      </c>
      <c r="O54" s="877">
        <f t="shared" si="10"/>
        <v>0</v>
      </c>
    </row>
    <row r="55" spans="1:15" ht="12.75" customHeight="1">
      <c r="A55" s="916"/>
      <c r="B55" s="917"/>
      <c r="C55" s="898" t="s">
        <v>1680</v>
      </c>
      <c r="D55" s="929" t="s">
        <v>1852</v>
      </c>
      <c r="E55" s="930"/>
      <c r="F55" s="931"/>
      <c r="G55" s="854">
        <v>18326</v>
      </c>
      <c r="H55" s="854">
        <v>0</v>
      </c>
      <c r="I55" s="923">
        <v>18326</v>
      </c>
      <c r="J55" s="877"/>
      <c r="K55" s="877"/>
      <c r="L55" s="877">
        <f t="shared" si="11"/>
        <v>0</v>
      </c>
      <c r="M55" s="877">
        <f>SUM(G55+J55)</f>
        <v>18326</v>
      </c>
      <c r="N55" s="877">
        <f>SUM(H55+K55)</f>
        <v>0</v>
      </c>
      <c r="O55" s="877">
        <f t="shared" si="10"/>
        <v>18326</v>
      </c>
    </row>
    <row r="56" spans="1:15" ht="12.75" customHeight="1">
      <c r="A56" s="916"/>
      <c r="B56" s="917"/>
      <c r="C56" s="932" t="s">
        <v>898</v>
      </c>
      <c r="D56" s="933" t="s">
        <v>355</v>
      </c>
      <c r="E56" s="919"/>
      <c r="F56" s="920"/>
      <c r="G56" s="854"/>
      <c r="H56" s="854"/>
      <c r="I56" s="923"/>
      <c r="J56" s="877"/>
      <c r="K56" s="877"/>
      <c r="L56" s="877"/>
      <c r="M56" s="877"/>
      <c r="N56" s="877"/>
      <c r="O56" s="877"/>
    </row>
    <row r="57" spans="1:15" ht="12.75" customHeight="1">
      <c r="A57" s="916"/>
      <c r="B57" s="917"/>
      <c r="C57" s="898" t="s">
        <v>1673</v>
      </c>
      <c r="D57" s="929" t="s">
        <v>1245</v>
      </c>
      <c r="E57" s="919"/>
      <c r="F57" s="920"/>
      <c r="G57" s="854">
        <v>0</v>
      </c>
      <c r="H57" s="854">
        <v>0</v>
      </c>
      <c r="I57" s="923">
        <v>0</v>
      </c>
      <c r="J57" s="877"/>
      <c r="K57" s="877"/>
      <c r="L57" s="877">
        <f>SUM(J57:K57)</f>
        <v>0</v>
      </c>
      <c r="M57" s="877">
        <f aca="true" t="shared" si="14" ref="M57:N61">SUM(G57+J57)</f>
        <v>0</v>
      </c>
      <c r="N57" s="877">
        <f t="shared" si="14"/>
        <v>0</v>
      </c>
      <c r="O57" s="877">
        <f>SUM(M57:N57)</f>
        <v>0</v>
      </c>
    </row>
    <row r="58" spans="1:15" ht="12.75" customHeight="1">
      <c r="A58" s="916"/>
      <c r="B58" s="917"/>
      <c r="C58" s="898" t="s">
        <v>934</v>
      </c>
      <c r="D58" s="934" t="s">
        <v>1296</v>
      </c>
      <c r="E58" s="919"/>
      <c r="F58" s="920"/>
      <c r="G58" s="854">
        <v>0</v>
      </c>
      <c r="H58" s="854">
        <v>57864</v>
      </c>
      <c r="I58" s="923">
        <v>57864</v>
      </c>
      <c r="J58" s="877"/>
      <c r="K58" s="877"/>
      <c r="L58" s="877">
        <f>SUM(J58:K58)</f>
        <v>0</v>
      </c>
      <c r="M58" s="877">
        <f t="shared" si="14"/>
        <v>0</v>
      </c>
      <c r="N58" s="877">
        <f t="shared" si="14"/>
        <v>57864</v>
      </c>
      <c r="O58" s="877">
        <f>SUM(M58:N58)</f>
        <v>57864</v>
      </c>
    </row>
    <row r="59" spans="1:15" ht="12.75" customHeight="1">
      <c r="A59" s="916"/>
      <c r="B59" s="917"/>
      <c r="C59" s="898" t="s">
        <v>888</v>
      </c>
      <c r="D59" s="935" t="s">
        <v>620</v>
      </c>
      <c r="E59" s="919"/>
      <c r="F59" s="920"/>
      <c r="G59" s="854">
        <v>0</v>
      </c>
      <c r="H59" s="854">
        <v>0</v>
      </c>
      <c r="I59" s="923">
        <v>0</v>
      </c>
      <c r="J59" s="877"/>
      <c r="K59" s="877"/>
      <c r="L59" s="877">
        <f>SUM(J59:K59)</f>
        <v>0</v>
      </c>
      <c r="M59" s="877">
        <f t="shared" si="14"/>
        <v>0</v>
      </c>
      <c r="N59" s="877">
        <f t="shared" si="14"/>
        <v>0</v>
      </c>
      <c r="O59" s="877">
        <f>SUM(M59:N59)</f>
        <v>0</v>
      </c>
    </row>
    <row r="60" spans="1:15" ht="15" customHeight="1">
      <c r="A60" s="916"/>
      <c r="B60" s="917"/>
      <c r="C60" s="898"/>
      <c r="D60" s="928" t="s">
        <v>1717</v>
      </c>
      <c r="E60" s="919"/>
      <c r="F60" s="920"/>
      <c r="G60" s="854">
        <v>0</v>
      </c>
      <c r="H60" s="854">
        <v>0</v>
      </c>
      <c r="I60" s="923">
        <v>0</v>
      </c>
      <c r="J60" s="877"/>
      <c r="K60" s="877"/>
      <c r="L60" s="877">
        <f>SUM(J60:K60)</f>
        <v>0</v>
      </c>
      <c r="M60" s="877">
        <f t="shared" si="14"/>
        <v>0</v>
      </c>
      <c r="N60" s="877">
        <f t="shared" si="14"/>
        <v>0</v>
      </c>
      <c r="O60" s="877">
        <f>SUM(M60:N60)</f>
        <v>0</v>
      </c>
    </row>
    <row r="61" spans="1:15" ht="24.75" customHeight="1">
      <c r="A61" s="916"/>
      <c r="B61" s="917"/>
      <c r="C61" s="898" t="s">
        <v>932</v>
      </c>
      <c r="D61" s="936" t="s">
        <v>1644</v>
      </c>
      <c r="E61" s="919"/>
      <c r="F61" s="920"/>
      <c r="G61" s="854">
        <v>0</v>
      </c>
      <c r="H61" s="854">
        <v>355893</v>
      </c>
      <c r="I61" s="923">
        <v>355893</v>
      </c>
      <c r="J61" s="877"/>
      <c r="K61" s="877"/>
      <c r="L61" s="877">
        <f>SUM(J61:K61)</f>
        <v>0</v>
      </c>
      <c r="M61" s="877">
        <f t="shared" si="14"/>
        <v>0</v>
      </c>
      <c r="N61" s="877">
        <f t="shared" si="14"/>
        <v>355893</v>
      </c>
      <c r="O61" s="877">
        <f>SUM(M61:N61)</f>
        <v>355893</v>
      </c>
    </row>
    <row r="62" spans="1:15" ht="12.75" customHeight="1">
      <c r="A62" s="916"/>
      <c r="B62" s="917"/>
      <c r="C62" s="937" t="s">
        <v>903</v>
      </c>
      <c r="D62" s="938" t="s">
        <v>386</v>
      </c>
      <c r="E62" s="919"/>
      <c r="F62" s="920"/>
      <c r="G62" s="854"/>
      <c r="H62" s="854"/>
      <c r="I62" s="923"/>
      <c r="J62" s="877"/>
      <c r="K62" s="877"/>
      <c r="L62" s="877"/>
      <c r="M62" s="877"/>
      <c r="N62" s="877"/>
      <c r="O62" s="877"/>
    </row>
    <row r="63" spans="1:15" ht="12.75" customHeight="1">
      <c r="A63" s="916"/>
      <c r="B63" s="917"/>
      <c r="C63" s="898" t="s">
        <v>904</v>
      </c>
      <c r="D63" s="926" t="s">
        <v>1645</v>
      </c>
      <c r="E63" s="919"/>
      <c r="F63" s="920"/>
      <c r="G63" s="854">
        <v>1420</v>
      </c>
      <c r="H63" s="854">
        <v>0</v>
      </c>
      <c r="I63" s="923">
        <v>1420</v>
      </c>
      <c r="J63" s="877"/>
      <c r="K63" s="877"/>
      <c r="L63" s="877">
        <f aca="true" t="shared" si="15" ref="L63:L73">SUM(J63:K63)</f>
        <v>0</v>
      </c>
      <c r="M63" s="877">
        <f aca="true" t="shared" si="16" ref="M63:M73">SUM(G63+J63)</f>
        <v>1420</v>
      </c>
      <c r="N63" s="877">
        <f aca="true" t="shared" si="17" ref="N63:N73">SUM(H63+K63)</f>
        <v>0</v>
      </c>
      <c r="O63" s="877">
        <f aca="true" t="shared" si="18" ref="O63:O73">SUM(M63:N63)</f>
        <v>1420</v>
      </c>
    </row>
    <row r="64" spans="1:15" ht="12.75" customHeight="1">
      <c r="A64" s="916"/>
      <c r="B64" s="917"/>
      <c r="C64" s="898" t="s">
        <v>885</v>
      </c>
      <c r="D64" s="939" t="s">
        <v>1250</v>
      </c>
      <c r="E64" s="940"/>
      <c r="F64" s="920"/>
      <c r="G64" s="854">
        <v>4000</v>
      </c>
      <c r="H64" s="854">
        <v>0</v>
      </c>
      <c r="I64" s="923">
        <v>4000</v>
      </c>
      <c r="J64" s="877"/>
      <c r="K64" s="877"/>
      <c r="L64" s="877">
        <f t="shared" si="15"/>
        <v>0</v>
      </c>
      <c r="M64" s="877">
        <f t="shared" si="16"/>
        <v>4000</v>
      </c>
      <c r="N64" s="877">
        <f t="shared" si="17"/>
        <v>0</v>
      </c>
      <c r="O64" s="877">
        <f t="shared" si="18"/>
        <v>4000</v>
      </c>
    </row>
    <row r="65" spans="1:15" ht="12.75" customHeight="1">
      <c r="A65" s="916"/>
      <c r="B65" s="917"/>
      <c r="C65" s="898" t="s">
        <v>952</v>
      </c>
      <c r="D65" s="942" t="s">
        <v>1251</v>
      </c>
      <c r="E65" s="940"/>
      <c r="F65" s="941"/>
      <c r="G65" s="854">
        <v>0</v>
      </c>
      <c r="H65" s="854">
        <v>0</v>
      </c>
      <c r="I65" s="923">
        <v>0</v>
      </c>
      <c r="J65" s="877"/>
      <c r="K65" s="877"/>
      <c r="L65" s="877">
        <f t="shared" si="15"/>
        <v>0</v>
      </c>
      <c r="M65" s="877">
        <f t="shared" si="16"/>
        <v>0</v>
      </c>
      <c r="N65" s="877">
        <f t="shared" si="17"/>
        <v>0</v>
      </c>
      <c r="O65" s="877">
        <f t="shared" si="18"/>
        <v>0</v>
      </c>
    </row>
    <row r="66" spans="1:15" ht="37.5" customHeight="1">
      <c r="A66" s="916"/>
      <c r="B66" s="917"/>
      <c r="C66" s="898" t="s">
        <v>953</v>
      </c>
      <c r="D66" s="942" t="s">
        <v>1252</v>
      </c>
      <c r="E66" s="940"/>
      <c r="F66" s="941"/>
      <c r="G66" s="854">
        <v>1000</v>
      </c>
      <c r="H66" s="854">
        <v>0</v>
      </c>
      <c r="I66" s="923">
        <v>1000</v>
      </c>
      <c r="J66" s="877"/>
      <c r="K66" s="877"/>
      <c r="L66" s="877">
        <f t="shared" si="15"/>
        <v>0</v>
      </c>
      <c r="M66" s="877">
        <f t="shared" si="16"/>
        <v>1000</v>
      </c>
      <c r="N66" s="877">
        <f t="shared" si="17"/>
        <v>0</v>
      </c>
      <c r="O66" s="877">
        <f t="shared" si="18"/>
        <v>1000</v>
      </c>
    </row>
    <row r="67" spans="1:15" ht="12.75" customHeight="1">
      <c r="A67" s="916"/>
      <c r="B67" s="917"/>
      <c r="C67" s="898" t="s">
        <v>1258</v>
      </c>
      <c r="D67" s="942" t="s">
        <v>1253</v>
      </c>
      <c r="E67" s="940"/>
      <c r="F67" s="941"/>
      <c r="G67" s="854">
        <v>2071</v>
      </c>
      <c r="H67" s="854">
        <v>0</v>
      </c>
      <c r="I67" s="923">
        <v>2071</v>
      </c>
      <c r="J67" s="877"/>
      <c r="K67" s="877"/>
      <c r="L67" s="877">
        <f t="shared" si="15"/>
        <v>0</v>
      </c>
      <c r="M67" s="877">
        <f t="shared" si="16"/>
        <v>2071</v>
      </c>
      <c r="N67" s="877">
        <f t="shared" si="17"/>
        <v>0</v>
      </c>
      <c r="O67" s="877">
        <f t="shared" si="18"/>
        <v>2071</v>
      </c>
    </row>
    <row r="68" spans="1:15" ht="12.75" customHeight="1">
      <c r="A68" s="916"/>
      <c r="B68" s="917"/>
      <c r="C68" s="898" t="s">
        <v>1259</v>
      </c>
      <c r="D68" s="942" t="s">
        <v>1254</v>
      </c>
      <c r="E68" s="940"/>
      <c r="F68" s="941"/>
      <c r="G68" s="854">
        <v>1200</v>
      </c>
      <c r="H68" s="854">
        <v>0</v>
      </c>
      <c r="I68" s="923">
        <v>1200</v>
      </c>
      <c r="J68" s="877"/>
      <c r="K68" s="877"/>
      <c r="L68" s="877">
        <f t="shared" si="15"/>
        <v>0</v>
      </c>
      <c r="M68" s="877">
        <f t="shared" si="16"/>
        <v>1200</v>
      </c>
      <c r="N68" s="877">
        <f t="shared" si="17"/>
        <v>0</v>
      </c>
      <c r="O68" s="877">
        <f t="shared" si="18"/>
        <v>1200</v>
      </c>
    </row>
    <row r="69" spans="1:15" ht="12.75" customHeight="1">
      <c r="A69" s="916"/>
      <c r="B69" s="917"/>
      <c r="C69" s="898" t="s">
        <v>846</v>
      </c>
      <c r="D69" s="942" t="s">
        <v>1255</v>
      </c>
      <c r="E69" s="940"/>
      <c r="F69" s="941"/>
      <c r="G69" s="854">
        <v>1000</v>
      </c>
      <c r="H69" s="854">
        <v>0</v>
      </c>
      <c r="I69" s="923">
        <v>1000</v>
      </c>
      <c r="J69" s="877"/>
      <c r="K69" s="877"/>
      <c r="L69" s="877">
        <f t="shared" si="15"/>
        <v>0</v>
      </c>
      <c r="M69" s="877">
        <f t="shared" si="16"/>
        <v>1000</v>
      </c>
      <c r="N69" s="877">
        <f t="shared" si="17"/>
        <v>0</v>
      </c>
      <c r="O69" s="877">
        <f t="shared" si="18"/>
        <v>1000</v>
      </c>
    </row>
    <row r="70" spans="1:15" ht="12.75" customHeight="1">
      <c r="A70" s="916"/>
      <c r="B70" s="917"/>
      <c r="C70" s="898" t="s">
        <v>621</v>
      </c>
      <c r="D70" s="942" t="s">
        <v>622</v>
      </c>
      <c r="E70" s="940"/>
      <c r="F70" s="941"/>
      <c r="G70" s="854">
        <v>1400</v>
      </c>
      <c r="H70" s="854">
        <v>0</v>
      </c>
      <c r="I70" s="923">
        <v>1400</v>
      </c>
      <c r="J70" s="877"/>
      <c r="K70" s="877"/>
      <c r="L70" s="877">
        <f t="shared" si="15"/>
        <v>0</v>
      </c>
      <c r="M70" s="877">
        <f t="shared" si="16"/>
        <v>1400</v>
      </c>
      <c r="N70" s="877">
        <f t="shared" si="17"/>
        <v>0</v>
      </c>
      <c r="O70" s="877">
        <f t="shared" si="18"/>
        <v>1400</v>
      </c>
    </row>
    <row r="71" spans="1:15" ht="12.75" customHeight="1">
      <c r="A71" s="916"/>
      <c r="B71" s="917"/>
      <c r="C71" s="898" t="s">
        <v>623</v>
      </c>
      <c r="D71" s="943" t="s">
        <v>510</v>
      </c>
      <c r="E71" s="940"/>
      <c r="F71" s="941"/>
      <c r="G71" s="854">
        <v>0</v>
      </c>
      <c r="H71" s="854">
        <v>24</v>
      </c>
      <c r="I71" s="923">
        <v>24</v>
      </c>
      <c r="J71" s="877"/>
      <c r="K71" s="877"/>
      <c r="L71" s="877">
        <f t="shared" si="15"/>
        <v>0</v>
      </c>
      <c r="M71" s="877">
        <f t="shared" si="16"/>
        <v>0</v>
      </c>
      <c r="N71" s="877">
        <f t="shared" si="17"/>
        <v>24</v>
      </c>
      <c r="O71" s="877">
        <f t="shared" si="18"/>
        <v>24</v>
      </c>
    </row>
    <row r="72" spans="1:15" ht="12.75" customHeight="1">
      <c r="A72" s="916"/>
      <c r="B72" s="917"/>
      <c r="C72" s="937"/>
      <c r="D72" s="928" t="s">
        <v>1717</v>
      </c>
      <c r="E72" s="919"/>
      <c r="F72" s="920"/>
      <c r="G72" s="854">
        <v>0</v>
      </c>
      <c r="H72" s="854">
        <v>0</v>
      </c>
      <c r="I72" s="923">
        <v>0</v>
      </c>
      <c r="J72" s="877"/>
      <c r="K72" s="877"/>
      <c r="L72" s="877">
        <f t="shared" si="15"/>
        <v>0</v>
      </c>
      <c r="M72" s="877">
        <f t="shared" si="16"/>
        <v>0</v>
      </c>
      <c r="N72" s="877">
        <f t="shared" si="17"/>
        <v>0</v>
      </c>
      <c r="O72" s="877">
        <f t="shared" si="18"/>
        <v>0</v>
      </c>
    </row>
    <row r="73" spans="1:15" ht="12.75" customHeight="1">
      <c r="A73" s="916"/>
      <c r="B73" s="917"/>
      <c r="C73" s="944" t="s">
        <v>1256</v>
      </c>
      <c r="D73" s="945" t="s">
        <v>1853</v>
      </c>
      <c r="E73" s="919"/>
      <c r="F73" s="920"/>
      <c r="G73" s="854">
        <v>2653</v>
      </c>
      <c r="H73" s="854">
        <v>0</v>
      </c>
      <c r="I73" s="923">
        <v>2653</v>
      </c>
      <c r="J73" s="877"/>
      <c r="K73" s="877"/>
      <c r="L73" s="877">
        <f t="shared" si="15"/>
        <v>0</v>
      </c>
      <c r="M73" s="877">
        <f t="shared" si="16"/>
        <v>2653</v>
      </c>
      <c r="N73" s="877">
        <f t="shared" si="17"/>
        <v>0</v>
      </c>
      <c r="O73" s="877">
        <f t="shared" si="18"/>
        <v>2653</v>
      </c>
    </row>
    <row r="74" spans="1:15" ht="12.75" customHeight="1">
      <c r="A74" s="916"/>
      <c r="B74" s="917"/>
      <c r="C74" s="937" t="s">
        <v>905</v>
      </c>
      <c r="D74" s="946" t="s">
        <v>906</v>
      </c>
      <c r="E74" s="919"/>
      <c r="F74" s="920"/>
      <c r="G74" s="854"/>
      <c r="H74" s="854"/>
      <c r="I74" s="923"/>
      <c r="J74" s="877"/>
      <c r="K74" s="877"/>
      <c r="L74" s="877"/>
      <c r="M74" s="877"/>
      <c r="N74" s="877"/>
      <c r="O74" s="877"/>
    </row>
    <row r="75" spans="1:15" ht="12.75" customHeight="1">
      <c r="A75" s="916"/>
      <c r="B75" s="917"/>
      <c r="C75" s="898" t="s">
        <v>907</v>
      </c>
      <c r="D75" s="947" t="s">
        <v>1585</v>
      </c>
      <c r="E75" s="919"/>
      <c r="F75" s="920"/>
      <c r="G75" s="854">
        <v>4001</v>
      </c>
      <c r="H75" s="854">
        <v>0</v>
      </c>
      <c r="I75" s="923">
        <v>4001</v>
      </c>
      <c r="J75" s="877"/>
      <c r="K75" s="877"/>
      <c r="L75" s="877">
        <f aca="true" t="shared" si="19" ref="L75:L86">SUM(J75:K75)</f>
        <v>0</v>
      </c>
      <c r="M75" s="877">
        <f aca="true" t="shared" si="20" ref="M75:N81">SUM(G75+J75)</f>
        <v>4001</v>
      </c>
      <c r="N75" s="877">
        <f t="shared" si="20"/>
        <v>0</v>
      </c>
      <c r="O75" s="877">
        <f aca="true" t="shared" si="21" ref="O75:O86">SUM(M75:N75)</f>
        <v>4001</v>
      </c>
    </row>
    <row r="76" spans="1:15" ht="12.75" customHeight="1">
      <c r="A76" s="916"/>
      <c r="B76" s="917"/>
      <c r="C76" s="898" t="s">
        <v>210</v>
      </c>
      <c r="D76" s="947" t="s">
        <v>1780</v>
      </c>
      <c r="E76" s="919"/>
      <c r="F76" s="920"/>
      <c r="G76" s="854">
        <v>10737</v>
      </c>
      <c r="H76" s="854">
        <v>0</v>
      </c>
      <c r="I76" s="923">
        <v>10737</v>
      </c>
      <c r="J76" s="877"/>
      <c r="K76" s="877"/>
      <c r="L76" s="877">
        <f t="shared" si="19"/>
        <v>0</v>
      </c>
      <c r="M76" s="877">
        <f t="shared" si="20"/>
        <v>10737</v>
      </c>
      <c r="N76" s="877">
        <f t="shared" si="20"/>
        <v>0</v>
      </c>
      <c r="O76" s="877">
        <f t="shared" si="21"/>
        <v>10737</v>
      </c>
    </row>
    <row r="77" spans="1:15" ht="12.75" customHeight="1">
      <c r="A77" s="916"/>
      <c r="B77" s="917"/>
      <c r="C77" s="898" t="s">
        <v>211</v>
      </c>
      <c r="D77" s="947" t="s">
        <v>1783</v>
      </c>
      <c r="E77" s="919"/>
      <c r="F77" s="920"/>
      <c r="G77" s="854">
        <v>3000</v>
      </c>
      <c r="H77" s="854">
        <v>0</v>
      </c>
      <c r="I77" s="923">
        <v>3000</v>
      </c>
      <c r="J77" s="877"/>
      <c r="K77" s="877"/>
      <c r="L77" s="877">
        <f t="shared" si="19"/>
        <v>0</v>
      </c>
      <c r="M77" s="877">
        <f t="shared" si="20"/>
        <v>3000</v>
      </c>
      <c r="N77" s="877">
        <f t="shared" si="20"/>
        <v>0</v>
      </c>
      <c r="O77" s="877">
        <f t="shared" si="21"/>
        <v>3000</v>
      </c>
    </row>
    <row r="78" spans="1:15" ht="12.75" customHeight="1">
      <c r="A78" s="916"/>
      <c r="B78" s="917"/>
      <c r="C78" s="898" t="s">
        <v>212</v>
      </c>
      <c r="D78" s="934" t="s">
        <v>1785</v>
      </c>
      <c r="E78" s="919"/>
      <c r="F78" s="920"/>
      <c r="G78" s="854">
        <v>3918</v>
      </c>
      <c r="H78" s="854">
        <v>0</v>
      </c>
      <c r="I78" s="923">
        <v>3918</v>
      </c>
      <c r="J78" s="877"/>
      <c r="K78" s="877"/>
      <c r="L78" s="877">
        <f t="shared" si="19"/>
        <v>0</v>
      </c>
      <c r="M78" s="877">
        <f t="shared" si="20"/>
        <v>3918</v>
      </c>
      <c r="N78" s="877">
        <f t="shared" si="20"/>
        <v>0</v>
      </c>
      <c r="O78" s="877">
        <f t="shared" si="21"/>
        <v>3918</v>
      </c>
    </row>
    <row r="79" spans="1:15" ht="20.25" customHeight="1">
      <c r="A79" s="916"/>
      <c r="B79" s="917"/>
      <c r="C79" s="898" t="s">
        <v>213</v>
      </c>
      <c r="D79" s="947" t="s">
        <v>1019</v>
      </c>
      <c r="E79" s="919"/>
      <c r="F79" s="920"/>
      <c r="G79" s="854">
        <v>2902</v>
      </c>
      <c r="H79" s="854">
        <v>0</v>
      </c>
      <c r="I79" s="923">
        <v>2902</v>
      </c>
      <c r="J79" s="877"/>
      <c r="K79" s="877"/>
      <c r="L79" s="877">
        <f t="shared" si="19"/>
        <v>0</v>
      </c>
      <c r="M79" s="877">
        <f t="shared" si="20"/>
        <v>2902</v>
      </c>
      <c r="N79" s="877">
        <f t="shared" si="20"/>
        <v>0</v>
      </c>
      <c r="O79" s="877">
        <f t="shared" si="21"/>
        <v>2902</v>
      </c>
    </row>
    <row r="80" spans="1:15" ht="12.75" customHeight="1">
      <c r="A80" s="916"/>
      <c r="B80" s="917"/>
      <c r="C80" s="898" t="s">
        <v>214</v>
      </c>
      <c r="D80" s="948" t="s">
        <v>1787</v>
      </c>
      <c r="E80" s="919"/>
      <c r="F80" s="920"/>
      <c r="G80" s="854">
        <v>1999</v>
      </c>
      <c r="H80" s="854">
        <v>0</v>
      </c>
      <c r="I80" s="923">
        <v>1999</v>
      </c>
      <c r="J80" s="877"/>
      <c r="K80" s="877"/>
      <c r="L80" s="877">
        <f t="shared" si="19"/>
        <v>0</v>
      </c>
      <c r="M80" s="877">
        <f t="shared" si="20"/>
        <v>1999</v>
      </c>
      <c r="N80" s="877">
        <f t="shared" si="20"/>
        <v>0</v>
      </c>
      <c r="O80" s="877">
        <f t="shared" si="21"/>
        <v>1999</v>
      </c>
    </row>
    <row r="81" spans="1:15" ht="12.75" customHeight="1">
      <c r="A81" s="916"/>
      <c r="B81" s="917"/>
      <c r="C81" s="898" t="s">
        <v>1377</v>
      </c>
      <c r="D81" s="947" t="s">
        <v>1788</v>
      </c>
      <c r="E81" s="919"/>
      <c r="F81" s="920" t="s">
        <v>606</v>
      </c>
      <c r="G81" s="854">
        <v>14044</v>
      </c>
      <c r="H81" s="854">
        <v>0</v>
      </c>
      <c r="I81" s="923">
        <v>14044</v>
      </c>
      <c r="J81" s="877">
        <v>-401</v>
      </c>
      <c r="K81" s="877"/>
      <c r="L81" s="877">
        <f t="shared" si="19"/>
        <v>-401</v>
      </c>
      <c r="M81" s="877">
        <f t="shared" si="20"/>
        <v>13643</v>
      </c>
      <c r="N81" s="877">
        <f t="shared" si="20"/>
        <v>0</v>
      </c>
      <c r="O81" s="877">
        <f t="shared" si="21"/>
        <v>13643</v>
      </c>
    </row>
    <row r="82" spans="1:15" ht="12.75" customHeight="1">
      <c r="A82" s="916"/>
      <c r="B82" s="917"/>
      <c r="C82" s="898" t="s">
        <v>766</v>
      </c>
      <c r="D82" s="934" t="s">
        <v>768</v>
      </c>
      <c r="E82" s="919"/>
      <c r="F82" s="920"/>
      <c r="G82" s="854">
        <v>3863</v>
      </c>
      <c r="H82" s="854"/>
      <c r="I82" s="923">
        <v>3863</v>
      </c>
      <c r="J82" s="877"/>
      <c r="K82" s="877"/>
      <c r="L82" s="877">
        <f t="shared" si="19"/>
        <v>0</v>
      </c>
      <c r="M82" s="877">
        <f>SUM(G82+J82)</f>
        <v>3863</v>
      </c>
      <c r="N82" s="877"/>
      <c r="O82" s="877">
        <f t="shared" si="21"/>
        <v>3863</v>
      </c>
    </row>
    <row r="83" spans="1:15" ht="12.75" customHeight="1">
      <c r="A83" s="916"/>
      <c r="B83" s="917"/>
      <c r="C83" s="898" t="s">
        <v>511</v>
      </c>
      <c r="D83" s="934" t="s">
        <v>512</v>
      </c>
      <c r="E83" s="919"/>
      <c r="F83" s="920"/>
      <c r="G83" s="854">
        <v>1000</v>
      </c>
      <c r="H83" s="854"/>
      <c r="I83" s="923">
        <v>1000</v>
      </c>
      <c r="J83" s="877"/>
      <c r="K83" s="877"/>
      <c r="L83" s="877">
        <f t="shared" si="19"/>
        <v>0</v>
      </c>
      <c r="M83" s="877">
        <f>SUM(G83+J83)</f>
        <v>1000</v>
      </c>
      <c r="N83" s="877"/>
      <c r="O83" s="877">
        <f t="shared" si="21"/>
        <v>1000</v>
      </c>
    </row>
    <row r="84" spans="1:15" ht="12.75" customHeight="1">
      <c r="A84" s="916"/>
      <c r="B84" s="917"/>
      <c r="C84" s="898" t="s">
        <v>513</v>
      </c>
      <c r="D84" s="934" t="s">
        <v>514</v>
      </c>
      <c r="E84" s="919"/>
      <c r="F84" s="920"/>
      <c r="G84" s="854">
        <v>1424</v>
      </c>
      <c r="H84" s="854"/>
      <c r="I84" s="923">
        <v>1424</v>
      </c>
      <c r="J84" s="877"/>
      <c r="K84" s="877"/>
      <c r="L84" s="877">
        <f t="shared" si="19"/>
        <v>0</v>
      </c>
      <c r="M84" s="877">
        <f>SUM(G84+J84)</f>
        <v>1424</v>
      </c>
      <c r="N84" s="877"/>
      <c r="O84" s="877">
        <f t="shared" si="21"/>
        <v>1424</v>
      </c>
    </row>
    <row r="85" spans="1:15" ht="12.75" customHeight="1">
      <c r="A85" s="916"/>
      <c r="B85" s="917"/>
      <c r="C85" s="898" t="s">
        <v>515</v>
      </c>
      <c r="D85" s="934" t="s">
        <v>516</v>
      </c>
      <c r="E85" s="919"/>
      <c r="F85" s="920"/>
      <c r="G85" s="854">
        <v>5507</v>
      </c>
      <c r="H85" s="854"/>
      <c r="I85" s="923">
        <v>5507</v>
      </c>
      <c r="J85" s="877"/>
      <c r="K85" s="877"/>
      <c r="L85" s="877">
        <f t="shared" si="19"/>
        <v>0</v>
      </c>
      <c r="M85" s="877">
        <f>SUM(G85+J85)</f>
        <v>5507</v>
      </c>
      <c r="N85" s="877"/>
      <c r="O85" s="877">
        <f t="shared" si="21"/>
        <v>5507</v>
      </c>
    </row>
    <row r="86" spans="1:15" ht="12.75" customHeight="1">
      <c r="A86" s="916"/>
      <c r="B86" s="917"/>
      <c r="C86" s="898" t="s">
        <v>517</v>
      </c>
      <c r="D86" s="934" t="s">
        <v>518</v>
      </c>
      <c r="E86" s="919"/>
      <c r="F86" s="920"/>
      <c r="G86" s="854">
        <v>910</v>
      </c>
      <c r="H86" s="854"/>
      <c r="I86" s="923">
        <v>910</v>
      </c>
      <c r="J86" s="877"/>
      <c r="K86" s="877"/>
      <c r="L86" s="877">
        <f t="shared" si="19"/>
        <v>0</v>
      </c>
      <c r="M86" s="877">
        <f>SUM(G86+J86)</f>
        <v>910</v>
      </c>
      <c r="N86" s="877"/>
      <c r="O86" s="877">
        <f t="shared" si="21"/>
        <v>910</v>
      </c>
    </row>
    <row r="87" spans="1:15" ht="12.75" customHeight="1">
      <c r="A87" s="916"/>
      <c r="B87" s="917"/>
      <c r="C87" s="937"/>
      <c r="D87" s="928" t="s">
        <v>1717</v>
      </c>
      <c r="E87" s="919"/>
      <c r="F87" s="920"/>
      <c r="G87" s="854"/>
      <c r="H87" s="854"/>
      <c r="I87" s="923"/>
      <c r="J87" s="877"/>
      <c r="K87" s="877"/>
      <c r="L87" s="877"/>
      <c r="M87" s="877"/>
      <c r="N87" s="877"/>
      <c r="O87" s="877"/>
    </row>
    <row r="88" spans="1:15" ht="24.75" customHeight="1">
      <c r="A88" s="924"/>
      <c r="B88" s="925"/>
      <c r="C88" s="898" t="s">
        <v>1676</v>
      </c>
      <c r="D88" s="949" t="s">
        <v>1153</v>
      </c>
      <c r="E88" s="919"/>
      <c r="F88" s="920"/>
      <c r="G88" s="854">
        <v>1415</v>
      </c>
      <c r="H88" s="854">
        <v>0</v>
      </c>
      <c r="I88" s="923">
        <v>1415</v>
      </c>
      <c r="J88" s="877"/>
      <c r="K88" s="877"/>
      <c r="L88" s="877">
        <f>SUM(J88:K88)</f>
        <v>0</v>
      </c>
      <c r="M88" s="877">
        <f aca="true" t="shared" si="22" ref="M88:N90">SUM(G88+J88)</f>
        <v>1415</v>
      </c>
      <c r="N88" s="877">
        <f t="shared" si="22"/>
        <v>0</v>
      </c>
      <c r="O88" s="877">
        <f>SUM(M88:N88)</f>
        <v>1415</v>
      </c>
    </row>
    <row r="89" spans="1:15" ht="15" customHeight="1">
      <c r="A89" s="916"/>
      <c r="B89" s="917"/>
      <c r="C89" s="898" t="s">
        <v>210</v>
      </c>
      <c r="D89" s="950" t="s">
        <v>1646</v>
      </c>
      <c r="E89" s="919"/>
      <c r="F89" s="920"/>
      <c r="G89" s="854">
        <v>1987</v>
      </c>
      <c r="H89" s="854">
        <v>0</v>
      </c>
      <c r="I89" s="923">
        <v>1987</v>
      </c>
      <c r="J89" s="877"/>
      <c r="K89" s="877"/>
      <c r="L89" s="877">
        <f>SUM(J89:K89)</f>
        <v>0</v>
      </c>
      <c r="M89" s="877">
        <f t="shared" si="22"/>
        <v>1987</v>
      </c>
      <c r="N89" s="877">
        <f t="shared" si="22"/>
        <v>0</v>
      </c>
      <c r="O89" s="877">
        <f>SUM(M89:N89)</f>
        <v>1987</v>
      </c>
    </row>
    <row r="90" spans="1:15" ht="12.75" customHeight="1">
      <c r="A90" s="916"/>
      <c r="B90" s="917"/>
      <c r="C90" s="898" t="s">
        <v>211</v>
      </c>
      <c r="D90" s="949" t="s">
        <v>1854</v>
      </c>
      <c r="E90" s="919"/>
      <c r="F90" s="920"/>
      <c r="G90" s="854">
        <v>2950</v>
      </c>
      <c r="H90" s="854">
        <v>0</v>
      </c>
      <c r="I90" s="923">
        <v>2950</v>
      </c>
      <c r="J90" s="877"/>
      <c r="K90" s="877"/>
      <c r="L90" s="877">
        <f>SUM(J90:K90)</f>
        <v>0</v>
      </c>
      <c r="M90" s="877">
        <f t="shared" si="22"/>
        <v>2950</v>
      </c>
      <c r="N90" s="877">
        <f t="shared" si="22"/>
        <v>0</v>
      </c>
      <c r="O90" s="877">
        <f>SUM(M90:N90)</f>
        <v>2950</v>
      </c>
    </row>
    <row r="91" spans="1:15" ht="12.75" customHeight="1">
      <c r="A91" s="916"/>
      <c r="B91" s="917"/>
      <c r="C91" s="937" t="s">
        <v>1387</v>
      </c>
      <c r="D91" s="938" t="s">
        <v>43</v>
      </c>
      <c r="E91" s="919"/>
      <c r="F91" s="920"/>
      <c r="G91" s="854"/>
      <c r="H91" s="854"/>
      <c r="I91" s="923"/>
      <c r="J91" s="877"/>
      <c r="K91" s="877"/>
      <c r="L91" s="877"/>
      <c r="M91" s="877"/>
      <c r="N91" s="877"/>
      <c r="O91" s="877"/>
    </row>
    <row r="92" spans="1:15" ht="12.75" customHeight="1">
      <c r="A92" s="916"/>
      <c r="B92" s="917"/>
      <c r="C92" s="944" t="s">
        <v>1384</v>
      </c>
      <c r="D92" s="951" t="s">
        <v>1264</v>
      </c>
      <c r="E92" s="919"/>
      <c r="F92" s="920"/>
      <c r="G92" s="854">
        <v>1943</v>
      </c>
      <c r="H92" s="854">
        <v>0</v>
      </c>
      <c r="I92" s="923">
        <v>1943</v>
      </c>
      <c r="J92" s="877"/>
      <c r="K92" s="877"/>
      <c r="L92" s="877">
        <f aca="true" t="shared" si="23" ref="L92:L115">SUM(J92:K92)</f>
        <v>0</v>
      </c>
      <c r="M92" s="877">
        <f aca="true" t="shared" si="24" ref="M92:M112">SUM(G92+J92)</f>
        <v>1943</v>
      </c>
      <c r="N92" s="877">
        <f aca="true" t="shared" si="25" ref="N92:N112">SUM(H92+K92)</f>
        <v>0</v>
      </c>
      <c r="O92" s="877">
        <f aca="true" t="shared" si="26" ref="O92:O115">SUM(M92:N92)</f>
        <v>1943</v>
      </c>
    </row>
    <row r="93" spans="1:15" ht="12.75" customHeight="1">
      <c r="A93" s="916"/>
      <c r="B93" s="917"/>
      <c r="C93" s="944" t="s">
        <v>29</v>
      </c>
      <c r="D93" s="951" t="s">
        <v>1265</v>
      </c>
      <c r="E93" s="919"/>
      <c r="F93" s="920"/>
      <c r="G93" s="854">
        <v>1000</v>
      </c>
      <c r="H93" s="854">
        <v>0</v>
      </c>
      <c r="I93" s="923">
        <v>1000</v>
      </c>
      <c r="J93" s="877"/>
      <c r="K93" s="877"/>
      <c r="L93" s="877">
        <f t="shared" si="23"/>
        <v>0</v>
      </c>
      <c r="M93" s="877">
        <f t="shared" si="24"/>
        <v>1000</v>
      </c>
      <c r="N93" s="877">
        <f t="shared" si="25"/>
        <v>0</v>
      </c>
      <c r="O93" s="877">
        <f t="shared" si="26"/>
        <v>1000</v>
      </c>
    </row>
    <row r="94" spans="1:15" ht="12.75" customHeight="1">
      <c r="A94" s="916"/>
      <c r="B94" s="917"/>
      <c r="C94" s="944" t="s">
        <v>30</v>
      </c>
      <c r="D94" s="308" t="s">
        <v>1266</v>
      </c>
      <c r="E94" s="919"/>
      <c r="F94" s="920"/>
      <c r="G94" s="854">
        <v>494</v>
      </c>
      <c r="H94" s="854">
        <v>0</v>
      </c>
      <c r="I94" s="923">
        <v>494</v>
      </c>
      <c r="J94" s="877"/>
      <c r="K94" s="877"/>
      <c r="L94" s="877">
        <f t="shared" si="23"/>
        <v>0</v>
      </c>
      <c r="M94" s="877">
        <f t="shared" si="24"/>
        <v>494</v>
      </c>
      <c r="N94" s="877">
        <f t="shared" si="25"/>
        <v>0</v>
      </c>
      <c r="O94" s="877">
        <f t="shared" si="26"/>
        <v>494</v>
      </c>
    </row>
    <row r="95" spans="1:15" ht="12.75" customHeight="1">
      <c r="A95" s="916"/>
      <c r="B95" s="917"/>
      <c r="C95" s="944" t="s">
        <v>31</v>
      </c>
      <c r="D95" s="894" t="s">
        <v>1280</v>
      </c>
      <c r="E95" s="919"/>
      <c r="F95" s="920"/>
      <c r="G95" s="854">
        <v>0</v>
      </c>
      <c r="H95" s="854">
        <v>800</v>
      </c>
      <c r="I95" s="923">
        <v>800</v>
      </c>
      <c r="J95" s="877"/>
      <c r="K95" s="877"/>
      <c r="L95" s="877">
        <f t="shared" si="23"/>
        <v>0</v>
      </c>
      <c r="M95" s="877">
        <f t="shared" si="24"/>
        <v>0</v>
      </c>
      <c r="N95" s="877">
        <f t="shared" si="25"/>
        <v>800</v>
      </c>
      <c r="O95" s="877">
        <f t="shared" si="26"/>
        <v>800</v>
      </c>
    </row>
    <row r="96" spans="1:15" ht="12.75" customHeight="1">
      <c r="A96" s="916"/>
      <c r="B96" s="917"/>
      <c r="C96" s="944" t="s">
        <v>852</v>
      </c>
      <c r="D96" s="894" t="s">
        <v>1281</v>
      </c>
      <c r="E96" s="919"/>
      <c r="F96" s="920"/>
      <c r="G96" s="854">
        <v>0</v>
      </c>
      <c r="H96" s="854">
        <v>0</v>
      </c>
      <c r="I96" s="923">
        <v>0</v>
      </c>
      <c r="J96" s="877"/>
      <c r="K96" s="877"/>
      <c r="L96" s="877">
        <f t="shared" si="23"/>
        <v>0</v>
      </c>
      <c r="M96" s="877">
        <f t="shared" si="24"/>
        <v>0</v>
      </c>
      <c r="N96" s="877">
        <f t="shared" si="25"/>
        <v>0</v>
      </c>
      <c r="O96" s="877">
        <f t="shared" si="26"/>
        <v>0</v>
      </c>
    </row>
    <row r="97" spans="1:15" ht="12.75" customHeight="1">
      <c r="A97" s="916"/>
      <c r="B97" s="917"/>
      <c r="C97" s="944" t="s">
        <v>853</v>
      </c>
      <c r="D97" s="894" t="s">
        <v>1282</v>
      </c>
      <c r="E97" s="919"/>
      <c r="F97" s="920"/>
      <c r="G97" s="854">
        <v>1000</v>
      </c>
      <c r="H97" s="854">
        <v>0</v>
      </c>
      <c r="I97" s="923">
        <v>1000</v>
      </c>
      <c r="J97" s="877"/>
      <c r="K97" s="877"/>
      <c r="L97" s="877">
        <f t="shared" si="23"/>
        <v>0</v>
      </c>
      <c r="M97" s="877">
        <f t="shared" si="24"/>
        <v>1000</v>
      </c>
      <c r="N97" s="877">
        <f t="shared" si="25"/>
        <v>0</v>
      </c>
      <c r="O97" s="877">
        <f t="shared" si="26"/>
        <v>1000</v>
      </c>
    </row>
    <row r="98" spans="1:15" ht="12.75" customHeight="1">
      <c r="A98" s="916"/>
      <c r="B98" s="917"/>
      <c r="C98" s="944" t="s">
        <v>854</v>
      </c>
      <c r="D98" s="894" t="s">
        <v>1283</v>
      </c>
      <c r="E98" s="919"/>
      <c r="F98" s="920"/>
      <c r="G98" s="854">
        <v>1500</v>
      </c>
      <c r="H98" s="854">
        <v>0</v>
      </c>
      <c r="I98" s="923">
        <v>1500</v>
      </c>
      <c r="J98" s="877"/>
      <c r="K98" s="877"/>
      <c r="L98" s="877">
        <f t="shared" si="23"/>
        <v>0</v>
      </c>
      <c r="M98" s="877">
        <f t="shared" si="24"/>
        <v>1500</v>
      </c>
      <c r="N98" s="877">
        <f t="shared" si="25"/>
        <v>0</v>
      </c>
      <c r="O98" s="877">
        <f t="shared" si="26"/>
        <v>1500</v>
      </c>
    </row>
    <row r="99" spans="1:15" ht="12.75" customHeight="1">
      <c r="A99" s="916"/>
      <c r="B99" s="917"/>
      <c r="C99" s="944" t="s">
        <v>855</v>
      </c>
      <c r="D99" s="952" t="s">
        <v>1284</v>
      </c>
      <c r="E99" s="919"/>
      <c r="F99" s="920"/>
      <c r="G99" s="854">
        <v>1000</v>
      </c>
      <c r="H99" s="854">
        <v>0</v>
      </c>
      <c r="I99" s="923">
        <v>1000</v>
      </c>
      <c r="J99" s="877"/>
      <c r="K99" s="877"/>
      <c r="L99" s="877">
        <f t="shared" si="23"/>
        <v>0</v>
      </c>
      <c r="M99" s="877">
        <f t="shared" si="24"/>
        <v>1000</v>
      </c>
      <c r="N99" s="877">
        <f t="shared" si="25"/>
        <v>0</v>
      </c>
      <c r="O99" s="877">
        <f t="shared" si="26"/>
        <v>1000</v>
      </c>
    </row>
    <row r="100" spans="1:15" ht="12.75" customHeight="1">
      <c r="A100" s="916"/>
      <c r="B100" s="917"/>
      <c r="C100" s="944" t="s">
        <v>856</v>
      </c>
      <c r="D100" s="926" t="s">
        <v>1285</v>
      </c>
      <c r="E100" s="919"/>
      <c r="F100" s="920"/>
      <c r="G100" s="854">
        <v>1245</v>
      </c>
      <c r="H100" s="854">
        <v>0</v>
      </c>
      <c r="I100" s="923">
        <v>1245</v>
      </c>
      <c r="J100" s="877"/>
      <c r="K100" s="877"/>
      <c r="L100" s="877">
        <f t="shared" si="23"/>
        <v>0</v>
      </c>
      <c r="M100" s="877">
        <f t="shared" si="24"/>
        <v>1245</v>
      </c>
      <c r="N100" s="877">
        <f t="shared" si="25"/>
        <v>0</v>
      </c>
      <c r="O100" s="877">
        <f t="shared" si="26"/>
        <v>1245</v>
      </c>
    </row>
    <row r="101" spans="1:15" ht="12.75" customHeight="1">
      <c r="A101" s="916"/>
      <c r="B101" s="917"/>
      <c r="C101" s="944" t="s">
        <v>857</v>
      </c>
      <c r="D101" s="926" t="s">
        <v>1286</v>
      </c>
      <c r="E101" s="919"/>
      <c r="F101" s="920"/>
      <c r="G101" s="854">
        <v>0</v>
      </c>
      <c r="H101" s="854">
        <v>0</v>
      </c>
      <c r="I101" s="923">
        <v>0</v>
      </c>
      <c r="J101" s="877"/>
      <c r="K101" s="877"/>
      <c r="L101" s="877">
        <f t="shared" si="23"/>
        <v>0</v>
      </c>
      <c r="M101" s="877">
        <f t="shared" si="24"/>
        <v>0</v>
      </c>
      <c r="N101" s="877">
        <f t="shared" si="25"/>
        <v>0</v>
      </c>
      <c r="O101" s="877">
        <f t="shared" si="26"/>
        <v>0</v>
      </c>
    </row>
    <row r="102" spans="1:15" ht="24.75" customHeight="1">
      <c r="A102" s="916"/>
      <c r="B102" s="917"/>
      <c r="C102" s="944" t="s">
        <v>858</v>
      </c>
      <c r="D102" s="953" t="s">
        <v>1287</v>
      </c>
      <c r="E102" s="919"/>
      <c r="F102" s="920"/>
      <c r="G102" s="854">
        <v>1385</v>
      </c>
      <c r="H102" s="854">
        <v>0</v>
      </c>
      <c r="I102" s="923">
        <v>1385</v>
      </c>
      <c r="J102" s="877"/>
      <c r="K102" s="877"/>
      <c r="L102" s="877">
        <f t="shared" si="23"/>
        <v>0</v>
      </c>
      <c r="M102" s="877">
        <f t="shared" si="24"/>
        <v>1385</v>
      </c>
      <c r="N102" s="877">
        <f t="shared" si="25"/>
        <v>0</v>
      </c>
      <c r="O102" s="877">
        <f t="shared" si="26"/>
        <v>1385</v>
      </c>
    </row>
    <row r="103" spans="1:15" ht="12.75" customHeight="1">
      <c r="A103" s="916"/>
      <c r="B103" s="917"/>
      <c r="C103" s="944" t="s">
        <v>859</v>
      </c>
      <c r="D103" s="926" t="s">
        <v>1288</v>
      </c>
      <c r="E103" s="919"/>
      <c r="F103" s="920"/>
      <c r="G103" s="854">
        <v>0</v>
      </c>
      <c r="H103" s="854">
        <v>0</v>
      </c>
      <c r="I103" s="923">
        <v>0</v>
      </c>
      <c r="J103" s="877"/>
      <c r="K103" s="877"/>
      <c r="L103" s="877">
        <f t="shared" si="23"/>
        <v>0</v>
      </c>
      <c r="M103" s="877">
        <f t="shared" si="24"/>
        <v>0</v>
      </c>
      <c r="N103" s="877">
        <f t="shared" si="25"/>
        <v>0</v>
      </c>
      <c r="O103" s="877">
        <f t="shared" si="26"/>
        <v>0</v>
      </c>
    </row>
    <row r="104" spans="1:15" ht="24.75" customHeight="1">
      <c r="A104" s="916"/>
      <c r="B104" s="917"/>
      <c r="C104" s="944" t="s">
        <v>860</v>
      </c>
      <c r="D104" s="926" t="s">
        <v>1372</v>
      </c>
      <c r="E104" s="919"/>
      <c r="F104" s="920"/>
      <c r="G104" s="854">
        <v>130</v>
      </c>
      <c r="H104" s="854">
        <v>0</v>
      </c>
      <c r="I104" s="923">
        <v>130</v>
      </c>
      <c r="J104" s="877"/>
      <c r="K104" s="877"/>
      <c r="L104" s="877">
        <f t="shared" si="23"/>
        <v>0</v>
      </c>
      <c r="M104" s="877">
        <f t="shared" si="24"/>
        <v>130</v>
      </c>
      <c r="N104" s="877">
        <f t="shared" si="25"/>
        <v>0</v>
      </c>
      <c r="O104" s="877">
        <f t="shared" si="26"/>
        <v>130</v>
      </c>
    </row>
    <row r="105" spans="1:15" ht="12.75" customHeight="1">
      <c r="A105" s="916"/>
      <c r="B105" s="917"/>
      <c r="C105" s="944" t="s">
        <v>861</v>
      </c>
      <c r="D105" s="954" t="s">
        <v>1373</v>
      </c>
      <c r="E105" s="919"/>
      <c r="F105" s="920"/>
      <c r="G105" s="854">
        <v>3000</v>
      </c>
      <c r="H105" s="854">
        <v>0</v>
      </c>
      <c r="I105" s="923">
        <v>3000</v>
      </c>
      <c r="J105" s="877"/>
      <c r="K105" s="877"/>
      <c r="L105" s="877">
        <f t="shared" si="23"/>
        <v>0</v>
      </c>
      <c r="M105" s="877">
        <f t="shared" si="24"/>
        <v>3000</v>
      </c>
      <c r="N105" s="877">
        <f t="shared" si="25"/>
        <v>0</v>
      </c>
      <c r="O105" s="877">
        <f t="shared" si="26"/>
        <v>3000</v>
      </c>
    </row>
    <row r="106" spans="1:15" ht="12.75" customHeight="1">
      <c r="A106" s="916"/>
      <c r="B106" s="917"/>
      <c r="C106" s="944" t="s">
        <v>862</v>
      </c>
      <c r="D106" s="954" t="s">
        <v>1374</v>
      </c>
      <c r="E106" s="919"/>
      <c r="F106" s="920"/>
      <c r="G106" s="854">
        <v>0</v>
      </c>
      <c r="H106" s="854">
        <v>0</v>
      </c>
      <c r="I106" s="923">
        <v>0</v>
      </c>
      <c r="J106" s="877"/>
      <c r="K106" s="877"/>
      <c r="L106" s="877">
        <f t="shared" si="23"/>
        <v>0</v>
      </c>
      <c r="M106" s="877">
        <f t="shared" si="24"/>
        <v>0</v>
      </c>
      <c r="N106" s="877">
        <f t="shared" si="25"/>
        <v>0</v>
      </c>
      <c r="O106" s="877">
        <f t="shared" si="26"/>
        <v>0</v>
      </c>
    </row>
    <row r="107" spans="1:15" ht="24.75" customHeight="1">
      <c r="A107" s="916"/>
      <c r="B107" s="917"/>
      <c r="C107" s="944" t="s">
        <v>863</v>
      </c>
      <c r="D107" s="926" t="s">
        <v>847</v>
      </c>
      <c r="E107" s="919"/>
      <c r="F107" s="920"/>
      <c r="G107" s="854">
        <v>1337</v>
      </c>
      <c r="H107" s="854">
        <v>0</v>
      </c>
      <c r="I107" s="923">
        <v>1337</v>
      </c>
      <c r="J107" s="877"/>
      <c r="K107" s="877"/>
      <c r="L107" s="877">
        <f t="shared" si="23"/>
        <v>0</v>
      </c>
      <c r="M107" s="877">
        <f t="shared" si="24"/>
        <v>1337</v>
      </c>
      <c r="N107" s="877">
        <f t="shared" si="25"/>
        <v>0</v>
      </c>
      <c r="O107" s="877">
        <f t="shared" si="26"/>
        <v>1337</v>
      </c>
    </row>
    <row r="108" spans="1:15" ht="24.75" customHeight="1">
      <c r="A108" s="916"/>
      <c r="B108" s="917"/>
      <c r="C108" s="944" t="s">
        <v>864</v>
      </c>
      <c r="D108" s="926" t="s">
        <v>848</v>
      </c>
      <c r="E108" s="919"/>
      <c r="F108" s="920"/>
      <c r="G108" s="854">
        <v>1500</v>
      </c>
      <c r="H108" s="854">
        <v>0</v>
      </c>
      <c r="I108" s="923">
        <v>1500</v>
      </c>
      <c r="J108" s="877"/>
      <c r="K108" s="877"/>
      <c r="L108" s="877">
        <f t="shared" si="23"/>
        <v>0</v>
      </c>
      <c r="M108" s="877">
        <f t="shared" si="24"/>
        <v>1500</v>
      </c>
      <c r="N108" s="877">
        <f t="shared" si="25"/>
        <v>0</v>
      </c>
      <c r="O108" s="877">
        <f t="shared" si="26"/>
        <v>1500</v>
      </c>
    </row>
    <row r="109" spans="1:15" ht="12.75" customHeight="1">
      <c r="A109" s="916"/>
      <c r="B109" s="917"/>
      <c r="C109" s="944" t="s">
        <v>865</v>
      </c>
      <c r="D109" s="926" t="s">
        <v>849</v>
      </c>
      <c r="E109" s="919"/>
      <c r="F109" s="920"/>
      <c r="G109" s="854">
        <v>8000</v>
      </c>
      <c r="H109" s="854">
        <v>0</v>
      </c>
      <c r="I109" s="923">
        <v>8000</v>
      </c>
      <c r="J109" s="877"/>
      <c r="K109" s="877"/>
      <c r="L109" s="877">
        <f t="shared" si="23"/>
        <v>0</v>
      </c>
      <c r="M109" s="877">
        <f t="shared" si="24"/>
        <v>8000</v>
      </c>
      <c r="N109" s="877">
        <f t="shared" si="25"/>
        <v>0</v>
      </c>
      <c r="O109" s="877">
        <f t="shared" si="26"/>
        <v>8000</v>
      </c>
    </row>
    <row r="110" spans="1:15" ht="12.75" customHeight="1">
      <c r="A110" s="916"/>
      <c r="B110" s="917"/>
      <c r="C110" s="944" t="s">
        <v>866</v>
      </c>
      <c r="D110" s="955" t="s">
        <v>850</v>
      </c>
      <c r="E110" s="919"/>
      <c r="F110" s="920"/>
      <c r="G110" s="854">
        <v>0</v>
      </c>
      <c r="H110" s="854">
        <v>6000</v>
      </c>
      <c r="I110" s="923">
        <v>6000</v>
      </c>
      <c r="J110" s="877"/>
      <c r="K110" s="877"/>
      <c r="L110" s="877">
        <f t="shared" si="23"/>
        <v>0</v>
      </c>
      <c r="M110" s="877">
        <f t="shared" si="24"/>
        <v>0</v>
      </c>
      <c r="N110" s="877">
        <f t="shared" si="25"/>
        <v>6000</v>
      </c>
      <c r="O110" s="877">
        <f t="shared" si="26"/>
        <v>6000</v>
      </c>
    </row>
    <row r="111" spans="1:15" ht="12.75" customHeight="1">
      <c r="A111" s="916"/>
      <c r="B111" s="917"/>
      <c r="C111" s="944" t="s">
        <v>867</v>
      </c>
      <c r="D111" s="955" t="s">
        <v>851</v>
      </c>
      <c r="E111" s="919"/>
      <c r="F111" s="920"/>
      <c r="G111" s="854">
        <v>500</v>
      </c>
      <c r="H111" s="854">
        <v>0</v>
      </c>
      <c r="I111" s="923">
        <v>500</v>
      </c>
      <c r="J111" s="877"/>
      <c r="K111" s="877"/>
      <c r="L111" s="877">
        <f t="shared" si="23"/>
        <v>0</v>
      </c>
      <c r="M111" s="877">
        <f t="shared" si="24"/>
        <v>500</v>
      </c>
      <c r="N111" s="877">
        <f t="shared" si="25"/>
        <v>0</v>
      </c>
      <c r="O111" s="877">
        <f t="shared" si="26"/>
        <v>500</v>
      </c>
    </row>
    <row r="112" spans="1:15" ht="24.75" customHeight="1">
      <c r="A112" s="916"/>
      <c r="B112" s="917"/>
      <c r="C112" s="944" t="s">
        <v>625</v>
      </c>
      <c r="D112" s="956" t="s">
        <v>626</v>
      </c>
      <c r="E112" s="919"/>
      <c r="F112" s="920"/>
      <c r="G112" s="854">
        <v>0</v>
      </c>
      <c r="H112" s="854">
        <v>500</v>
      </c>
      <c r="I112" s="923">
        <v>500</v>
      </c>
      <c r="J112" s="877"/>
      <c r="K112" s="877"/>
      <c r="L112" s="877">
        <f t="shared" si="23"/>
        <v>0</v>
      </c>
      <c r="M112" s="877">
        <f t="shared" si="24"/>
        <v>0</v>
      </c>
      <c r="N112" s="877">
        <f t="shared" si="25"/>
        <v>500</v>
      </c>
      <c r="O112" s="877">
        <f t="shared" si="26"/>
        <v>500</v>
      </c>
    </row>
    <row r="113" spans="1:15" ht="12.75" customHeight="1">
      <c r="A113" s="916"/>
      <c r="B113" s="917"/>
      <c r="C113" s="944" t="s">
        <v>627</v>
      </c>
      <c r="D113" s="956" t="s">
        <v>628</v>
      </c>
      <c r="E113" s="919"/>
      <c r="F113" s="920"/>
      <c r="G113" s="854">
        <v>997</v>
      </c>
      <c r="H113" s="854"/>
      <c r="I113" s="923">
        <v>997</v>
      </c>
      <c r="J113" s="877"/>
      <c r="K113" s="877"/>
      <c r="L113" s="877">
        <f t="shared" si="23"/>
        <v>0</v>
      </c>
      <c r="M113" s="877">
        <f>SUM(G113+J113)</f>
        <v>997</v>
      </c>
      <c r="N113" s="877"/>
      <c r="O113" s="877">
        <f t="shared" si="26"/>
        <v>997</v>
      </c>
    </row>
    <row r="114" spans="1:15" ht="12.75" customHeight="1">
      <c r="A114" s="916"/>
      <c r="B114" s="917"/>
      <c r="C114" s="937"/>
      <c r="D114" s="928" t="s">
        <v>1717</v>
      </c>
      <c r="E114" s="919"/>
      <c r="F114" s="920"/>
      <c r="G114" s="854">
        <v>0</v>
      </c>
      <c r="H114" s="854">
        <v>0</v>
      </c>
      <c r="I114" s="923">
        <v>0</v>
      </c>
      <c r="J114" s="877"/>
      <c r="K114" s="877"/>
      <c r="L114" s="877">
        <f t="shared" si="23"/>
        <v>0</v>
      </c>
      <c r="M114" s="877">
        <f>SUM(G114+J114)</f>
        <v>0</v>
      </c>
      <c r="N114" s="877">
        <f>SUM(H114+K114)</f>
        <v>0</v>
      </c>
      <c r="O114" s="877">
        <f t="shared" si="26"/>
        <v>0</v>
      </c>
    </row>
    <row r="115" spans="1:15" ht="12.75" customHeight="1">
      <c r="A115" s="916"/>
      <c r="B115" s="917"/>
      <c r="C115" s="944" t="s">
        <v>35</v>
      </c>
      <c r="D115" s="957" t="s">
        <v>1855</v>
      </c>
      <c r="E115" s="919"/>
      <c r="F115" s="920"/>
      <c r="G115" s="854">
        <v>1905</v>
      </c>
      <c r="H115" s="854">
        <v>0</v>
      </c>
      <c r="I115" s="923">
        <v>1905</v>
      </c>
      <c r="J115" s="877"/>
      <c r="K115" s="877"/>
      <c r="L115" s="877">
        <f t="shared" si="23"/>
        <v>0</v>
      </c>
      <c r="M115" s="877">
        <f>SUM(G115+J115)</f>
        <v>1905</v>
      </c>
      <c r="N115" s="877">
        <f>SUM(H115+K115)</f>
        <v>0</v>
      </c>
      <c r="O115" s="877">
        <f t="shared" si="26"/>
        <v>1905</v>
      </c>
    </row>
    <row r="116" spans="1:15" ht="12.75" customHeight="1">
      <c r="A116" s="916"/>
      <c r="B116" s="917"/>
      <c r="C116" s="937" t="s">
        <v>1392</v>
      </c>
      <c r="D116" s="946" t="s">
        <v>1393</v>
      </c>
      <c r="E116" s="919"/>
      <c r="F116" s="920"/>
      <c r="G116" s="877"/>
      <c r="H116" s="854"/>
      <c r="I116" s="923"/>
      <c r="J116" s="877"/>
      <c r="K116" s="877"/>
      <c r="L116" s="877"/>
      <c r="M116" s="877"/>
      <c r="N116" s="877"/>
      <c r="O116" s="877"/>
    </row>
    <row r="117" spans="1:15" ht="24.75" customHeight="1">
      <c r="A117" s="916"/>
      <c r="B117" s="917"/>
      <c r="C117" s="944" t="s">
        <v>886</v>
      </c>
      <c r="D117" s="958" t="s">
        <v>1267</v>
      </c>
      <c r="E117" s="919"/>
      <c r="F117" s="920"/>
      <c r="G117" s="877">
        <v>2398</v>
      </c>
      <c r="H117" s="854">
        <v>0</v>
      </c>
      <c r="I117" s="923">
        <v>2398</v>
      </c>
      <c r="J117" s="877"/>
      <c r="K117" s="877"/>
      <c r="L117" s="877">
        <f>SUM(J117:K117)</f>
        <v>0</v>
      </c>
      <c r="M117" s="877">
        <f>SUM(G117+J117)</f>
        <v>2398</v>
      </c>
      <c r="N117" s="877">
        <f>SUM(H117+K117)</f>
        <v>0</v>
      </c>
      <c r="O117" s="877">
        <f>SUM(M117:N117)</f>
        <v>2398</v>
      </c>
    </row>
    <row r="118" spans="1:15" ht="12.75" customHeight="1">
      <c r="A118" s="916"/>
      <c r="B118" s="917"/>
      <c r="C118" s="944" t="s">
        <v>887</v>
      </c>
      <c r="D118" s="959" t="s">
        <v>1268</v>
      </c>
      <c r="E118" s="919"/>
      <c r="F118" s="920"/>
      <c r="G118" s="877">
        <v>8865</v>
      </c>
      <c r="H118" s="854">
        <v>0</v>
      </c>
      <c r="I118" s="923">
        <v>8865</v>
      </c>
      <c r="J118" s="877"/>
      <c r="K118" s="877"/>
      <c r="L118" s="877">
        <f>SUM(J118:K118)</f>
        <v>0</v>
      </c>
      <c r="M118" s="877">
        <f>SUM(G118+J118)</f>
        <v>8865</v>
      </c>
      <c r="N118" s="877">
        <f>SUM(H118+K118)</f>
        <v>0</v>
      </c>
      <c r="O118" s="877">
        <f>SUM(M118:N118)</f>
        <v>8865</v>
      </c>
    </row>
    <row r="119" spans="1:15" ht="12.75" customHeight="1">
      <c r="A119" s="916"/>
      <c r="B119" s="917"/>
      <c r="C119" s="937" t="s">
        <v>1394</v>
      </c>
      <c r="D119" s="938" t="s">
        <v>1399</v>
      </c>
      <c r="E119" s="919"/>
      <c r="F119" s="920"/>
      <c r="G119" s="877"/>
      <c r="H119" s="854"/>
      <c r="I119" s="923"/>
      <c r="J119" s="877"/>
      <c r="K119" s="877"/>
      <c r="L119" s="877"/>
      <c r="M119" s="877"/>
      <c r="N119" s="877"/>
      <c r="O119" s="877"/>
    </row>
    <row r="120" spans="1:15" ht="12.75" customHeight="1">
      <c r="A120" s="916"/>
      <c r="B120" s="917"/>
      <c r="C120" s="944" t="s">
        <v>1395</v>
      </c>
      <c r="D120" s="947" t="s">
        <v>1178</v>
      </c>
      <c r="E120" s="919"/>
      <c r="F120" s="920"/>
      <c r="G120" s="877">
        <v>0</v>
      </c>
      <c r="H120" s="854">
        <v>0</v>
      </c>
      <c r="I120" s="923">
        <v>0</v>
      </c>
      <c r="J120" s="877"/>
      <c r="K120" s="877"/>
      <c r="L120" s="877">
        <f aca="true" t="shared" si="27" ref="L120:L129">SUM(J120:K120)</f>
        <v>0</v>
      </c>
      <c r="M120" s="877">
        <f aca="true" t="shared" si="28" ref="M120:M128">SUM(G120+J120)</f>
        <v>0</v>
      </c>
      <c r="N120" s="877">
        <f aca="true" t="shared" si="29" ref="N120:N128">SUM(H120+K120)</f>
        <v>0</v>
      </c>
      <c r="O120" s="877">
        <f aca="true" t="shared" si="30" ref="O120:O129">SUM(M120:N120)</f>
        <v>0</v>
      </c>
    </row>
    <row r="121" spans="1:15" ht="12.75" customHeight="1">
      <c r="A121" s="916"/>
      <c r="B121" s="917"/>
      <c r="C121" s="944" t="s">
        <v>1396</v>
      </c>
      <c r="D121" s="947" t="s">
        <v>1647</v>
      </c>
      <c r="E121" s="919"/>
      <c r="F121" s="920"/>
      <c r="G121" s="877">
        <v>2000</v>
      </c>
      <c r="H121" s="854">
        <v>0</v>
      </c>
      <c r="I121" s="923">
        <v>2000</v>
      </c>
      <c r="J121" s="877"/>
      <c r="K121" s="877"/>
      <c r="L121" s="877">
        <f t="shared" si="27"/>
        <v>0</v>
      </c>
      <c r="M121" s="877">
        <f t="shared" si="28"/>
        <v>2000</v>
      </c>
      <c r="N121" s="877">
        <f t="shared" si="29"/>
        <v>0</v>
      </c>
      <c r="O121" s="877">
        <f t="shared" si="30"/>
        <v>2000</v>
      </c>
    </row>
    <row r="122" spans="1:15" ht="12.75" customHeight="1">
      <c r="A122" s="916"/>
      <c r="B122" s="917"/>
      <c r="C122" s="944" t="s">
        <v>1397</v>
      </c>
      <c r="D122" s="894" t="s">
        <v>1278</v>
      </c>
      <c r="E122" s="919"/>
      <c r="F122" s="920"/>
      <c r="G122" s="877">
        <v>4413</v>
      </c>
      <c r="H122" s="854">
        <v>0</v>
      </c>
      <c r="I122" s="923">
        <v>4413</v>
      </c>
      <c r="J122" s="877"/>
      <c r="K122" s="877"/>
      <c r="L122" s="877">
        <f t="shared" si="27"/>
        <v>0</v>
      </c>
      <c r="M122" s="877">
        <f t="shared" si="28"/>
        <v>4413</v>
      </c>
      <c r="N122" s="877">
        <f t="shared" si="29"/>
        <v>0</v>
      </c>
      <c r="O122" s="877">
        <f t="shared" si="30"/>
        <v>4413</v>
      </c>
    </row>
    <row r="123" spans="1:15" ht="24.75" customHeight="1">
      <c r="A123" s="916"/>
      <c r="B123" s="917"/>
      <c r="C123" s="944" t="s">
        <v>1400</v>
      </c>
      <c r="D123" s="960" t="s">
        <v>629</v>
      </c>
      <c r="E123" s="961"/>
      <c r="F123" s="962"/>
      <c r="G123" s="877">
        <v>0</v>
      </c>
      <c r="H123" s="854">
        <v>500</v>
      </c>
      <c r="I123" s="923">
        <v>500</v>
      </c>
      <c r="J123" s="877"/>
      <c r="K123" s="877"/>
      <c r="L123" s="877">
        <f t="shared" si="27"/>
        <v>0</v>
      </c>
      <c r="M123" s="877">
        <f t="shared" si="28"/>
        <v>0</v>
      </c>
      <c r="N123" s="877">
        <f t="shared" si="29"/>
        <v>500</v>
      </c>
      <c r="O123" s="877">
        <f t="shared" si="30"/>
        <v>500</v>
      </c>
    </row>
    <row r="124" spans="1:15" ht="24.75" customHeight="1">
      <c r="A124" s="924"/>
      <c r="B124" s="925"/>
      <c r="C124" s="944" t="s">
        <v>1104</v>
      </c>
      <c r="D124" s="963" t="s">
        <v>769</v>
      </c>
      <c r="E124" s="906"/>
      <c r="F124" s="962" t="s">
        <v>606</v>
      </c>
      <c r="G124" s="877">
        <v>14615</v>
      </c>
      <c r="H124" s="854">
        <v>0</v>
      </c>
      <c r="I124" s="923">
        <v>14615</v>
      </c>
      <c r="J124" s="877">
        <v>-2921</v>
      </c>
      <c r="K124" s="877"/>
      <c r="L124" s="877">
        <f t="shared" si="27"/>
        <v>-2921</v>
      </c>
      <c r="M124" s="877">
        <f t="shared" si="28"/>
        <v>11694</v>
      </c>
      <c r="N124" s="877">
        <f t="shared" si="29"/>
        <v>0</v>
      </c>
      <c r="O124" s="877">
        <f t="shared" si="30"/>
        <v>11694</v>
      </c>
    </row>
    <row r="125" spans="1:15" ht="24.75" customHeight="1">
      <c r="A125" s="916"/>
      <c r="B125" s="917"/>
      <c r="C125" s="944" t="s">
        <v>434</v>
      </c>
      <c r="D125" s="964" t="s">
        <v>630</v>
      </c>
      <c r="E125" s="906"/>
      <c r="F125" s="962"/>
      <c r="G125" s="877">
        <v>1029</v>
      </c>
      <c r="H125" s="854">
        <v>0</v>
      </c>
      <c r="I125" s="923">
        <v>1029</v>
      </c>
      <c r="J125" s="877"/>
      <c r="K125" s="877"/>
      <c r="L125" s="877">
        <f t="shared" si="27"/>
        <v>0</v>
      </c>
      <c r="M125" s="877">
        <f t="shared" si="28"/>
        <v>1029</v>
      </c>
      <c r="N125" s="877">
        <f t="shared" si="29"/>
        <v>0</v>
      </c>
      <c r="O125" s="877">
        <f t="shared" si="30"/>
        <v>1029</v>
      </c>
    </row>
    <row r="126" spans="1:15" ht="15" customHeight="1">
      <c r="A126" s="916"/>
      <c r="B126" s="917"/>
      <c r="C126" s="944" t="s">
        <v>631</v>
      </c>
      <c r="D126" s="964" t="s">
        <v>632</v>
      </c>
      <c r="E126" s="906"/>
      <c r="F126" s="962" t="s">
        <v>606</v>
      </c>
      <c r="G126" s="854">
        <v>150</v>
      </c>
      <c r="H126" s="854">
        <v>0</v>
      </c>
      <c r="I126" s="923">
        <v>150</v>
      </c>
      <c r="J126" s="877">
        <v>-150</v>
      </c>
      <c r="K126" s="877"/>
      <c r="L126" s="877">
        <f t="shared" si="27"/>
        <v>-150</v>
      </c>
      <c r="M126" s="877">
        <f t="shared" si="28"/>
        <v>0</v>
      </c>
      <c r="N126" s="877">
        <f t="shared" si="29"/>
        <v>0</v>
      </c>
      <c r="O126" s="877">
        <f t="shared" si="30"/>
        <v>0</v>
      </c>
    </row>
    <row r="127" spans="1:15" ht="15" customHeight="1">
      <c r="A127" s="916"/>
      <c r="B127" s="917"/>
      <c r="C127" s="944" t="s">
        <v>633</v>
      </c>
      <c r="D127" s="14" t="s">
        <v>634</v>
      </c>
      <c r="E127" s="906"/>
      <c r="F127" s="962"/>
      <c r="G127" s="854">
        <v>463</v>
      </c>
      <c r="H127" s="854">
        <v>0</v>
      </c>
      <c r="I127" s="923">
        <v>463</v>
      </c>
      <c r="J127" s="877"/>
      <c r="K127" s="877"/>
      <c r="L127" s="877">
        <f t="shared" si="27"/>
        <v>0</v>
      </c>
      <c r="M127" s="877">
        <f t="shared" si="28"/>
        <v>463</v>
      </c>
      <c r="N127" s="877">
        <f t="shared" si="29"/>
        <v>0</v>
      </c>
      <c r="O127" s="877">
        <f t="shared" si="30"/>
        <v>463</v>
      </c>
    </row>
    <row r="128" spans="1:15" ht="15" customHeight="1">
      <c r="A128" s="916"/>
      <c r="B128" s="917"/>
      <c r="C128" s="944" t="s">
        <v>635</v>
      </c>
      <c r="D128" s="40" t="s">
        <v>636</v>
      </c>
      <c r="E128" s="906"/>
      <c r="F128" s="962"/>
      <c r="G128" s="854">
        <v>5600</v>
      </c>
      <c r="H128" s="854">
        <v>0</v>
      </c>
      <c r="I128" s="923">
        <v>5600</v>
      </c>
      <c r="J128" s="877"/>
      <c r="K128" s="877"/>
      <c r="L128" s="877">
        <f t="shared" si="27"/>
        <v>0</v>
      </c>
      <c r="M128" s="877">
        <f t="shared" si="28"/>
        <v>5600</v>
      </c>
      <c r="N128" s="877">
        <f t="shared" si="29"/>
        <v>0</v>
      </c>
      <c r="O128" s="877">
        <f t="shared" si="30"/>
        <v>5600</v>
      </c>
    </row>
    <row r="129" spans="1:15" ht="15" customHeight="1">
      <c r="A129" s="916"/>
      <c r="B129" s="917"/>
      <c r="C129" s="944" t="s">
        <v>519</v>
      </c>
      <c r="D129" s="965" t="s">
        <v>520</v>
      </c>
      <c r="E129" s="906"/>
      <c r="F129" s="920"/>
      <c r="G129" s="854"/>
      <c r="H129" s="854">
        <v>254</v>
      </c>
      <c r="I129" s="923">
        <v>254</v>
      </c>
      <c r="J129" s="877"/>
      <c r="K129" s="877"/>
      <c r="L129" s="877">
        <f t="shared" si="27"/>
        <v>0</v>
      </c>
      <c r="M129" s="877"/>
      <c r="N129" s="877">
        <f>SUM(H129+K129)</f>
        <v>254</v>
      </c>
      <c r="O129" s="877">
        <f t="shared" si="30"/>
        <v>254</v>
      </c>
    </row>
    <row r="130" spans="1:15" ht="15" customHeight="1">
      <c r="A130" s="916"/>
      <c r="B130" s="917"/>
      <c r="C130" s="944"/>
      <c r="D130" s="966" t="s">
        <v>1717</v>
      </c>
      <c r="E130" s="919"/>
      <c r="F130" s="920"/>
      <c r="G130" s="854"/>
      <c r="H130" s="854"/>
      <c r="I130" s="923"/>
      <c r="J130" s="877"/>
      <c r="K130" s="877"/>
      <c r="L130" s="877"/>
      <c r="M130" s="877"/>
      <c r="N130" s="877"/>
      <c r="O130" s="877"/>
    </row>
    <row r="131" spans="1:15" ht="24.75" customHeight="1">
      <c r="A131" s="916"/>
      <c r="B131" s="917"/>
      <c r="C131" s="944" t="s">
        <v>1679</v>
      </c>
      <c r="D131" s="967" t="s">
        <v>1584</v>
      </c>
      <c r="E131" s="930"/>
      <c r="F131" s="931"/>
      <c r="G131" s="877">
        <v>3626</v>
      </c>
      <c r="H131" s="854">
        <v>0</v>
      </c>
      <c r="I131" s="923">
        <v>3626</v>
      </c>
      <c r="J131" s="877"/>
      <c r="K131" s="877"/>
      <c r="L131" s="877">
        <f>SUM(J131:K131)</f>
        <v>0</v>
      </c>
      <c r="M131" s="877">
        <f aca="true" t="shared" si="31" ref="M131:N134">SUM(G131+J131)</f>
        <v>3626</v>
      </c>
      <c r="N131" s="877">
        <f t="shared" si="31"/>
        <v>0</v>
      </c>
      <c r="O131" s="877">
        <f>SUM(M131:N131)</f>
        <v>3626</v>
      </c>
    </row>
    <row r="132" spans="1:15" ht="15" customHeight="1">
      <c r="A132" s="916"/>
      <c r="B132" s="917"/>
      <c r="C132" s="944" t="s">
        <v>1876</v>
      </c>
      <c r="D132" s="957" t="s">
        <v>1858</v>
      </c>
      <c r="E132" s="919"/>
      <c r="F132" s="920"/>
      <c r="G132" s="854">
        <v>0</v>
      </c>
      <c r="H132" s="854">
        <v>0</v>
      </c>
      <c r="I132" s="923">
        <v>0</v>
      </c>
      <c r="J132" s="877"/>
      <c r="K132" s="877"/>
      <c r="L132" s="877">
        <f>SUM(J132:K132)</f>
        <v>0</v>
      </c>
      <c r="M132" s="877">
        <f t="shared" si="31"/>
        <v>0</v>
      </c>
      <c r="N132" s="877">
        <f t="shared" si="31"/>
        <v>0</v>
      </c>
      <c r="O132" s="877">
        <f>SUM(M132:N132)</f>
        <v>0</v>
      </c>
    </row>
    <row r="133" spans="1:15" ht="15" customHeight="1">
      <c r="A133" s="916"/>
      <c r="B133" s="917"/>
      <c r="C133" s="944" t="s">
        <v>1856</v>
      </c>
      <c r="D133" s="968" t="s">
        <v>1177</v>
      </c>
      <c r="E133" s="919"/>
      <c r="F133" s="920"/>
      <c r="G133" s="854">
        <v>48396</v>
      </c>
      <c r="H133" s="854">
        <v>0</v>
      </c>
      <c r="I133" s="923">
        <v>48396</v>
      </c>
      <c r="J133" s="877"/>
      <c r="K133" s="877"/>
      <c r="L133" s="877">
        <f>SUM(J133:K133)</f>
        <v>0</v>
      </c>
      <c r="M133" s="877">
        <f t="shared" si="31"/>
        <v>48396</v>
      </c>
      <c r="N133" s="877">
        <f t="shared" si="31"/>
        <v>0</v>
      </c>
      <c r="O133" s="877">
        <f>SUM(M133:N133)</f>
        <v>48396</v>
      </c>
    </row>
    <row r="134" spans="1:15" ht="15" customHeight="1">
      <c r="A134" s="916"/>
      <c r="B134" s="917"/>
      <c r="C134" s="944" t="s">
        <v>1857</v>
      </c>
      <c r="D134" s="969" t="s">
        <v>1779</v>
      </c>
      <c r="E134" s="919"/>
      <c r="F134" s="920" t="s">
        <v>606</v>
      </c>
      <c r="G134" s="854">
        <v>500</v>
      </c>
      <c r="H134" s="854">
        <v>0</v>
      </c>
      <c r="I134" s="923">
        <v>500</v>
      </c>
      <c r="J134" s="877">
        <v>-500</v>
      </c>
      <c r="K134" s="877"/>
      <c r="L134" s="877">
        <f>SUM(J134:K134)</f>
        <v>-500</v>
      </c>
      <c r="M134" s="877">
        <f t="shared" si="31"/>
        <v>0</v>
      </c>
      <c r="N134" s="877">
        <f t="shared" si="31"/>
        <v>0</v>
      </c>
      <c r="O134" s="877">
        <f>SUM(M134:N134)</f>
        <v>0</v>
      </c>
    </row>
    <row r="135" spans="1:15" ht="12.75" customHeight="1">
      <c r="A135" s="909"/>
      <c r="B135" s="910"/>
      <c r="C135" s="911"/>
      <c r="D135" s="970" t="s">
        <v>1674</v>
      </c>
      <c r="E135" s="971"/>
      <c r="F135" s="972"/>
      <c r="G135" s="915">
        <f aca="true" t="shared" si="32" ref="G135:O135">SUM(G41:G134)</f>
        <v>253282</v>
      </c>
      <c r="H135" s="915">
        <f t="shared" si="32"/>
        <v>421835</v>
      </c>
      <c r="I135" s="915">
        <f t="shared" si="32"/>
        <v>675117</v>
      </c>
      <c r="J135" s="915">
        <f t="shared" si="32"/>
        <v>-3972</v>
      </c>
      <c r="K135" s="915">
        <f t="shared" si="32"/>
        <v>0</v>
      </c>
      <c r="L135" s="915">
        <f t="shared" si="32"/>
        <v>-3972</v>
      </c>
      <c r="M135" s="915">
        <f t="shared" si="32"/>
        <v>249310</v>
      </c>
      <c r="N135" s="915">
        <f t="shared" si="32"/>
        <v>421835</v>
      </c>
      <c r="O135" s="915">
        <f t="shared" si="32"/>
        <v>671145</v>
      </c>
    </row>
    <row r="136" spans="1:15" ht="13.5" customHeight="1">
      <c r="A136" s="879">
        <v>1</v>
      </c>
      <c r="B136" s="880">
        <v>16</v>
      </c>
      <c r="C136" s="874"/>
      <c r="D136" s="973" t="s">
        <v>1493</v>
      </c>
      <c r="E136" s="974"/>
      <c r="F136" s="975"/>
      <c r="G136" s="854"/>
      <c r="H136" s="854"/>
      <c r="I136" s="878"/>
      <c r="J136" s="854"/>
      <c r="K136" s="854"/>
      <c r="L136" s="854"/>
      <c r="M136" s="854"/>
      <c r="N136" s="854"/>
      <c r="O136" s="854"/>
    </row>
    <row r="137" spans="1:15" ht="13.5" customHeight="1">
      <c r="A137" s="916"/>
      <c r="B137" s="917"/>
      <c r="C137" s="922">
        <v>1</v>
      </c>
      <c r="D137" s="918" t="s">
        <v>1483</v>
      </c>
      <c r="E137" s="919"/>
      <c r="F137" s="920"/>
      <c r="G137" s="854"/>
      <c r="H137" s="854"/>
      <c r="I137" s="923"/>
      <c r="J137" s="854"/>
      <c r="K137" s="854"/>
      <c r="L137" s="854"/>
      <c r="M137" s="854"/>
      <c r="N137" s="854"/>
      <c r="O137" s="854"/>
    </row>
    <row r="138" spans="1:15" ht="36" customHeight="1">
      <c r="A138" s="916"/>
      <c r="B138" s="917"/>
      <c r="C138" s="898" t="s">
        <v>899</v>
      </c>
      <c r="D138" s="977" t="s">
        <v>1719</v>
      </c>
      <c r="E138" s="919"/>
      <c r="F138" s="920"/>
      <c r="G138" s="854">
        <v>12500</v>
      </c>
      <c r="H138" s="854">
        <v>0</v>
      </c>
      <c r="I138" s="923">
        <v>12500</v>
      </c>
      <c r="J138" s="877"/>
      <c r="K138" s="877"/>
      <c r="L138" s="877">
        <f aca="true" t="shared" si="33" ref="L138:L150">SUM(J138:K138)</f>
        <v>0</v>
      </c>
      <c r="M138" s="877">
        <f aca="true" t="shared" si="34" ref="M138:M150">SUM(G138+J138)</f>
        <v>12500</v>
      </c>
      <c r="N138" s="877">
        <f aca="true" t="shared" si="35" ref="N138:N150">SUM(H138+K138)</f>
        <v>0</v>
      </c>
      <c r="O138" s="877">
        <f aca="true" t="shared" si="36" ref="O138:O150">SUM(M138:N138)</f>
        <v>12500</v>
      </c>
    </row>
    <row r="139" spans="1:15" ht="24.75" customHeight="1">
      <c r="A139" s="916"/>
      <c r="B139" s="917"/>
      <c r="C139" s="898" t="s">
        <v>900</v>
      </c>
      <c r="D139" s="977" t="s">
        <v>1720</v>
      </c>
      <c r="E139" s="919"/>
      <c r="F139" s="920"/>
      <c r="G139" s="854">
        <v>16000</v>
      </c>
      <c r="H139" s="854">
        <v>0</v>
      </c>
      <c r="I139" s="923">
        <v>16000</v>
      </c>
      <c r="J139" s="863"/>
      <c r="K139" s="863"/>
      <c r="L139" s="863">
        <f t="shared" si="33"/>
        <v>0</v>
      </c>
      <c r="M139" s="863">
        <f t="shared" si="34"/>
        <v>16000</v>
      </c>
      <c r="N139" s="863">
        <f t="shared" si="35"/>
        <v>0</v>
      </c>
      <c r="O139" s="863">
        <f t="shared" si="36"/>
        <v>16000</v>
      </c>
    </row>
    <row r="140" spans="1:15" ht="24.75" customHeight="1">
      <c r="A140" s="916"/>
      <c r="B140" s="917"/>
      <c r="C140" s="898" t="s">
        <v>901</v>
      </c>
      <c r="D140" s="977" t="s">
        <v>1721</v>
      </c>
      <c r="E140" s="919"/>
      <c r="F140" s="920"/>
      <c r="G140" s="854">
        <v>5100</v>
      </c>
      <c r="H140" s="854">
        <v>0</v>
      </c>
      <c r="I140" s="923">
        <v>5100</v>
      </c>
      <c r="J140" s="877"/>
      <c r="K140" s="877"/>
      <c r="L140" s="877">
        <f t="shared" si="33"/>
        <v>0</v>
      </c>
      <c r="M140" s="877">
        <f t="shared" si="34"/>
        <v>5100</v>
      </c>
      <c r="N140" s="877">
        <f t="shared" si="35"/>
        <v>0</v>
      </c>
      <c r="O140" s="877">
        <f t="shared" si="36"/>
        <v>5100</v>
      </c>
    </row>
    <row r="141" spans="1:15" ht="13.5" customHeight="1">
      <c r="A141" s="916"/>
      <c r="B141" s="917"/>
      <c r="C141" s="898" t="s">
        <v>1484</v>
      </c>
      <c r="D141" s="978" t="s">
        <v>1722</v>
      </c>
      <c r="E141" s="919"/>
      <c r="F141" s="920"/>
      <c r="G141" s="854">
        <v>43311</v>
      </c>
      <c r="H141" s="854">
        <v>0</v>
      </c>
      <c r="I141" s="923">
        <v>43311</v>
      </c>
      <c r="J141" s="854"/>
      <c r="K141" s="854"/>
      <c r="L141" s="854">
        <f t="shared" si="33"/>
        <v>0</v>
      </c>
      <c r="M141" s="854">
        <f t="shared" si="34"/>
        <v>43311</v>
      </c>
      <c r="N141" s="854">
        <f t="shared" si="35"/>
        <v>0</v>
      </c>
      <c r="O141" s="854">
        <f t="shared" si="36"/>
        <v>43311</v>
      </c>
    </row>
    <row r="142" spans="1:15" ht="13.5" customHeight="1">
      <c r="A142" s="916"/>
      <c r="B142" s="917"/>
      <c r="C142" s="898" t="s">
        <v>1485</v>
      </c>
      <c r="D142" s="894" t="s">
        <v>1297</v>
      </c>
      <c r="E142" s="919"/>
      <c r="F142" s="920" t="s">
        <v>606</v>
      </c>
      <c r="G142" s="854">
        <v>4761</v>
      </c>
      <c r="H142" s="854">
        <v>0</v>
      </c>
      <c r="I142" s="923">
        <v>4761</v>
      </c>
      <c r="J142" s="854">
        <v>-100</v>
      </c>
      <c r="K142" s="854"/>
      <c r="L142" s="854">
        <f t="shared" si="33"/>
        <v>-100</v>
      </c>
      <c r="M142" s="854">
        <f t="shared" si="34"/>
        <v>4661</v>
      </c>
      <c r="N142" s="854">
        <f t="shared" si="35"/>
        <v>0</v>
      </c>
      <c r="O142" s="854">
        <f t="shared" si="36"/>
        <v>4661</v>
      </c>
    </row>
    <row r="143" spans="1:15" ht="13.5" customHeight="1">
      <c r="A143" s="916"/>
      <c r="B143" s="917"/>
      <c r="C143" s="898" t="s">
        <v>1274</v>
      </c>
      <c r="D143" s="894" t="s">
        <v>1418</v>
      </c>
      <c r="E143" s="919"/>
      <c r="F143" s="920"/>
      <c r="G143" s="854">
        <v>1704</v>
      </c>
      <c r="H143" s="854">
        <v>0</v>
      </c>
      <c r="I143" s="923">
        <v>1704</v>
      </c>
      <c r="J143" s="854"/>
      <c r="K143" s="854"/>
      <c r="L143" s="854">
        <f t="shared" si="33"/>
        <v>0</v>
      </c>
      <c r="M143" s="854">
        <f t="shared" si="34"/>
        <v>1704</v>
      </c>
      <c r="N143" s="854">
        <f t="shared" si="35"/>
        <v>0</v>
      </c>
      <c r="O143" s="854">
        <f t="shared" si="36"/>
        <v>1704</v>
      </c>
    </row>
    <row r="144" spans="1:15" ht="13.5" customHeight="1">
      <c r="A144" s="916"/>
      <c r="B144" s="917"/>
      <c r="C144" s="922"/>
      <c r="D144" s="928" t="s">
        <v>1717</v>
      </c>
      <c r="E144" s="919"/>
      <c r="F144" s="920"/>
      <c r="G144" s="854">
        <v>0</v>
      </c>
      <c r="H144" s="854">
        <v>0</v>
      </c>
      <c r="I144" s="923">
        <v>0</v>
      </c>
      <c r="J144" s="854"/>
      <c r="K144" s="854"/>
      <c r="L144" s="854">
        <f t="shared" si="33"/>
        <v>0</v>
      </c>
      <c r="M144" s="854">
        <f t="shared" si="34"/>
        <v>0</v>
      </c>
      <c r="N144" s="854">
        <f t="shared" si="35"/>
        <v>0</v>
      </c>
      <c r="O144" s="854">
        <f t="shared" si="36"/>
        <v>0</v>
      </c>
    </row>
    <row r="145" spans="1:15" ht="13.5" customHeight="1">
      <c r="A145" s="916"/>
      <c r="B145" s="917"/>
      <c r="C145" s="898" t="s">
        <v>1680</v>
      </c>
      <c r="D145" s="927" t="s">
        <v>1548</v>
      </c>
      <c r="E145" s="919"/>
      <c r="F145" s="920"/>
      <c r="G145" s="854">
        <v>157</v>
      </c>
      <c r="H145" s="854">
        <v>0</v>
      </c>
      <c r="I145" s="923">
        <v>157</v>
      </c>
      <c r="J145" s="854"/>
      <c r="K145" s="854"/>
      <c r="L145" s="854">
        <f t="shared" si="33"/>
        <v>0</v>
      </c>
      <c r="M145" s="854">
        <f t="shared" si="34"/>
        <v>157</v>
      </c>
      <c r="N145" s="854">
        <f t="shared" si="35"/>
        <v>0</v>
      </c>
      <c r="O145" s="854">
        <f t="shared" si="36"/>
        <v>157</v>
      </c>
    </row>
    <row r="146" spans="1:15" ht="13.5" customHeight="1">
      <c r="A146" s="916"/>
      <c r="B146" s="917"/>
      <c r="C146" s="898" t="s">
        <v>1681</v>
      </c>
      <c r="D146" s="978" t="s">
        <v>1723</v>
      </c>
      <c r="E146" s="919"/>
      <c r="F146" s="920"/>
      <c r="G146" s="854">
        <v>20209</v>
      </c>
      <c r="H146" s="854">
        <v>0</v>
      </c>
      <c r="I146" s="923">
        <v>20209</v>
      </c>
      <c r="J146" s="854"/>
      <c r="K146" s="854"/>
      <c r="L146" s="854">
        <f t="shared" si="33"/>
        <v>0</v>
      </c>
      <c r="M146" s="854">
        <f t="shared" si="34"/>
        <v>20209</v>
      </c>
      <c r="N146" s="854">
        <f t="shared" si="35"/>
        <v>0</v>
      </c>
      <c r="O146" s="854">
        <f t="shared" si="36"/>
        <v>20209</v>
      </c>
    </row>
    <row r="147" spans="1:15" ht="13.5" customHeight="1">
      <c r="A147" s="916"/>
      <c r="B147" s="917"/>
      <c r="C147" s="898" t="s">
        <v>1682</v>
      </c>
      <c r="D147" s="978" t="s">
        <v>1724</v>
      </c>
      <c r="E147" s="919"/>
      <c r="F147" s="920"/>
      <c r="G147" s="854">
        <v>0</v>
      </c>
      <c r="H147" s="854">
        <v>0</v>
      </c>
      <c r="I147" s="923">
        <v>0</v>
      </c>
      <c r="J147" s="854"/>
      <c r="K147" s="854"/>
      <c r="L147" s="854">
        <f t="shared" si="33"/>
        <v>0</v>
      </c>
      <c r="M147" s="854">
        <f t="shared" si="34"/>
        <v>0</v>
      </c>
      <c r="N147" s="854">
        <f t="shared" si="35"/>
        <v>0</v>
      </c>
      <c r="O147" s="854">
        <f t="shared" si="36"/>
        <v>0</v>
      </c>
    </row>
    <row r="148" spans="1:15" ht="15" customHeight="1">
      <c r="A148" s="924"/>
      <c r="B148" s="924"/>
      <c r="C148" s="898" t="s">
        <v>1683</v>
      </c>
      <c r="D148" s="979" t="s">
        <v>1246</v>
      </c>
      <c r="E148" s="980"/>
      <c r="F148" s="981"/>
      <c r="G148" s="854">
        <v>900</v>
      </c>
      <c r="H148" s="854">
        <v>0</v>
      </c>
      <c r="I148" s="923">
        <v>900</v>
      </c>
      <c r="J148" s="854"/>
      <c r="K148" s="854"/>
      <c r="L148" s="854">
        <f t="shared" si="33"/>
        <v>0</v>
      </c>
      <c r="M148" s="854">
        <f t="shared" si="34"/>
        <v>900</v>
      </c>
      <c r="N148" s="854">
        <f t="shared" si="35"/>
        <v>0</v>
      </c>
      <c r="O148" s="854">
        <f t="shared" si="36"/>
        <v>900</v>
      </c>
    </row>
    <row r="149" spans="1:15" ht="15" customHeight="1">
      <c r="A149" s="924"/>
      <c r="B149" s="924"/>
      <c r="C149" s="898" t="s">
        <v>1523</v>
      </c>
      <c r="D149" s="982" t="s">
        <v>1653</v>
      </c>
      <c r="E149" s="983"/>
      <c r="F149" s="984"/>
      <c r="G149" s="854">
        <v>343</v>
      </c>
      <c r="H149" s="854">
        <v>0</v>
      </c>
      <c r="I149" s="923">
        <v>343</v>
      </c>
      <c r="J149" s="854"/>
      <c r="K149" s="854"/>
      <c r="L149" s="854">
        <f t="shared" si="33"/>
        <v>0</v>
      </c>
      <c r="M149" s="854">
        <f t="shared" si="34"/>
        <v>343</v>
      </c>
      <c r="N149" s="854">
        <f t="shared" si="35"/>
        <v>0</v>
      </c>
      <c r="O149" s="854">
        <f t="shared" si="36"/>
        <v>343</v>
      </c>
    </row>
    <row r="150" spans="1:15" ht="15" customHeight="1">
      <c r="A150" s="924"/>
      <c r="B150" s="924"/>
      <c r="C150" s="898" t="s">
        <v>1524</v>
      </c>
      <c r="D150" s="985" t="s">
        <v>1547</v>
      </c>
      <c r="E150" s="309"/>
      <c r="F150" s="986"/>
      <c r="G150" s="854">
        <v>0</v>
      </c>
      <c r="H150" s="854">
        <v>0</v>
      </c>
      <c r="I150" s="923">
        <v>0</v>
      </c>
      <c r="J150" s="854"/>
      <c r="K150" s="854"/>
      <c r="L150" s="854">
        <f t="shared" si="33"/>
        <v>0</v>
      </c>
      <c r="M150" s="854">
        <f t="shared" si="34"/>
        <v>0</v>
      </c>
      <c r="N150" s="854">
        <f t="shared" si="35"/>
        <v>0</v>
      </c>
      <c r="O150" s="854">
        <f t="shared" si="36"/>
        <v>0</v>
      </c>
    </row>
    <row r="151" spans="1:15" ht="13.5" customHeight="1">
      <c r="A151" s="987"/>
      <c r="B151" s="987"/>
      <c r="C151" s="932" t="s">
        <v>898</v>
      </c>
      <c r="D151" s="933" t="s">
        <v>355</v>
      </c>
      <c r="E151" s="940"/>
      <c r="F151" s="941"/>
      <c r="G151" s="854"/>
      <c r="H151" s="854"/>
      <c r="I151" s="923"/>
      <c r="J151" s="854"/>
      <c r="K151" s="854"/>
      <c r="L151" s="854"/>
      <c r="M151" s="854"/>
      <c r="N151" s="854"/>
      <c r="O151" s="854"/>
    </row>
    <row r="152" spans="1:15" ht="25.5" customHeight="1">
      <c r="A152" s="987"/>
      <c r="B152" s="987"/>
      <c r="C152" s="900" t="s">
        <v>1673</v>
      </c>
      <c r="D152" s="988" t="s">
        <v>1749</v>
      </c>
      <c r="E152" s="940"/>
      <c r="F152" s="941"/>
      <c r="G152" s="877">
        <v>50500</v>
      </c>
      <c r="H152" s="877">
        <v>0</v>
      </c>
      <c r="I152" s="923">
        <v>50500</v>
      </c>
      <c r="J152" s="877"/>
      <c r="K152" s="877"/>
      <c r="L152" s="877">
        <f>SUM(J152:K152)</f>
        <v>0</v>
      </c>
      <c r="M152" s="877">
        <f aca="true" t="shared" si="37" ref="M152:N156">SUM(G152+J152)</f>
        <v>50500</v>
      </c>
      <c r="N152" s="877">
        <f t="shared" si="37"/>
        <v>0</v>
      </c>
      <c r="O152" s="877">
        <f>SUM(M152:N152)</f>
        <v>50500</v>
      </c>
    </row>
    <row r="153" spans="1:15" ht="13.5" customHeight="1">
      <c r="A153" s="987"/>
      <c r="B153" s="987"/>
      <c r="C153" s="900" t="s">
        <v>934</v>
      </c>
      <c r="D153" s="978" t="s">
        <v>1750</v>
      </c>
      <c r="E153" s="940"/>
      <c r="F153" s="941"/>
      <c r="G153" s="854">
        <v>330</v>
      </c>
      <c r="H153" s="854">
        <v>0</v>
      </c>
      <c r="I153" s="923">
        <v>330</v>
      </c>
      <c r="J153" s="854"/>
      <c r="K153" s="854"/>
      <c r="L153" s="854">
        <f>SUM(J153:K153)</f>
        <v>0</v>
      </c>
      <c r="M153" s="854">
        <f t="shared" si="37"/>
        <v>330</v>
      </c>
      <c r="N153" s="854">
        <f t="shared" si="37"/>
        <v>0</v>
      </c>
      <c r="O153" s="854">
        <f>SUM(M153:N153)</f>
        <v>330</v>
      </c>
    </row>
    <row r="154" spans="1:15" ht="13.5" customHeight="1">
      <c r="A154" s="987"/>
      <c r="B154" s="987"/>
      <c r="C154" s="900" t="s">
        <v>888</v>
      </c>
      <c r="D154" s="989" t="s">
        <v>1751</v>
      </c>
      <c r="E154" s="940"/>
      <c r="F154" s="941"/>
      <c r="G154" s="854">
        <v>800</v>
      </c>
      <c r="H154" s="854">
        <v>0</v>
      </c>
      <c r="I154" s="923">
        <v>800</v>
      </c>
      <c r="J154" s="854"/>
      <c r="K154" s="854"/>
      <c r="L154" s="854">
        <f>SUM(J154:K154)</f>
        <v>0</v>
      </c>
      <c r="M154" s="854">
        <f t="shared" si="37"/>
        <v>800</v>
      </c>
      <c r="N154" s="854">
        <f t="shared" si="37"/>
        <v>0</v>
      </c>
      <c r="O154" s="854">
        <f>SUM(M154:N154)</f>
        <v>800</v>
      </c>
    </row>
    <row r="155" spans="1:15" ht="13.5" customHeight="1">
      <c r="A155" s="987"/>
      <c r="B155" s="987"/>
      <c r="C155" s="932"/>
      <c r="D155" s="928" t="s">
        <v>1717</v>
      </c>
      <c r="E155" s="940"/>
      <c r="F155" s="941"/>
      <c r="G155" s="854">
        <v>0</v>
      </c>
      <c r="H155" s="854">
        <v>0</v>
      </c>
      <c r="I155" s="923">
        <v>0</v>
      </c>
      <c r="J155" s="854"/>
      <c r="K155" s="854"/>
      <c r="L155" s="854">
        <f>SUM(J155:K155)</f>
        <v>0</v>
      </c>
      <c r="M155" s="854">
        <f t="shared" si="37"/>
        <v>0</v>
      </c>
      <c r="N155" s="854">
        <f t="shared" si="37"/>
        <v>0</v>
      </c>
      <c r="O155" s="854">
        <f>SUM(M155:N155)</f>
        <v>0</v>
      </c>
    </row>
    <row r="156" spans="1:15" ht="13.5" customHeight="1">
      <c r="A156" s="987"/>
      <c r="B156" s="987"/>
      <c r="C156" s="900" t="s">
        <v>932</v>
      </c>
      <c r="D156" s="990" t="s">
        <v>1654</v>
      </c>
      <c r="E156" s="919"/>
      <c r="F156" s="920"/>
      <c r="G156" s="854">
        <v>239</v>
      </c>
      <c r="H156" s="854">
        <v>0</v>
      </c>
      <c r="I156" s="923">
        <v>239</v>
      </c>
      <c r="J156" s="854"/>
      <c r="K156" s="854"/>
      <c r="L156" s="854">
        <f>SUM(J156:K156)</f>
        <v>0</v>
      </c>
      <c r="M156" s="854">
        <f t="shared" si="37"/>
        <v>239</v>
      </c>
      <c r="N156" s="854">
        <f t="shared" si="37"/>
        <v>0</v>
      </c>
      <c r="O156" s="854">
        <f>SUM(M156:N156)</f>
        <v>239</v>
      </c>
    </row>
    <row r="157" spans="1:15" ht="13.5" customHeight="1">
      <c r="A157" s="987"/>
      <c r="B157" s="987"/>
      <c r="C157" s="937" t="s">
        <v>903</v>
      </c>
      <c r="D157" s="938" t="s">
        <v>386</v>
      </c>
      <c r="E157" s="940"/>
      <c r="F157" s="941"/>
      <c r="G157" s="854"/>
      <c r="H157" s="854"/>
      <c r="I157" s="923"/>
      <c r="J157" s="854"/>
      <c r="K157" s="854"/>
      <c r="L157" s="854"/>
      <c r="M157" s="854"/>
      <c r="N157" s="854"/>
      <c r="O157" s="854"/>
    </row>
    <row r="158" spans="1:15" ht="13.5" customHeight="1">
      <c r="A158" s="987"/>
      <c r="B158" s="987"/>
      <c r="C158" s="937"/>
      <c r="D158" s="928" t="s">
        <v>1717</v>
      </c>
      <c r="E158" s="940"/>
      <c r="F158" s="941"/>
      <c r="G158" s="854"/>
      <c r="H158" s="854"/>
      <c r="I158" s="923"/>
      <c r="J158" s="854"/>
      <c r="K158" s="854"/>
      <c r="L158" s="854"/>
      <c r="M158" s="854"/>
      <c r="N158" s="854"/>
      <c r="O158" s="854"/>
    </row>
    <row r="159" spans="1:15" ht="15" customHeight="1">
      <c r="A159" s="987"/>
      <c r="B159" s="987"/>
      <c r="C159" s="900" t="s">
        <v>1256</v>
      </c>
      <c r="D159" s="991" t="s">
        <v>379</v>
      </c>
      <c r="E159" s="992" t="s">
        <v>1586</v>
      </c>
      <c r="F159" s="941" t="s">
        <v>606</v>
      </c>
      <c r="G159" s="854">
        <v>577653</v>
      </c>
      <c r="H159" s="854">
        <v>0</v>
      </c>
      <c r="I159" s="923">
        <v>577653</v>
      </c>
      <c r="J159" s="854">
        <v>-80</v>
      </c>
      <c r="K159" s="854"/>
      <c r="L159" s="854">
        <f>SUM(J159:K159)</f>
        <v>-80</v>
      </c>
      <c r="M159" s="854">
        <f>SUM(G159+J159)</f>
        <v>577573</v>
      </c>
      <c r="N159" s="854">
        <f>SUM(H159+K159)</f>
        <v>0</v>
      </c>
      <c r="O159" s="854">
        <f>SUM(M159:N159)</f>
        <v>577573</v>
      </c>
    </row>
    <row r="160" spans="1:15" ht="24.75" customHeight="1">
      <c r="A160" s="987"/>
      <c r="B160" s="987"/>
      <c r="C160" s="900" t="s">
        <v>1257</v>
      </c>
      <c r="D160" s="991" t="s">
        <v>380</v>
      </c>
      <c r="E160" s="992" t="s">
        <v>1586</v>
      </c>
      <c r="F160" s="941" t="s">
        <v>606</v>
      </c>
      <c r="G160" s="854">
        <v>581631</v>
      </c>
      <c r="H160" s="854">
        <v>0</v>
      </c>
      <c r="I160" s="923">
        <v>581631</v>
      </c>
      <c r="J160" s="854">
        <v>-80</v>
      </c>
      <c r="K160" s="854"/>
      <c r="L160" s="854">
        <f>SUM(J160:K160)</f>
        <v>-80</v>
      </c>
      <c r="M160" s="854">
        <f>SUM(G160+J160)</f>
        <v>581551</v>
      </c>
      <c r="N160" s="854">
        <f>SUM(H160+K160)</f>
        <v>0</v>
      </c>
      <c r="O160" s="854">
        <f>SUM(M160:N160)</f>
        <v>581551</v>
      </c>
    </row>
    <row r="161" spans="1:15" ht="12" customHeight="1">
      <c r="A161" s="937"/>
      <c r="B161" s="937"/>
      <c r="C161" s="937" t="s">
        <v>905</v>
      </c>
      <c r="D161" s="938" t="s">
        <v>906</v>
      </c>
      <c r="E161" s="993"/>
      <c r="F161" s="994"/>
      <c r="G161" s="854"/>
      <c r="H161" s="854"/>
      <c r="I161" s="923"/>
      <c r="J161" s="854"/>
      <c r="K161" s="854"/>
      <c r="L161" s="854"/>
      <c r="M161" s="854"/>
      <c r="N161" s="854"/>
      <c r="O161" s="854"/>
    </row>
    <row r="162" spans="1:15" ht="12" customHeight="1">
      <c r="A162" s="937"/>
      <c r="B162" s="937"/>
      <c r="C162" s="944" t="s">
        <v>907</v>
      </c>
      <c r="D162" s="988" t="s">
        <v>1752</v>
      </c>
      <c r="E162" s="993"/>
      <c r="F162" s="994"/>
      <c r="G162" s="854">
        <v>5231</v>
      </c>
      <c r="H162" s="854">
        <v>0</v>
      </c>
      <c r="I162" s="923">
        <v>5231</v>
      </c>
      <c r="J162" s="854"/>
      <c r="K162" s="854"/>
      <c r="L162" s="854">
        <f aca="true" t="shared" si="38" ref="L162:L177">SUM(J162:K162)</f>
        <v>0</v>
      </c>
      <c r="M162" s="854">
        <f aca="true" t="shared" si="39" ref="M162:N168">SUM(G162+J162)</f>
        <v>5231</v>
      </c>
      <c r="N162" s="854">
        <f t="shared" si="39"/>
        <v>0</v>
      </c>
      <c r="O162" s="854">
        <f aca="true" t="shared" si="40" ref="O162:O177">SUM(M162:N162)</f>
        <v>5231</v>
      </c>
    </row>
    <row r="163" spans="1:15" ht="12" customHeight="1">
      <c r="A163" s="937"/>
      <c r="B163" s="937"/>
      <c r="C163" s="944" t="s">
        <v>210</v>
      </c>
      <c r="D163" s="887" t="s">
        <v>1762</v>
      </c>
      <c r="E163" s="993"/>
      <c r="F163" s="994"/>
      <c r="G163" s="854">
        <v>3000</v>
      </c>
      <c r="H163" s="854">
        <v>0</v>
      </c>
      <c r="I163" s="923">
        <v>3000</v>
      </c>
      <c r="J163" s="854"/>
      <c r="K163" s="854"/>
      <c r="L163" s="854">
        <f t="shared" si="38"/>
        <v>0</v>
      </c>
      <c r="M163" s="854">
        <f t="shared" si="39"/>
        <v>3000</v>
      </c>
      <c r="N163" s="854">
        <f t="shared" si="39"/>
        <v>0</v>
      </c>
      <c r="O163" s="854">
        <f t="shared" si="40"/>
        <v>3000</v>
      </c>
    </row>
    <row r="164" spans="1:15" ht="12" customHeight="1">
      <c r="A164" s="937"/>
      <c r="B164" s="937"/>
      <c r="C164" s="944" t="s">
        <v>211</v>
      </c>
      <c r="D164" s="947" t="s">
        <v>770</v>
      </c>
      <c r="E164" s="919"/>
      <c r="F164" s="920"/>
      <c r="G164" s="854">
        <v>6500</v>
      </c>
      <c r="H164" s="854">
        <v>0</v>
      </c>
      <c r="I164" s="923">
        <v>6500</v>
      </c>
      <c r="J164" s="854"/>
      <c r="K164" s="854"/>
      <c r="L164" s="854">
        <f t="shared" si="38"/>
        <v>0</v>
      </c>
      <c r="M164" s="854">
        <f t="shared" si="39"/>
        <v>6500</v>
      </c>
      <c r="N164" s="854">
        <f t="shared" si="39"/>
        <v>0</v>
      </c>
      <c r="O164" s="854">
        <f t="shared" si="40"/>
        <v>6500</v>
      </c>
    </row>
    <row r="165" spans="1:15" ht="12" customHeight="1">
      <c r="A165" s="937"/>
      <c r="B165" s="937"/>
      <c r="C165" s="944" t="s">
        <v>212</v>
      </c>
      <c r="D165" s="934" t="s">
        <v>1781</v>
      </c>
      <c r="E165" s="919"/>
      <c r="F165" s="920" t="s">
        <v>606</v>
      </c>
      <c r="G165" s="854">
        <v>20800</v>
      </c>
      <c r="H165" s="854">
        <v>0</v>
      </c>
      <c r="I165" s="923">
        <v>20800</v>
      </c>
      <c r="J165" s="854">
        <v>-365</v>
      </c>
      <c r="K165" s="854"/>
      <c r="L165" s="854">
        <f t="shared" si="38"/>
        <v>-365</v>
      </c>
      <c r="M165" s="854">
        <f t="shared" si="39"/>
        <v>20435</v>
      </c>
      <c r="N165" s="854">
        <f t="shared" si="39"/>
        <v>0</v>
      </c>
      <c r="O165" s="854">
        <f t="shared" si="40"/>
        <v>20435</v>
      </c>
    </row>
    <row r="166" spans="1:15" ht="12" customHeight="1">
      <c r="A166" s="937"/>
      <c r="B166" s="937"/>
      <c r="C166" s="944" t="s">
        <v>213</v>
      </c>
      <c r="D166" s="947" t="s">
        <v>1782</v>
      </c>
      <c r="E166" s="919"/>
      <c r="F166" s="920"/>
      <c r="G166" s="854">
        <v>2456</v>
      </c>
      <c r="H166" s="854">
        <v>0</v>
      </c>
      <c r="I166" s="923">
        <v>2456</v>
      </c>
      <c r="J166" s="854"/>
      <c r="K166" s="854"/>
      <c r="L166" s="854">
        <f t="shared" si="38"/>
        <v>0</v>
      </c>
      <c r="M166" s="854">
        <f t="shared" si="39"/>
        <v>2456</v>
      </c>
      <c r="N166" s="854">
        <f t="shared" si="39"/>
        <v>0</v>
      </c>
      <c r="O166" s="854">
        <f t="shared" si="40"/>
        <v>2456</v>
      </c>
    </row>
    <row r="167" spans="1:15" ht="12" customHeight="1">
      <c r="A167" s="937"/>
      <c r="B167" s="937"/>
      <c r="C167" s="944" t="s">
        <v>214</v>
      </c>
      <c r="D167" s="947" t="s">
        <v>1784</v>
      </c>
      <c r="E167" s="919"/>
      <c r="F167" s="920"/>
      <c r="G167" s="854">
        <v>0</v>
      </c>
      <c r="H167" s="854">
        <v>4000</v>
      </c>
      <c r="I167" s="923">
        <v>4000</v>
      </c>
      <c r="J167" s="854"/>
      <c r="K167" s="854"/>
      <c r="L167" s="854">
        <f t="shared" si="38"/>
        <v>0</v>
      </c>
      <c r="M167" s="854">
        <f t="shared" si="39"/>
        <v>0</v>
      </c>
      <c r="N167" s="854">
        <f t="shared" si="39"/>
        <v>4000</v>
      </c>
      <c r="O167" s="854">
        <f t="shared" si="40"/>
        <v>4000</v>
      </c>
    </row>
    <row r="168" spans="1:15" ht="12" customHeight="1">
      <c r="A168" s="937"/>
      <c r="B168" s="937"/>
      <c r="C168" s="944" t="s">
        <v>1377</v>
      </c>
      <c r="D168" s="959" t="s">
        <v>1786</v>
      </c>
      <c r="E168" s="919"/>
      <c r="F168" s="920" t="s">
        <v>606</v>
      </c>
      <c r="G168" s="854">
        <v>12700</v>
      </c>
      <c r="H168" s="854">
        <v>0</v>
      </c>
      <c r="I168" s="923">
        <v>12700</v>
      </c>
      <c r="J168" s="854">
        <v>-56</v>
      </c>
      <c r="K168" s="854"/>
      <c r="L168" s="854">
        <f t="shared" si="38"/>
        <v>-56</v>
      </c>
      <c r="M168" s="854">
        <f t="shared" si="39"/>
        <v>12644</v>
      </c>
      <c r="N168" s="854">
        <f t="shared" si="39"/>
        <v>0</v>
      </c>
      <c r="O168" s="854">
        <f t="shared" si="40"/>
        <v>12644</v>
      </c>
    </row>
    <row r="169" spans="1:15" ht="12" customHeight="1">
      <c r="A169" s="937"/>
      <c r="B169" s="937"/>
      <c r="C169" s="944" t="s">
        <v>1378</v>
      </c>
      <c r="D169" s="934" t="s">
        <v>1199</v>
      </c>
      <c r="E169" s="919"/>
      <c r="F169" s="920"/>
      <c r="G169" s="854">
        <v>4000</v>
      </c>
      <c r="H169" s="854"/>
      <c r="I169" s="923">
        <v>4000</v>
      </c>
      <c r="J169" s="854"/>
      <c r="K169" s="854"/>
      <c r="L169" s="854">
        <f t="shared" si="38"/>
        <v>0</v>
      </c>
      <c r="M169" s="854">
        <f aca="true" t="shared" si="41" ref="M169:M177">SUM(G169+J169)</f>
        <v>4000</v>
      </c>
      <c r="N169" s="854"/>
      <c r="O169" s="854">
        <f t="shared" si="40"/>
        <v>4000</v>
      </c>
    </row>
    <row r="170" spans="1:15" ht="12" customHeight="1">
      <c r="A170" s="937"/>
      <c r="B170" s="937"/>
      <c r="C170" s="937"/>
      <c r="D170" s="928" t="s">
        <v>1717</v>
      </c>
      <c r="E170" s="993"/>
      <c r="F170" s="994"/>
      <c r="G170" s="854">
        <v>0</v>
      </c>
      <c r="H170" s="854">
        <v>0</v>
      </c>
      <c r="I170" s="923">
        <v>0</v>
      </c>
      <c r="J170" s="854"/>
      <c r="K170" s="854"/>
      <c r="L170" s="854">
        <f t="shared" si="38"/>
        <v>0</v>
      </c>
      <c r="M170" s="854">
        <f t="shared" si="41"/>
        <v>0</v>
      </c>
      <c r="N170" s="854">
        <f aca="true" t="shared" si="42" ref="N170:N177">SUM(H170+K170)</f>
        <v>0</v>
      </c>
      <c r="O170" s="854">
        <f t="shared" si="40"/>
        <v>0</v>
      </c>
    </row>
    <row r="171" spans="1:15" ht="12" customHeight="1">
      <c r="A171" s="937"/>
      <c r="B171" s="937"/>
      <c r="C171" s="995" t="s">
        <v>1676</v>
      </c>
      <c r="D171" s="967" t="s">
        <v>1753</v>
      </c>
      <c r="E171" s="993"/>
      <c r="F171" s="994"/>
      <c r="G171" s="854">
        <v>13510</v>
      </c>
      <c r="H171" s="854">
        <v>0</v>
      </c>
      <c r="I171" s="923">
        <v>13510</v>
      </c>
      <c r="J171" s="854"/>
      <c r="K171" s="854"/>
      <c r="L171" s="854">
        <f t="shared" si="38"/>
        <v>0</v>
      </c>
      <c r="M171" s="854">
        <f t="shared" si="41"/>
        <v>13510</v>
      </c>
      <c r="N171" s="854">
        <f t="shared" si="42"/>
        <v>0</v>
      </c>
      <c r="O171" s="854">
        <f t="shared" si="40"/>
        <v>13510</v>
      </c>
    </row>
    <row r="172" spans="1:15" ht="12" customHeight="1">
      <c r="A172" s="937"/>
      <c r="B172" s="937"/>
      <c r="C172" s="995" t="s">
        <v>1677</v>
      </c>
      <c r="D172" s="991" t="s">
        <v>1657</v>
      </c>
      <c r="E172" s="993"/>
      <c r="F172" s="994"/>
      <c r="G172" s="854">
        <v>16089</v>
      </c>
      <c r="H172" s="854">
        <v>0</v>
      </c>
      <c r="I172" s="923">
        <v>16089</v>
      </c>
      <c r="J172" s="854"/>
      <c r="K172" s="854"/>
      <c r="L172" s="854">
        <f t="shared" si="38"/>
        <v>0</v>
      </c>
      <c r="M172" s="854">
        <f t="shared" si="41"/>
        <v>16089</v>
      </c>
      <c r="N172" s="854">
        <f t="shared" si="42"/>
        <v>0</v>
      </c>
      <c r="O172" s="854">
        <f t="shared" si="40"/>
        <v>16089</v>
      </c>
    </row>
    <row r="173" spans="1:15" ht="24.75" customHeight="1">
      <c r="A173" s="937"/>
      <c r="B173" s="937"/>
      <c r="C173" s="995" t="s">
        <v>1678</v>
      </c>
      <c r="D173" s="996" t="s">
        <v>1754</v>
      </c>
      <c r="E173" s="993"/>
      <c r="F173" s="994"/>
      <c r="G173" s="854">
        <v>0</v>
      </c>
      <c r="H173" s="854">
        <v>12100</v>
      </c>
      <c r="I173" s="923">
        <v>12100</v>
      </c>
      <c r="J173" s="854"/>
      <c r="K173" s="854"/>
      <c r="L173" s="854">
        <f t="shared" si="38"/>
        <v>0</v>
      </c>
      <c r="M173" s="854">
        <f t="shared" si="41"/>
        <v>0</v>
      </c>
      <c r="N173" s="854">
        <f t="shared" si="42"/>
        <v>12100</v>
      </c>
      <c r="O173" s="854">
        <f t="shared" si="40"/>
        <v>12100</v>
      </c>
    </row>
    <row r="174" spans="1:15" ht="12" customHeight="1">
      <c r="A174" s="937"/>
      <c r="B174" s="937"/>
      <c r="C174" s="995" t="s">
        <v>1543</v>
      </c>
      <c r="D174" s="997" t="s">
        <v>1655</v>
      </c>
      <c r="E174" s="993"/>
      <c r="F174" s="994"/>
      <c r="G174" s="854">
        <v>30200</v>
      </c>
      <c r="H174" s="854">
        <v>0</v>
      </c>
      <c r="I174" s="923">
        <v>30200</v>
      </c>
      <c r="J174" s="854"/>
      <c r="K174" s="854"/>
      <c r="L174" s="854">
        <f t="shared" si="38"/>
        <v>0</v>
      </c>
      <c r="M174" s="854">
        <f t="shared" si="41"/>
        <v>30200</v>
      </c>
      <c r="N174" s="854">
        <f t="shared" si="42"/>
        <v>0</v>
      </c>
      <c r="O174" s="854">
        <f t="shared" si="40"/>
        <v>30200</v>
      </c>
    </row>
    <row r="175" spans="1:15" ht="12" customHeight="1">
      <c r="A175" s="937"/>
      <c r="B175" s="937"/>
      <c r="C175" s="995" t="s">
        <v>1544</v>
      </c>
      <c r="D175" s="998" t="s">
        <v>1656</v>
      </c>
      <c r="E175" s="993"/>
      <c r="F175" s="994" t="s">
        <v>606</v>
      </c>
      <c r="G175" s="854">
        <v>20895</v>
      </c>
      <c r="H175" s="854">
        <v>0</v>
      </c>
      <c r="I175" s="923">
        <v>20895</v>
      </c>
      <c r="J175" s="854">
        <v>-51</v>
      </c>
      <c r="K175" s="854"/>
      <c r="L175" s="854">
        <f t="shared" si="38"/>
        <v>-51</v>
      </c>
      <c r="M175" s="854">
        <f t="shared" si="41"/>
        <v>20844</v>
      </c>
      <c r="N175" s="854">
        <f t="shared" si="42"/>
        <v>0</v>
      </c>
      <c r="O175" s="854">
        <f t="shared" si="40"/>
        <v>20844</v>
      </c>
    </row>
    <row r="176" spans="1:15" ht="12" customHeight="1">
      <c r="A176" s="937"/>
      <c r="B176" s="937"/>
      <c r="C176" s="995" t="s">
        <v>1545</v>
      </c>
      <c r="D176" s="985" t="s">
        <v>366</v>
      </c>
      <c r="E176" s="993"/>
      <c r="F176" s="994"/>
      <c r="G176" s="854">
        <v>1132</v>
      </c>
      <c r="H176" s="854">
        <v>0</v>
      </c>
      <c r="I176" s="923">
        <v>1132</v>
      </c>
      <c r="J176" s="854"/>
      <c r="K176" s="854"/>
      <c r="L176" s="854">
        <f t="shared" si="38"/>
        <v>0</v>
      </c>
      <c r="M176" s="854">
        <f t="shared" si="41"/>
        <v>1132</v>
      </c>
      <c r="N176" s="854">
        <f t="shared" si="42"/>
        <v>0</v>
      </c>
      <c r="O176" s="854">
        <f t="shared" si="40"/>
        <v>1132</v>
      </c>
    </row>
    <row r="177" spans="1:15" ht="12" customHeight="1">
      <c r="A177" s="937"/>
      <c r="B177" s="937"/>
      <c r="C177" s="995" t="s">
        <v>1546</v>
      </c>
      <c r="D177" s="999" t="s">
        <v>1648</v>
      </c>
      <c r="E177" s="993"/>
      <c r="F177" s="994"/>
      <c r="G177" s="854">
        <v>306</v>
      </c>
      <c r="H177" s="854">
        <v>0</v>
      </c>
      <c r="I177" s="923">
        <v>306</v>
      </c>
      <c r="J177" s="854"/>
      <c r="K177" s="854"/>
      <c r="L177" s="854">
        <f t="shared" si="38"/>
        <v>0</v>
      </c>
      <c r="M177" s="854">
        <f t="shared" si="41"/>
        <v>306</v>
      </c>
      <c r="N177" s="854">
        <f t="shared" si="42"/>
        <v>0</v>
      </c>
      <c r="O177" s="854">
        <f t="shared" si="40"/>
        <v>306</v>
      </c>
    </row>
    <row r="178" spans="1:15" ht="13.5" customHeight="1">
      <c r="A178" s="937"/>
      <c r="B178" s="937"/>
      <c r="C178" s="937" t="s">
        <v>1387</v>
      </c>
      <c r="D178" s="938" t="s">
        <v>43</v>
      </c>
      <c r="E178" s="1000"/>
      <c r="F178" s="1001"/>
      <c r="G178" s="854"/>
      <c r="H178" s="854"/>
      <c r="I178" s="923"/>
      <c r="J178" s="854"/>
      <c r="K178" s="854"/>
      <c r="L178" s="854"/>
      <c r="M178" s="854"/>
      <c r="N178" s="854"/>
      <c r="O178" s="854"/>
    </row>
    <row r="179" spans="1:15" ht="13.5" customHeight="1">
      <c r="A179" s="937"/>
      <c r="B179" s="937"/>
      <c r="C179" s="937"/>
      <c r="D179" s="928" t="s">
        <v>1717</v>
      </c>
      <c r="E179" s="1000"/>
      <c r="F179" s="1001"/>
      <c r="G179" s="854"/>
      <c r="H179" s="854"/>
      <c r="I179" s="923"/>
      <c r="J179" s="854"/>
      <c r="K179" s="854"/>
      <c r="L179" s="854"/>
      <c r="M179" s="854"/>
      <c r="N179" s="854"/>
      <c r="O179" s="854"/>
    </row>
    <row r="180" spans="1:15" ht="13.5" customHeight="1">
      <c r="A180" s="937"/>
      <c r="B180" s="937"/>
      <c r="C180" s="944" t="s">
        <v>1845</v>
      </c>
      <c r="D180" s="1002" t="s">
        <v>1249</v>
      </c>
      <c r="E180" s="919"/>
      <c r="F180" s="920"/>
      <c r="G180" s="854">
        <v>4658</v>
      </c>
      <c r="H180" s="854">
        <v>0</v>
      </c>
      <c r="I180" s="923">
        <v>4658</v>
      </c>
      <c r="J180" s="854"/>
      <c r="K180" s="854"/>
      <c r="L180" s="854">
        <f>SUM(J180:K180)</f>
        <v>0</v>
      </c>
      <c r="M180" s="854">
        <f aca="true" t="shared" si="43" ref="M180:N182">SUM(G180+J180)</f>
        <v>4658</v>
      </c>
      <c r="N180" s="854">
        <f t="shared" si="43"/>
        <v>0</v>
      </c>
      <c r="O180" s="854">
        <f>SUM(M180:N180)</f>
        <v>4658</v>
      </c>
    </row>
    <row r="181" spans="1:15" ht="13.5" customHeight="1">
      <c r="A181" s="937"/>
      <c r="B181" s="937"/>
      <c r="C181" s="944" t="s">
        <v>1859</v>
      </c>
      <c r="D181" s="1003" t="s">
        <v>1446</v>
      </c>
      <c r="E181" s="919"/>
      <c r="F181" s="920"/>
      <c r="G181" s="854">
        <v>6000</v>
      </c>
      <c r="H181" s="854">
        <v>0</v>
      </c>
      <c r="I181" s="923">
        <v>6000</v>
      </c>
      <c r="J181" s="854"/>
      <c r="K181" s="854"/>
      <c r="L181" s="854">
        <f>SUM(J181:K181)</f>
        <v>0</v>
      </c>
      <c r="M181" s="854">
        <f t="shared" si="43"/>
        <v>6000</v>
      </c>
      <c r="N181" s="854">
        <f t="shared" si="43"/>
        <v>0</v>
      </c>
      <c r="O181" s="854">
        <f>SUM(M181:N181)</f>
        <v>6000</v>
      </c>
    </row>
    <row r="182" spans="1:15" ht="13.5" customHeight="1">
      <c r="A182" s="937"/>
      <c r="B182" s="937"/>
      <c r="C182" s="944" t="s">
        <v>1860</v>
      </c>
      <c r="D182" s="1004" t="s">
        <v>1861</v>
      </c>
      <c r="E182" s="919"/>
      <c r="F182" s="920"/>
      <c r="G182" s="854">
        <v>2500</v>
      </c>
      <c r="H182" s="854">
        <v>0</v>
      </c>
      <c r="I182" s="923">
        <v>2500</v>
      </c>
      <c r="J182" s="854"/>
      <c r="K182" s="854"/>
      <c r="L182" s="854">
        <f>SUM(J182:K182)</f>
        <v>0</v>
      </c>
      <c r="M182" s="854">
        <f t="shared" si="43"/>
        <v>2500</v>
      </c>
      <c r="N182" s="854">
        <f t="shared" si="43"/>
        <v>0</v>
      </c>
      <c r="O182" s="854">
        <f>SUM(M182:N182)</f>
        <v>2500</v>
      </c>
    </row>
    <row r="183" spans="1:15" ht="12.75" customHeight="1">
      <c r="A183" s="937"/>
      <c r="B183" s="937"/>
      <c r="C183" s="937" t="s">
        <v>1385</v>
      </c>
      <c r="D183" s="938" t="s">
        <v>44</v>
      </c>
      <c r="E183" s="993"/>
      <c r="F183" s="994"/>
      <c r="G183" s="854"/>
      <c r="H183" s="854"/>
      <c r="I183" s="923"/>
      <c r="J183" s="854"/>
      <c r="K183" s="854"/>
      <c r="L183" s="854"/>
      <c r="M183" s="854"/>
      <c r="N183" s="854"/>
      <c r="O183" s="854"/>
    </row>
    <row r="184" spans="1:15" ht="12.75" customHeight="1">
      <c r="A184" s="937"/>
      <c r="B184" s="937"/>
      <c r="C184" s="944" t="s">
        <v>1386</v>
      </c>
      <c r="D184" s="1003" t="s">
        <v>1675</v>
      </c>
      <c r="E184" s="1000"/>
      <c r="F184" s="1001" t="s">
        <v>606</v>
      </c>
      <c r="G184" s="854">
        <v>4312</v>
      </c>
      <c r="H184" s="854">
        <v>0</v>
      </c>
      <c r="I184" s="923">
        <v>4312</v>
      </c>
      <c r="J184" s="854">
        <v>69</v>
      </c>
      <c r="K184" s="854"/>
      <c r="L184" s="854">
        <f aca="true" t="shared" si="44" ref="L184:L211">SUM(J184:K184)</f>
        <v>69</v>
      </c>
      <c r="M184" s="854">
        <f aca="true" t="shared" si="45" ref="M184:M210">SUM(G184+J184)</f>
        <v>4381</v>
      </c>
      <c r="N184" s="854">
        <f aca="true" t="shared" si="46" ref="N184:N210">SUM(H184+K184)</f>
        <v>0</v>
      </c>
      <c r="O184" s="854">
        <f aca="true" t="shared" si="47" ref="O184:O211">SUM(M184:N184)</f>
        <v>4381</v>
      </c>
    </row>
    <row r="185" spans="1:15" ht="12.75" customHeight="1">
      <c r="A185" s="937"/>
      <c r="B185" s="937"/>
      <c r="C185" s="944"/>
      <c r="D185" s="928" t="s">
        <v>1769</v>
      </c>
      <c r="E185" s="1000"/>
      <c r="F185" s="1001"/>
      <c r="G185" s="854">
        <v>0</v>
      </c>
      <c r="H185" s="854">
        <v>0</v>
      </c>
      <c r="I185" s="923">
        <v>0</v>
      </c>
      <c r="J185" s="854"/>
      <c r="K185" s="854"/>
      <c r="L185" s="854">
        <f t="shared" si="44"/>
        <v>0</v>
      </c>
      <c r="M185" s="854">
        <f t="shared" si="45"/>
        <v>0</v>
      </c>
      <c r="N185" s="854">
        <f t="shared" si="46"/>
        <v>0</v>
      </c>
      <c r="O185" s="854">
        <f t="shared" si="47"/>
        <v>0</v>
      </c>
    </row>
    <row r="186" spans="1:15" ht="12.75" customHeight="1">
      <c r="A186" s="937"/>
      <c r="B186" s="937"/>
      <c r="C186" s="944" t="s">
        <v>909</v>
      </c>
      <c r="D186" s="1005" t="s">
        <v>1763</v>
      </c>
      <c r="E186" s="1000"/>
      <c r="F186" s="1001"/>
      <c r="G186" s="854">
        <v>1268</v>
      </c>
      <c r="H186" s="854">
        <v>0</v>
      </c>
      <c r="I186" s="923">
        <v>1268</v>
      </c>
      <c r="J186" s="854"/>
      <c r="K186" s="854"/>
      <c r="L186" s="854">
        <f t="shared" si="44"/>
        <v>0</v>
      </c>
      <c r="M186" s="854">
        <f t="shared" si="45"/>
        <v>1268</v>
      </c>
      <c r="N186" s="854">
        <f t="shared" si="46"/>
        <v>0</v>
      </c>
      <c r="O186" s="854">
        <f t="shared" si="47"/>
        <v>1268</v>
      </c>
    </row>
    <row r="187" spans="1:15" ht="24.75" customHeight="1">
      <c r="A187" s="937"/>
      <c r="B187" s="937"/>
      <c r="C187" s="944" t="s">
        <v>1447</v>
      </c>
      <c r="D187" s="1006" t="s">
        <v>1764</v>
      </c>
      <c r="E187" s="1000"/>
      <c r="F187" s="1001"/>
      <c r="G187" s="854">
        <v>1500</v>
      </c>
      <c r="H187" s="854">
        <v>0</v>
      </c>
      <c r="I187" s="923">
        <v>1500</v>
      </c>
      <c r="J187" s="854"/>
      <c r="K187" s="854"/>
      <c r="L187" s="854">
        <f t="shared" si="44"/>
        <v>0</v>
      </c>
      <c r="M187" s="854">
        <f t="shared" si="45"/>
        <v>1500</v>
      </c>
      <c r="N187" s="854">
        <f t="shared" si="46"/>
        <v>0</v>
      </c>
      <c r="O187" s="854">
        <f t="shared" si="47"/>
        <v>1500</v>
      </c>
    </row>
    <row r="188" spans="1:15" ht="12.75" customHeight="1">
      <c r="A188" s="937"/>
      <c r="B188" s="937"/>
      <c r="C188" s="944" t="s">
        <v>1767</v>
      </c>
      <c r="D188" s="1005" t="s">
        <v>1765</v>
      </c>
      <c r="E188" s="1000"/>
      <c r="F188" s="1001"/>
      <c r="G188" s="854">
        <v>2286</v>
      </c>
      <c r="H188" s="854">
        <v>0</v>
      </c>
      <c r="I188" s="923">
        <v>2286</v>
      </c>
      <c r="J188" s="854"/>
      <c r="K188" s="854"/>
      <c r="L188" s="854">
        <f t="shared" si="44"/>
        <v>0</v>
      </c>
      <c r="M188" s="854">
        <f t="shared" si="45"/>
        <v>2286</v>
      </c>
      <c r="N188" s="854">
        <f t="shared" si="46"/>
        <v>0</v>
      </c>
      <c r="O188" s="854">
        <f t="shared" si="47"/>
        <v>2286</v>
      </c>
    </row>
    <row r="189" spans="1:15" ht="12.75" customHeight="1">
      <c r="A189" s="937"/>
      <c r="B189" s="937"/>
      <c r="C189" s="944" t="s">
        <v>1768</v>
      </c>
      <c r="D189" s="1005" t="s">
        <v>1766</v>
      </c>
      <c r="E189" s="1000"/>
      <c r="F189" s="1001"/>
      <c r="G189" s="854">
        <v>2500</v>
      </c>
      <c r="H189" s="854">
        <v>0</v>
      </c>
      <c r="I189" s="923">
        <v>2500</v>
      </c>
      <c r="J189" s="854"/>
      <c r="K189" s="854"/>
      <c r="L189" s="854">
        <f t="shared" si="44"/>
        <v>0</v>
      </c>
      <c r="M189" s="854">
        <f t="shared" si="45"/>
        <v>2500</v>
      </c>
      <c r="N189" s="854">
        <f t="shared" si="46"/>
        <v>0</v>
      </c>
      <c r="O189" s="854">
        <f t="shared" si="47"/>
        <v>2500</v>
      </c>
    </row>
    <row r="190" spans="1:15" ht="15" customHeight="1">
      <c r="A190" s="937"/>
      <c r="B190" s="937"/>
      <c r="C190" s="944" t="s">
        <v>1770</v>
      </c>
      <c r="D190" s="1007" t="s">
        <v>1771</v>
      </c>
      <c r="E190" s="1000"/>
      <c r="F190" s="1001" t="s">
        <v>606</v>
      </c>
      <c r="G190" s="854">
        <v>950</v>
      </c>
      <c r="H190" s="854">
        <v>0</v>
      </c>
      <c r="I190" s="923">
        <v>950</v>
      </c>
      <c r="J190" s="854">
        <v>-12</v>
      </c>
      <c r="K190" s="854"/>
      <c r="L190" s="854">
        <f t="shared" si="44"/>
        <v>-12</v>
      </c>
      <c r="M190" s="854">
        <f t="shared" si="45"/>
        <v>938</v>
      </c>
      <c r="N190" s="854">
        <f t="shared" si="46"/>
        <v>0</v>
      </c>
      <c r="O190" s="854">
        <f t="shared" si="47"/>
        <v>938</v>
      </c>
    </row>
    <row r="191" spans="1:15" ht="27" customHeight="1">
      <c r="A191" s="937"/>
      <c r="B191" s="937"/>
      <c r="C191" s="944" t="s">
        <v>1388</v>
      </c>
      <c r="D191" s="1008" t="s">
        <v>480</v>
      </c>
      <c r="E191" s="1001" t="s">
        <v>1586</v>
      </c>
      <c r="F191" s="1009"/>
      <c r="G191" s="877">
        <v>117187</v>
      </c>
      <c r="H191" s="854">
        <v>0</v>
      </c>
      <c r="I191" s="923">
        <v>117187</v>
      </c>
      <c r="J191" s="877"/>
      <c r="K191" s="877"/>
      <c r="L191" s="877">
        <f t="shared" si="44"/>
        <v>0</v>
      </c>
      <c r="M191" s="877">
        <f t="shared" si="45"/>
        <v>117187</v>
      </c>
      <c r="N191" s="877">
        <f t="shared" si="46"/>
        <v>0</v>
      </c>
      <c r="O191" s="877">
        <f t="shared" si="47"/>
        <v>117187</v>
      </c>
    </row>
    <row r="192" spans="1:15" ht="15" customHeight="1">
      <c r="A192" s="937"/>
      <c r="B192" s="937"/>
      <c r="C192" s="944" t="s">
        <v>1389</v>
      </c>
      <c r="D192" s="959" t="s">
        <v>1660</v>
      </c>
      <c r="E192" s="1000"/>
      <c r="F192" s="1001"/>
      <c r="G192" s="854">
        <v>0</v>
      </c>
      <c r="H192" s="854">
        <v>17500</v>
      </c>
      <c r="I192" s="923">
        <v>17500</v>
      </c>
      <c r="J192" s="854"/>
      <c r="K192" s="854"/>
      <c r="L192" s="854">
        <f t="shared" si="44"/>
        <v>0</v>
      </c>
      <c r="M192" s="854">
        <f t="shared" si="45"/>
        <v>0</v>
      </c>
      <c r="N192" s="854">
        <f t="shared" si="46"/>
        <v>17500</v>
      </c>
      <c r="O192" s="854">
        <f t="shared" si="47"/>
        <v>17500</v>
      </c>
    </row>
    <row r="193" spans="1:15" ht="15" customHeight="1">
      <c r="A193" s="937"/>
      <c r="B193" s="937"/>
      <c r="C193" s="944" t="s">
        <v>1403</v>
      </c>
      <c r="D193" s="1010" t="s">
        <v>1759</v>
      </c>
      <c r="E193" s="1001" t="s">
        <v>1586</v>
      </c>
      <c r="F193" s="1001" t="s">
        <v>606</v>
      </c>
      <c r="G193" s="854">
        <v>115790</v>
      </c>
      <c r="H193" s="854">
        <v>0</v>
      </c>
      <c r="I193" s="923">
        <v>115790</v>
      </c>
      <c r="J193" s="854">
        <v>-252</v>
      </c>
      <c r="K193" s="854"/>
      <c r="L193" s="854">
        <f t="shared" si="44"/>
        <v>-252</v>
      </c>
      <c r="M193" s="854">
        <f t="shared" si="45"/>
        <v>115538</v>
      </c>
      <c r="N193" s="854">
        <f t="shared" si="46"/>
        <v>0</v>
      </c>
      <c r="O193" s="854">
        <f t="shared" si="47"/>
        <v>115538</v>
      </c>
    </row>
    <row r="194" spans="1:15" ht="15" customHeight="1">
      <c r="A194" s="937"/>
      <c r="B194" s="937"/>
      <c r="C194" s="944" t="s">
        <v>1510</v>
      </c>
      <c r="D194" s="989" t="s">
        <v>1760</v>
      </c>
      <c r="E194" s="1001" t="s">
        <v>1586</v>
      </c>
      <c r="F194" s="1001"/>
      <c r="G194" s="854">
        <v>126316</v>
      </c>
      <c r="H194" s="854">
        <v>0</v>
      </c>
      <c r="I194" s="923">
        <v>126316</v>
      </c>
      <c r="J194" s="854"/>
      <c r="K194" s="854"/>
      <c r="L194" s="854">
        <f t="shared" si="44"/>
        <v>0</v>
      </c>
      <c r="M194" s="854">
        <f t="shared" si="45"/>
        <v>126316</v>
      </c>
      <c r="N194" s="854">
        <f t="shared" si="46"/>
        <v>0</v>
      </c>
      <c r="O194" s="854">
        <f t="shared" si="47"/>
        <v>126316</v>
      </c>
    </row>
    <row r="195" spans="1:15" ht="15" customHeight="1">
      <c r="A195" s="937"/>
      <c r="B195" s="937"/>
      <c r="C195" s="944" t="s">
        <v>416</v>
      </c>
      <c r="D195" s="989" t="s">
        <v>1761</v>
      </c>
      <c r="E195" s="1001" t="s">
        <v>1586</v>
      </c>
      <c r="F195" s="1001"/>
      <c r="G195" s="854">
        <v>75591</v>
      </c>
      <c r="H195" s="854">
        <v>0</v>
      </c>
      <c r="I195" s="923">
        <v>75591</v>
      </c>
      <c r="J195" s="854"/>
      <c r="K195" s="854"/>
      <c r="L195" s="854">
        <f t="shared" si="44"/>
        <v>0</v>
      </c>
      <c r="M195" s="854">
        <f t="shared" si="45"/>
        <v>75591</v>
      </c>
      <c r="N195" s="854">
        <f t="shared" si="46"/>
        <v>0</v>
      </c>
      <c r="O195" s="854">
        <f t="shared" si="47"/>
        <v>75591</v>
      </c>
    </row>
    <row r="196" spans="1:15" ht="15" customHeight="1">
      <c r="A196" s="937"/>
      <c r="B196" s="937"/>
      <c r="C196" s="944" t="s">
        <v>417</v>
      </c>
      <c r="D196" s="1003" t="s">
        <v>1449</v>
      </c>
      <c r="E196" s="1000"/>
      <c r="F196" s="1001"/>
      <c r="G196" s="854">
        <v>7358</v>
      </c>
      <c r="H196" s="854">
        <v>0</v>
      </c>
      <c r="I196" s="923">
        <v>7358</v>
      </c>
      <c r="J196" s="854"/>
      <c r="K196" s="854"/>
      <c r="L196" s="854">
        <f t="shared" si="44"/>
        <v>0</v>
      </c>
      <c r="M196" s="854">
        <f t="shared" si="45"/>
        <v>7358</v>
      </c>
      <c r="N196" s="854">
        <f t="shared" si="46"/>
        <v>0</v>
      </c>
      <c r="O196" s="854">
        <f t="shared" si="47"/>
        <v>7358</v>
      </c>
    </row>
    <row r="197" spans="1:15" ht="15" customHeight="1">
      <c r="A197" s="937"/>
      <c r="B197" s="937"/>
      <c r="C197" s="944" t="s">
        <v>1661</v>
      </c>
      <c r="D197" s="927" t="s">
        <v>1658</v>
      </c>
      <c r="E197" s="1000"/>
      <c r="F197" s="1001"/>
      <c r="G197" s="854">
        <v>23328</v>
      </c>
      <c r="H197" s="854">
        <v>0</v>
      </c>
      <c r="I197" s="923">
        <v>23328</v>
      </c>
      <c r="J197" s="854"/>
      <c r="K197" s="854"/>
      <c r="L197" s="854">
        <f t="shared" si="44"/>
        <v>0</v>
      </c>
      <c r="M197" s="854">
        <f t="shared" si="45"/>
        <v>23328</v>
      </c>
      <c r="N197" s="854">
        <f t="shared" si="46"/>
        <v>0</v>
      </c>
      <c r="O197" s="854">
        <f t="shared" si="47"/>
        <v>23328</v>
      </c>
    </row>
    <row r="198" spans="1:15" ht="15" customHeight="1">
      <c r="A198" s="937"/>
      <c r="B198" s="937"/>
      <c r="C198" s="944" t="s">
        <v>1662</v>
      </c>
      <c r="D198" s="959" t="s">
        <v>1659</v>
      </c>
      <c r="E198" s="1000"/>
      <c r="F198" s="1001" t="s">
        <v>606</v>
      </c>
      <c r="G198" s="854">
        <v>3000</v>
      </c>
      <c r="H198" s="854">
        <v>0</v>
      </c>
      <c r="I198" s="923">
        <v>3000</v>
      </c>
      <c r="J198" s="854">
        <v>-20</v>
      </c>
      <c r="K198" s="854"/>
      <c r="L198" s="854">
        <f t="shared" si="44"/>
        <v>-20</v>
      </c>
      <c r="M198" s="854">
        <f t="shared" si="45"/>
        <v>2980</v>
      </c>
      <c r="N198" s="854">
        <f t="shared" si="46"/>
        <v>0</v>
      </c>
      <c r="O198" s="854">
        <f t="shared" si="47"/>
        <v>2980</v>
      </c>
    </row>
    <row r="199" spans="1:15" ht="15" customHeight="1">
      <c r="A199" s="937"/>
      <c r="B199" s="937"/>
      <c r="C199" s="944" t="s">
        <v>1663</v>
      </c>
      <c r="D199" s="959" t="s">
        <v>1772</v>
      </c>
      <c r="E199" s="1000"/>
      <c r="F199" s="1001"/>
      <c r="G199" s="854">
        <v>0</v>
      </c>
      <c r="H199" s="854">
        <v>0</v>
      </c>
      <c r="I199" s="923">
        <v>0</v>
      </c>
      <c r="J199" s="854"/>
      <c r="K199" s="854"/>
      <c r="L199" s="854">
        <f t="shared" si="44"/>
        <v>0</v>
      </c>
      <c r="M199" s="854">
        <f t="shared" si="45"/>
        <v>0</v>
      </c>
      <c r="N199" s="854">
        <f t="shared" si="46"/>
        <v>0</v>
      </c>
      <c r="O199" s="854">
        <f t="shared" si="47"/>
        <v>0</v>
      </c>
    </row>
    <row r="200" spans="1:15" ht="15" customHeight="1">
      <c r="A200" s="937"/>
      <c r="B200" s="937"/>
      <c r="C200" s="944" t="s">
        <v>833</v>
      </c>
      <c r="D200" s="964" t="s">
        <v>1507</v>
      </c>
      <c r="E200" s="1000"/>
      <c r="F200" s="1001"/>
      <c r="G200" s="854">
        <v>2989</v>
      </c>
      <c r="H200" s="854">
        <v>0</v>
      </c>
      <c r="I200" s="923">
        <v>2989</v>
      </c>
      <c r="J200" s="854"/>
      <c r="K200" s="854"/>
      <c r="L200" s="854">
        <f t="shared" si="44"/>
        <v>0</v>
      </c>
      <c r="M200" s="854">
        <f t="shared" si="45"/>
        <v>2989</v>
      </c>
      <c r="N200" s="854">
        <f t="shared" si="46"/>
        <v>0</v>
      </c>
      <c r="O200" s="854">
        <f t="shared" si="47"/>
        <v>2989</v>
      </c>
    </row>
    <row r="201" spans="1:15" ht="15" customHeight="1">
      <c r="A201" s="937"/>
      <c r="B201" s="937"/>
      <c r="C201" s="944" t="s">
        <v>1664</v>
      </c>
      <c r="D201" s="964" t="s">
        <v>843</v>
      </c>
      <c r="E201" s="1001"/>
      <c r="F201" s="1001"/>
      <c r="G201" s="854">
        <v>31103</v>
      </c>
      <c r="H201" s="854">
        <v>0</v>
      </c>
      <c r="I201" s="923">
        <v>31103</v>
      </c>
      <c r="J201" s="854"/>
      <c r="K201" s="854"/>
      <c r="L201" s="854">
        <f t="shared" si="44"/>
        <v>0</v>
      </c>
      <c r="M201" s="854">
        <f t="shared" si="45"/>
        <v>31103</v>
      </c>
      <c r="N201" s="854">
        <f t="shared" si="46"/>
        <v>0</v>
      </c>
      <c r="O201" s="854">
        <f t="shared" si="47"/>
        <v>31103</v>
      </c>
    </row>
    <row r="202" spans="1:15" ht="15" customHeight="1">
      <c r="A202" s="937"/>
      <c r="B202" s="937"/>
      <c r="C202" s="944" t="s">
        <v>834</v>
      </c>
      <c r="D202" s="927" t="s">
        <v>1774</v>
      </c>
      <c r="E202" s="1000"/>
      <c r="F202" s="1001"/>
      <c r="G202" s="854">
        <v>33020</v>
      </c>
      <c r="H202" s="854">
        <v>0</v>
      </c>
      <c r="I202" s="923">
        <v>33020</v>
      </c>
      <c r="J202" s="854"/>
      <c r="K202" s="854"/>
      <c r="L202" s="854">
        <f t="shared" si="44"/>
        <v>0</v>
      </c>
      <c r="M202" s="854">
        <f t="shared" si="45"/>
        <v>33020</v>
      </c>
      <c r="N202" s="854">
        <f t="shared" si="46"/>
        <v>0</v>
      </c>
      <c r="O202" s="854">
        <f t="shared" si="47"/>
        <v>33020</v>
      </c>
    </row>
    <row r="203" spans="1:15" ht="15" customHeight="1">
      <c r="A203" s="937"/>
      <c r="B203" s="937"/>
      <c r="C203" s="944" t="s">
        <v>1665</v>
      </c>
      <c r="D203" s="969" t="s">
        <v>1775</v>
      </c>
      <c r="E203" s="1000"/>
      <c r="F203" s="1001"/>
      <c r="G203" s="854">
        <v>2500</v>
      </c>
      <c r="H203" s="854">
        <v>0</v>
      </c>
      <c r="I203" s="923">
        <v>2500</v>
      </c>
      <c r="J203" s="854"/>
      <c r="K203" s="854"/>
      <c r="L203" s="854">
        <f t="shared" si="44"/>
        <v>0</v>
      </c>
      <c r="M203" s="854">
        <f t="shared" si="45"/>
        <v>2500</v>
      </c>
      <c r="N203" s="854">
        <f t="shared" si="46"/>
        <v>0</v>
      </c>
      <c r="O203" s="854">
        <f t="shared" si="47"/>
        <v>2500</v>
      </c>
    </row>
    <row r="204" spans="1:15" ht="15" customHeight="1">
      <c r="A204" s="937"/>
      <c r="B204" s="937"/>
      <c r="C204" s="944" t="s">
        <v>1666</v>
      </c>
      <c r="D204" s="969" t="s">
        <v>1777</v>
      </c>
      <c r="E204" s="1000"/>
      <c r="F204" s="1001" t="s">
        <v>606</v>
      </c>
      <c r="G204" s="854">
        <v>5487</v>
      </c>
      <c r="H204" s="854">
        <v>43</v>
      </c>
      <c r="I204" s="923">
        <v>5530</v>
      </c>
      <c r="J204" s="854">
        <v>-90</v>
      </c>
      <c r="K204" s="854"/>
      <c r="L204" s="854">
        <f t="shared" si="44"/>
        <v>-90</v>
      </c>
      <c r="M204" s="854">
        <f t="shared" si="45"/>
        <v>5397</v>
      </c>
      <c r="N204" s="854">
        <f t="shared" si="46"/>
        <v>43</v>
      </c>
      <c r="O204" s="854">
        <f t="shared" si="47"/>
        <v>5440</v>
      </c>
    </row>
    <row r="205" spans="1:15" ht="15" customHeight="1">
      <c r="A205" s="937"/>
      <c r="B205" s="937"/>
      <c r="C205" s="944" t="s">
        <v>1667</v>
      </c>
      <c r="D205" s="969" t="s">
        <v>771</v>
      </c>
      <c r="E205" s="1000"/>
      <c r="F205" s="1001"/>
      <c r="G205" s="854">
        <v>45017</v>
      </c>
      <c r="H205" s="854">
        <v>0</v>
      </c>
      <c r="I205" s="923">
        <v>45017</v>
      </c>
      <c r="J205" s="854"/>
      <c r="K205" s="854"/>
      <c r="L205" s="854">
        <f t="shared" si="44"/>
        <v>0</v>
      </c>
      <c r="M205" s="854">
        <f t="shared" si="45"/>
        <v>45017</v>
      </c>
      <c r="N205" s="854">
        <f t="shared" si="46"/>
        <v>0</v>
      </c>
      <c r="O205" s="854">
        <f t="shared" si="47"/>
        <v>45017</v>
      </c>
    </row>
    <row r="206" spans="1:15" ht="15" customHeight="1">
      <c r="A206" s="937"/>
      <c r="B206" s="937"/>
      <c r="C206" s="944" t="s">
        <v>1668</v>
      </c>
      <c r="D206" s="1011" t="s">
        <v>1776</v>
      </c>
      <c r="E206" s="1000"/>
      <c r="F206" s="1001"/>
      <c r="G206" s="854">
        <v>2159</v>
      </c>
      <c r="H206" s="854">
        <v>0</v>
      </c>
      <c r="I206" s="923">
        <v>2159</v>
      </c>
      <c r="J206" s="854"/>
      <c r="K206" s="854"/>
      <c r="L206" s="854">
        <f t="shared" si="44"/>
        <v>0</v>
      </c>
      <c r="M206" s="854">
        <f t="shared" si="45"/>
        <v>2159</v>
      </c>
      <c r="N206" s="854">
        <f t="shared" si="46"/>
        <v>0</v>
      </c>
      <c r="O206" s="854">
        <f t="shared" si="47"/>
        <v>2159</v>
      </c>
    </row>
    <row r="207" spans="1:15" ht="12.75" customHeight="1">
      <c r="A207" s="937"/>
      <c r="B207" s="937"/>
      <c r="C207" s="944" t="s">
        <v>1669</v>
      </c>
      <c r="D207" s="1012" t="s">
        <v>837</v>
      </c>
      <c r="E207" s="1000"/>
      <c r="F207" s="1001"/>
      <c r="G207" s="854">
        <v>6000</v>
      </c>
      <c r="H207" s="854">
        <v>0</v>
      </c>
      <c r="I207" s="923">
        <v>6000</v>
      </c>
      <c r="J207" s="854"/>
      <c r="K207" s="854"/>
      <c r="L207" s="854">
        <f t="shared" si="44"/>
        <v>0</v>
      </c>
      <c r="M207" s="854">
        <f t="shared" si="45"/>
        <v>6000</v>
      </c>
      <c r="N207" s="854">
        <f t="shared" si="46"/>
        <v>0</v>
      </c>
      <c r="O207" s="854">
        <f t="shared" si="47"/>
        <v>6000</v>
      </c>
    </row>
    <row r="208" spans="1:15" ht="12.75" customHeight="1">
      <c r="A208" s="937"/>
      <c r="B208" s="937"/>
      <c r="C208" s="944" t="s">
        <v>835</v>
      </c>
      <c r="D208" s="1012" t="s">
        <v>838</v>
      </c>
      <c r="E208" s="1000"/>
      <c r="F208" s="1001"/>
      <c r="G208" s="854">
        <v>2000</v>
      </c>
      <c r="H208" s="854">
        <v>0</v>
      </c>
      <c r="I208" s="923">
        <v>2000</v>
      </c>
      <c r="J208" s="854"/>
      <c r="K208" s="854"/>
      <c r="L208" s="854">
        <f t="shared" si="44"/>
        <v>0</v>
      </c>
      <c r="M208" s="854">
        <f t="shared" si="45"/>
        <v>2000</v>
      </c>
      <c r="N208" s="854">
        <f t="shared" si="46"/>
        <v>0</v>
      </c>
      <c r="O208" s="854">
        <f t="shared" si="47"/>
        <v>2000</v>
      </c>
    </row>
    <row r="209" spans="1:15" ht="12.75" customHeight="1">
      <c r="A209" s="937"/>
      <c r="B209" s="937"/>
      <c r="C209" s="944" t="s">
        <v>836</v>
      </c>
      <c r="D209" s="1012" t="s">
        <v>1419</v>
      </c>
      <c r="E209" s="1000"/>
      <c r="F209" s="1001" t="s">
        <v>606</v>
      </c>
      <c r="G209" s="854">
        <v>500000</v>
      </c>
      <c r="H209" s="854">
        <v>0</v>
      </c>
      <c r="I209" s="923">
        <v>500000</v>
      </c>
      <c r="J209" s="854">
        <v>-9846</v>
      </c>
      <c r="K209" s="854"/>
      <c r="L209" s="854">
        <f t="shared" si="44"/>
        <v>-9846</v>
      </c>
      <c r="M209" s="854">
        <f t="shared" si="45"/>
        <v>490154</v>
      </c>
      <c r="N209" s="854">
        <f t="shared" si="46"/>
        <v>0</v>
      </c>
      <c r="O209" s="854">
        <f t="shared" si="47"/>
        <v>490154</v>
      </c>
    </row>
    <row r="210" spans="1:15" ht="12.75" customHeight="1">
      <c r="A210" s="937"/>
      <c r="B210" s="937"/>
      <c r="C210" s="944" t="s">
        <v>1150</v>
      </c>
      <c r="D210" s="1012" t="s">
        <v>1151</v>
      </c>
      <c r="E210" s="1000"/>
      <c r="F210" s="1001"/>
      <c r="G210" s="854">
        <v>27300</v>
      </c>
      <c r="H210" s="854">
        <v>0</v>
      </c>
      <c r="I210" s="923">
        <v>27300</v>
      </c>
      <c r="J210" s="854"/>
      <c r="K210" s="854"/>
      <c r="L210" s="854">
        <f t="shared" si="44"/>
        <v>0</v>
      </c>
      <c r="M210" s="854">
        <f t="shared" si="45"/>
        <v>27300</v>
      </c>
      <c r="N210" s="854">
        <f t="shared" si="46"/>
        <v>0</v>
      </c>
      <c r="O210" s="854">
        <f t="shared" si="47"/>
        <v>27300</v>
      </c>
    </row>
    <row r="211" spans="1:15" ht="12.75" customHeight="1">
      <c r="A211" s="937"/>
      <c r="B211" s="937"/>
      <c r="C211" s="944" t="s">
        <v>324</v>
      </c>
      <c r="D211" s="1214" t="s">
        <v>325</v>
      </c>
      <c r="E211" s="1215"/>
      <c r="F211" s="1001" t="s">
        <v>606</v>
      </c>
      <c r="G211" s="854"/>
      <c r="H211" s="854"/>
      <c r="I211" s="923"/>
      <c r="J211" s="854">
        <v>229</v>
      </c>
      <c r="K211" s="854"/>
      <c r="L211" s="854">
        <f t="shared" si="44"/>
        <v>229</v>
      </c>
      <c r="M211" s="854">
        <f>SUM(G211+J211)</f>
        <v>229</v>
      </c>
      <c r="N211" s="854"/>
      <c r="O211" s="854">
        <f t="shared" si="47"/>
        <v>229</v>
      </c>
    </row>
    <row r="212" spans="1:15" ht="15" customHeight="1">
      <c r="A212" s="937"/>
      <c r="B212" s="937"/>
      <c r="C212" s="944"/>
      <c r="D212" s="928" t="s">
        <v>1717</v>
      </c>
      <c r="E212" s="1000"/>
      <c r="F212" s="1001"/>
      <c r="G212" s="854"/>
      <c r="H212" s="854"/>
      <c r="I212" s="923"/>
      <c r="J212" s="854"/>
      <c r="K212" s="854"/>
      <c r="L212" s="854"/>
      <c r="M212" s="854"/>
      <c r="N212" s="854"/>
      <c r="O212" s="854"/>
    </row>
    <row r="213" spans="1:15" ht="15" customHeight="1">
      <c r="A213" s="937"/>
      <c r="B213" s="937"/>
      <c r="C213" s="944" t="s">
        <v>269</v>
      </c>
      <c r="D213" s="1007" t="s">
        <v>465</v>
      </c>
      <c r="E213" s="1000"/>
      <c r="F213" s="1001"/>
      <c r="G213" s="854">
        <v>0</v>
      </c>
      <c r="H213" s="854">
        <v>0</v>
      </c>
      <c r="I213" s="923">
        <v>0</v>
      </c>
      <c r="J213" s="854"/>
      <c r="K213" s="854"/>
      <c r="L213" s="854">
        <f aca="true" t="shared" si="48" ref="L213:L233">SUM(J213:K213)</f>
        <v>0</v>
      </c>
      <c r="M213" s="854">
        <f aca="true" t="shared" si="49" ref="M213:M227">SUM(G213+J213)</f>
        <v>0</v>
      </c>
      <c r="N213" s="854">
        <f aca="true" t="shared" si="50" ref="N213:N227">SUM(H213+K213)</f>
        <v>0</v>
      </c>
      <c r="O213" s="854">
        <f aca="true" t="shared" si="51" ref="O213:O233">SUM(M213:N213)</f>
        <v>0</v>
      </c>
    </row>
    <row r="214" spans="1:15" ht="24.75" customHeight="1">
      <c r="A214" s="937"/>
      <c r="B214" s="937"/>
      <c r="C214" s="944" t="s">
        <v>1448</v>
      </c>
      <c r="D214" s="968" t="s">
        <v>1587</v>
      </c>
      <c r="E214" s="1001" t="s">
        <v>1586</v>
      </c>
      <c r="F214" s="1001"/>
      <c r="G214" s="877">
        <v>0</v>
      </c>
      <c r="H214" s="854">
        <v>0</v>
      </c>
      <c r="I214" s="923">
        <v>0</v>
      </c>
      <c r="J214" s="877"/>
      <c r="K214" s="877"/>
      <c r="L214" s="877">
        <f t="shared" si="48"/>
        <v>0</v>
      </c>
      <c r="M214" s="877">
        <f t="shared" si="49"/>
        <v>0</v>
      </c>
      <c r="N214" s="877">
        <f t="shared" si="50"/>
        <v>0</v>
      </c>
      <c r="O214" s="877">
        <f t="shared" si="51"/>
        <v>0</v>
      </c>
    </row>
    <row r="215" spans="1:15" ht="24.75" customHeight="1">
      <c r="A215" s="937"/>
      <c r="B215" s="937"/>
      <c r="C215" s="944" t="s">
        <v>1450</v>
      </c>
      <c r="D215" s="968" t="s">
        <v>1651</v>
      </c>
      <c r="E215" s="1001" t="s">
        <v>1586</v>
      </c>
      <c r="F215" s="1001"/>
      <c r="G215" s="877">
        <v>0</v>
      </c>
      <c r="H215" s="854">
        <v>0</v>
      </c>
      <c r="I215" s="923">
        <v>0</v>
      </c>
      <c r="J215" s="877"/>
      <c r="K215" s="877"/>
      <c r="L215" s="877">
        <f t="shared" si="48"/>
        <v>0</v>
      </c>
      <c r="M215" s="877">
        <f t="shared" si="49"/>
        <v>0</v>
      </c>
      <c r="N215" s="877">
        <f t="shared" si="50"/>
        <v>0</v>
      </c>
      <c r="O215" s="877">
        <f t="shared" si="51"/>
        <v>0</v>
      </c>
    </row>
    <row r="216" spans="1:15" ht="15" customHeight="1">
      <c r="A216" s="937"/>
      <c r="B216" s="937"/>
      <c r="C216" s="944" t="s">
        <v>1451</v>
      </c>
      <c r="D216" s="905" t="s">
        <v>1862</v>
      </c>
      <c r="E216" s="1000"/>
      <c r="F216" s="1001"/>
      <c r="G216" s="854">
        <v>2950</v>
      </c>
      <c r="H216" s="854">
        <v>0</v>
      </c>
      <c r="I216" s="923">
        <v>2950</v>
      </c>
      <c r="J216" s="877"/>
      <c r="K216" s="877"/>
      <c r="L216" s="877">
        <f t="shared" si="48"/>
        <v>0</v>
      </c>
      <c r="M216" s="877">
        <f t="shared" si="49"/>
        <v>2950</v>
      </c>
      <c r="N216" s="877">
        <f t="shared" si="50"/>
        <v>0</v>
      </c>
      <c r="O216" s="877">
        <f t="shared" si="51"/>
        <v>2950</v>
      </c>
    </row>
    <row r="217" spans="1:15" ht="24.75" customHeight="1">
      <c r="A217" s="937"/>
      <c r="B217" s="937"/>
      <c r="C217" s="944" t="s">
        <v>1452</v>
      </c>
      <c r="D217" s="1013" t="s">
        <v>698</v>
      </c>
      <c r="E217" s="1000"/>
      <c r="F217" s="1001" t="s">
        <v>606</v>
      </c>
      <c r="G217" s="877">
        <v>259762</v>
      </c>
      <c r="H217" s="854">
        <v>0</v>
      </c>
      <c r="I217" s="923">
        <v>259762</v>
      </c>
      <c r="J217" s="877">
        <v>-12192</v>
      </c>
      <c r="K217" s="877"/>
      <c r="L217" s="877">
        <f t="shared" si="48"/>
        <v>-12192</v>
      </c>
      <c r="M217" s="877">
        <f t="shared" si="49"/>
        <v>247570</v>
      </c>
      <c r="N217" s="877">
        <f t="shared" si="50"/>
        <v>0</v>
      </c>
      <c r="O217" s="877">
        <f t="shared" si="51"/>
        <v>247570</v>
      </c>
    </row>
    <row r="218" spans="1:15" ht="24.75" customHeight="1">
      <c r="A218" s="937"/>
      <c r="B218" s="937"/>
      <c r="C218" s="944" t="s">
        <v>1453</v>
      </c>
      <c r="D218" s="1013" t="s">
        <v>699</v>
      </c>
      <c r="E218" s="1000"/>
      <c r="F218" s="1001" t="s">
        <v>606</v>
      </c>
      <c r="G218" s="877">
        <v>340423</v>
      </c>
      <c r="H218" s="854">
        <v>0</v>
      </c>
      <c r="I218" s="923">
        <v>340423</v>
      </c>
      <c r="J218" s="877">
        <v>-12192</v>
      </c>
      <c r="K218" s="877"/>
      <c r="L218" s="877">
        <f t="shared" si="48"/>
        <v>-12192</v>
      </c>
      <c r="M218" s="877">
        <f t="shared" si="49"/>
        <v>328231</v>
      </c>
      <c r="N218" s="877">
        <f t="shared" si="50"/>
        <v>0</v>
      </c>
      <c r="O218" s="877">
        <f t="shared" si="51"/>
        <v>328231</v>
      </c>
    </row>
    <row r="219" spans="1:15" ht="24.75" customHeight="1">
      <c r="A219" s="937"/>
      <c r="B219" s="937"/>
      <c r="C219" s="944" t="s">
        <v>1866</v>
      </c>
      <c r="D219" s="1014" t="s">
        <v>700</v>
      </c>
      <c r="E219" s="1000"/>
      <c r="F219" s="1001"/>
      <c r="G219" s="877">
        <v>297367</v>
      </c>
      <c r="H219" s="854">
        <v>0</v>
      </c>
      <c r="I219" s="923">
        <v>297367</v>
      </c>
      <c r="J219" s="877"/>
      <c r="K219" s="877"/>
      <c r="L219" s="877">
        <f t="shared" si="48"/>
        <v>0</v>
      </c>
      <c r="M219" s="877">
        <f t="shared" si="49"/>
        <v>297367</v>
      </c>
      <c r="N219" s="877">
        <f t="shared" si="50"/>
        <v>0</v>
      </c>
      <c r="O219" s="877">
        <f t="shared" si="51"/>
        <v>297367</v>
      </c>
    </row>
    <row r="220" spans="1:15" ht="24.75" customHeight="1">
      <c r="A220" s="937"/>
      <c r="B220" s="937"/>
      <c r="C220" s="944" t="s">
        <v>697</v>
      </c>
      <c r="D220" s="1015" t="s">
        <v>917</v>
      </c>
      <c r="E220" s="1000"/>
      <c r="F220" s="1001"/>
      <c r="G220" s="877">
        <v>30226</v>
      </c>
      <c r="H220" s="854">
        <v>0</v>
      </c>
      <c r="I220" s="923">
        <v>30226</v>
      </c>
      <c r="J220" s="877"/>
      <c r="K220" s="877"/>
      <c r="L220" s="877">
        <f t="shared" si="48"/>
        <v>0</v>
      </c>
      <c r="M220" s="877">
        <f t="shared" si="49"/>
        <v>30226</v>
      </c>
      <c r="N220" s="877">
        <f t="shared" si="50"/>
        <v>0</v>
      </c>
      <c r="O220" s="877">
        <f t="shared" si="51"/>
        <v>30226</v>
      </c>
    </row>
    <row r="221" spans="1:15" ht="24.75" customHeight="1">
      <c r="A221" s="937"/>
      <c r="B221" s="937"/>
      <c r="C221" s="944" t="s">
        <v>701</v>
      </c>
      <c r="D221" s="1016" t="s">
        <v>1298</v>
      </c>
      <c r="E221" s="1000"/>
      <c r="F221" s="1001"/>
      <c r="G221" s="877">
        <v>545696</v>
      </c>
      <c r="H221" s="854">
        <v>0</v>
      </c>
      <c r="I221" s="923">
        <v>545696</v>
      </c>
      <c r="J221" s="877"/>
      <c r="K221" s="877"/>
      <c r="L221" s="877">
        <f t="shared" si="48"/>
        <v>0</v>
      </c>
      <c r="M221" s="877">
        <f t="shared" si="49"/>
        <v>545696</v>
      </c>
      <c r="N221" s="877">
        <f t="shared" si="50"/>
        <v>0</v>
      </c>
      <c r="O221" s="877">
        <f t="shared" si="51"/>
        <v>545696</v>
      </c>
    </row>
    <row r="222" spans="1:15" ht="15" customHeight="1">
      <c r="A222" s="937"/>
      <c r="B222" s="937"/>
      <c r="C222" s="944" t="s">
        <v>702</v>
      </c>
      <c r="D222" s="1016" t="s">
        <v>1865</v>
      </c>
      <c r="E222" s="1000"/>
      <c r="F222" s="1001"/>
      <c r="G222" s="877">
        <v>0</v>
      </c>
      <c r="H222" s="854">
        <v>0</v>
      </c>
      <c r="I222" s="923">
        <v>0</v>
      </c>
      <c r="J222" s="854"/>
      <c r="K222" s="854"/>
      <c r="L222" s="854">
        <f t="shared" si="48"/>
        <v>0</v>
      </c>
      <c r="M222" s="854">
        <f t="shared" si="49"/>
        <v>0</v>
      </c>
      <c r="N222" s="854">
        <f t="shared" si="50"/>
        <v>0</v>
      </c>
      <c r="O222" s="854">
        <f t="shared" si="51"/>
        <v>0</v>
      </c>
    </row>
    <row r="223" spans="1:15" ht="15" customHeight="1">
      <c r="A223" s="937"/>
      <c r="B223" s="937"/>
      <c r="C223" s="944" t="s">
        <v>703</v>
      </c>
      <c r="D223" s="964" t="s">
        <v>1773</v>
      </c>
      <c r="E223" s="1001" t="s">
        <v>1586</v>
      </c>
      <c r="F223" s="1001"/>
      <c r="G223" s="877">
        <v>0</v>
      </c>
      <c r="H223" s="854">
        <v>0</v>
      </c>
      <c r="I223" s="923">
        <v>0</v>
      </c>
      <c r="J223" s="854"/>
      <c r="K223" s="854"/>
      <c r="L223" s="854">
        <f t="shared" si="48"/>
        <v>0</v>
      </c>
      <c r="M223" s="854">
        <f t="shared" si="49"/>
        <v>0</v>
      </c>
      <c r="N223" s="854">
        <f t="shared" si="50"/>
        <v>0</v>
      </c>
      <c r="O223" s="854">
        <f t="shared" si="51"/>
        <v>0</v>
      </c>
    </row>
    <row r="224" spans="1:15" ht="24.75" customHeight="1">
      <c r="A224" s="937"/>
      <c r="B224" s="937"/>
      <c r="C224" s="944" t="s">
        <v>704</v>
      </c>
      <c r="D224" s="1013" t="s">
        <v>235</v>
      </c>
      <c r="E224" s="1000"/>
      <c r="F224" s="1001" t="s">
        <v>606</v>
      </c>
      <c r="G224" s="877">
        <v>128928</v>
      </c>
      <c r="H224" s="854">
        <v>0</v>
      </c>
      <c r="I224" s="923">
        <v>128928</v>
      </c>
      <c r="J224" s="877">
        <v>-939</v>
      </c>
      <c r="K224" s="877"/>
      <c r="L224" s="877">
        <f t="shared" si="48"/>
        <v>-939</v>
      </c>
      <c r="M224" s="877">
        <f t="shared" si="49"/>
        <v>127989</v>
      </c>
      <c r="N224" s="877">
        <f t="shared" si="50"/>
        <v>0</v>
      </c>
      <c r="O224" s="877">
        <f t="shared" si="51"/>
        <v>127989</v>
      </c>
    </row>
    <row r="225" spans="1:15" ht="15" customHeight="1">
      <c r="A225" s="937"/>
      <c r="B225" s="937"/>
      <c r="C225" s="944" t="s">
        <v>705</v>
      </c>
      <c r="D225" s="1017" t="s">
        <v>1454</v>
      </c>
      <c r="E225" s="1000"/>
      <c r="F225" s="1001" t="s">
        <v>606</v>
      </c>
      <c r="G225" s="877">
        <v>13427</v>
      </c>
      <c r="H225" s="854">
        <v>0</v>
      </c>
      <c r="I225" s="923">
        <v>13427</v>
      </c>
      <c r="J225" s="854">
        <v>-5461</v>
      </c>
      <c r="K225" s="854"/>
      <c r="L225" s="854">
        <f t="shared" si="48"/>
        <v>-5461</v>
      </c>
      <c r="M225" s="854">
        <f t="shared" si="49"/>
        <v>7966</v>
      </c>
      <c r="N225" s="854">
        <f t="shared" si="50"/>
        <v>0</v>
      </c>
      <c r="O225" s="854">
        <f t="shared" si="51"/>
        <v>7966</v>
      </c>
    </row>
    <row r="226" spans="1:15" ht="15" customHeight="1">
      <c r="A226" s="937"/>
      <c r="B226" s="937"/>
      <c r="C226" s="944" t="s">
        <v>1650</v>
      </c>
      <c r="D226" s="1018" t="s">
        <v>1455</v>
      </c>
      <c r="E226" s="1000"/>
      <c r="F226" s="1001"/>
      <c r="G226" s="877">
        <v>9000</v>
      </c>
      <c r="H226" s="854">
        <v>0</v>
      </c>
      <c r="I226" s="923">
        <v>9000</v>
      </c>
      <c r="J226" s="854"/>
      <c r="K226" s="854"/>
      <c r="L226" s="854">
        <f t="shared" si="48"/>
        <v>0</v>
      </c>
      <c r="M226" s="854">
        <f t="shared" si="49"/>
        <v>9000</v>
      </c>
      <c r="N226" s="854">
        <f t="shared" si="50"/>
        <v>0</v>
      </c>
      <c r="O226" s="854">
        <f t="shared" si="51"/>
        <v>9000</v>
      </c>
    </row>
    <row r="227" spans="1:15" ht="15" customHeight="1">
      <c r="A227" s="937"/>
      <c r="B227" s="937"/>
      <c r="C227" s="944" t="s">
        <v>384</v>
      </c>
      <c r="D227" s="1019" t="s">
        <v>385</v>
      </c>
      <c r="E227" s="1000"/>
      <c r="F227" s="1001" t="s">
        <v>606</v>
      </c>
      <c r="G227" s="877">
        <v>1366</v>
      </c>
      <c r="H227" s="854">
        <v>0</v>
      </c>
      <c r="I227" s="923">
        <v>1366</v>
      </c>
      <c r="J227" s="854">
        <v>-134</v>
      </c>
      <c r="K227" s="854"/>
      <c r="L227" s="854">
        <f t="shared" si="48"/>
        <v>-134</v>
      </c>
      <c r="M227" s="854">
        <f t="shared" si="49"/>
        <v>1232</v>
      </c>
      <c r="N227" s="854">
        <f t="shared" si="50"/>
        <v>0</v>
      </c>
      <c r="O227" s="854">
        <f t="shared" si="51"/>
        <v>1232</v>
      </c>
    </row>
    <row r="228" spans="1:15" ht="15" customHeight="1">
      <c r="A228" s="937"/>
      <c r="B228" s="937"/>
      <c r="C228" s="944" t="s">
        <v>772</v>
      </c>
      <c r="D228" s="1019" t="s">
        <v>773</v>
      </c>
      <c r="E228" s="1000"/>
      <c r="F228" s="1001"/>
      <c r="G228" s="877">
        <v>2274</v>
      </c>
      <c r="H228" s="854"/>
      <c r="I228" s="923">
        <v>2274</v>
      </c>
      <c r="J228" s="854"/>
      <c r="K228" s="854"/>
      <c r="L228" s="854">
        <f t="shared" si="48"/>
        <v>0</v>
      </c>
      <c r="M228" s="854">
        <f aca="true" t="shared" si="52" ref="M228:M233">SUM(G228+J228)</f>
        <v>2274</v>
      </c>
      <c r="N228" s="854"/>
      <c r="O228" s="854">
        <f t="shared" si="51"/>
        <v>2274</v>
      </c>
    </row>
    <row r="229" spans="1:15" ht="15" customHeight="1">
      <c r="A229" s="937"/>
      <c r="B229" s="937"/>
      <c r="C229" s="937" t="s">
        <v>1390</v>
      </c>
      <c r="D229" s="938" t="s">
        <v>1391</v>
      </c>
      <c r="E229" s="919"/>
      <c r="F229" s="920"/>
      <c r="G229" s="877">
        <v>0</v>
      </c>
      <c r="H229" s="854">
        <v>0</v>
      </c>
      <c r="I229" s="923">
        <v>0</v>
      </c>
      <c r="J229" s="854"/>
      <c r="K229" s="854"/>
      <c r="L229" s="854">
        <f t="shared" si="48"/>
        <v>0</v>
      </c>
      <c r="M229" s="854">
        <f t="shared" si="52"/>
        <v>0</v>
      </c>
      <c r="N229" s="854">
        <f>SUM(H229+K229)</f>
        <v>0</v>
      </c>
      <c r="O229" s="854">
        <f t="shared" si="51"/>
        <v>0</v>
      </c>
    </row>
    <row r="230" spans="1:15" ht="15" customHeight="1">
      <c r="A230" s="937"/>
      <c r="B230" s="937"/>
      <c r="C230" s="937" t="s">
        <v>1778</v>
      </c>
      <c r="D230" s="969" t="s">
        <v>1649</v>
      </c>
      <c r="E230" s="919"/>
      <c r="F230" s="920"/>
      <c r="G230" s="877">
        <v>31900</v>
      </c>
      <c r="H230" s="854">
        <v>0</v>
      </c>
      <c r="I230" s="923">
        <v>31900</v>
      </c>
      <c r="J230" s="854"/>
      <c r="K230" s="854"/>
      <c r="L230" s="854">
        <f t="shared" si="48"/>
        <v>0</v>
      </c>
      <c r="M230" s="854">
        <f t="shared" si="52"/>
        <v>31900</v>
      </c>
      <c r="N230" s="854">
        <f>SUM(H230+K230)</f>
        <v>0</v>
      </c>
      <c r="O230" s="854">
        <f t="shared" si="51"/>
        <v>31900</v>
      </c>
    </row>
    <row r="231" spans="1:15" ht="15" customHeight="1">
      <c r="A231" s="937"/>
      <c r="B231" s="937"/>
      <c r="C231" s="944"/>
      <c r="D231" s="928" t="s">
        <v>1717</v>
      </c>
      <c r="E231" s="919"/>
      <c r="F231" s="920"/>
      <c r="G231" s="877">
        <v>0</v>
      </c>
      <c r="H231" s="854">
        <v>0</v>
      </c>
      <c r="I231" s="923">
        <v>0</v>
      </c>
      <c r="J231" s="854"/>
      <c r="K231" s="854"/>
      <c r="L231" s="854">
        <f t="shared" si="48"/>
        <v>0</v>
      </c>
      <c r="M231" s="854">
        <f t="shared" si="52"/>
        <v>0</v>
      </c>
      <c r="N231" s="854">
        <f>SUM(H231+K231)</f>
        <v>0</v>
      </c>
      <c r="O231" s="854">
        <f t="shared" si="51"/>
        <v>0</v>
      </c>
    </row>
    <row r="232" spans="1:15" ht="24.75" customHeight="1">
      <c r="A232" s="937"/>
      <c r="B232" s="937"/>
      <c r="C232" s="944" t="s">
        <v>36</v>
      </c>
      <c r="D232" s="1014" t="s">
        <v>706</v>
      </c>
      <c r="E232" s="919"/>
      <c r="F232" s="920"/>
      <c r="G232" s="877">
        <v>717610</v>
      </c>
      <c r="H232" s="854">
        <v>0</v>
      </c>
      <c r="I232" s="923">
        <v>717610</v>
      </c>
      <c r="J232" s="877"/>
      <c r="K232" s="877"/>
      <c r="L232" s="877">
        <f t="shared" si="48"/>
        <v>0</v>
      </c>
      <c r="M232" s="877">
        <f t="shared" si="52"/>
        <v>717610</v>
      </c>
      <c r="N232" s="877">
        <f>SUM(H232+K232)</f>
        <v>0</v>
      </c>
      <c r="O232" s="877">
        <f t="shared" si="51"/>
        <v>717610</v>
      </c>
    </row>
    <row r="233" spans="1:15" ht="36" customHeight="1">
      <c r="A233" s="937"/>
      <c r="B233" s="937"/>
      <c r="C233" s="944" t="s">
        <v>707</v>
      </c>
      <c r="D233" s="1015" t="s">
        <v>637</v>
      </c>
      <c r="E233" s="1020"/>
      <c r="F233" s="920" t="s">
        <v>606</v>
      </c>
      <c r="G233" s="877">
        <v>316972</v>
      </c>
      <c r="H233" s="854">
        <v>0</v>
      </c>
      <c r="I233" s="923">
        <v>316972</v>
      </c>
      <c r="J233" s="877">
        <v>-6165</v>
      </c>
      <c r="K233" s="877"/>
      <c r="L233" s="877">
        <f t="shared" si="48"/>
        <v>-6165</v>
      </c>
      <c r="M233" s="877">
        <f t="shared" si="52"/>
        <v>310807</v>
      </c>
      <c r="N233" s="877">
        <f>SUM(H233+K233)</f>
        <v>0</v>
      </c>
      <c r="O233" s="877">
        <f t="shared" si="51"/>
        <v>310807</v>
      </c>
    </row>
    <row r="234" spans="1:15" ht="15" customHeight="1">
      <c r="A234" s="937"/>
      <c r="B234" s="937"/>
      <c r="C234" s="937" t="s">
        <v>1392</v>
      </c>
      <c r="D234" s="946" t="s">
        <v>1393</v>
      </c>
      <c r="E234" s="919"/>
      <c r="F234" s="920"/>
      <c r="G234" s="854"/>
      <c r="H234" s="854"/>
      <c r="I234" s="923"/>
      <c r="J234" s="854"/>
      <c r="K234" s="854"/>
      <c r="L234" s="854"/>
      <c r="M234" s="854"/>
      <c r="N234" s="854"/>
      <c r="O234" s="854"/>
    </row>
    <row r="235" spans="1:15" ht="15" customHeight="1">
      <c r="A235" s="937"/>
      <c r="B235" s="937"/>
      <c r="C235" s="898"/>
      <c r="D235" s="966" t="s">
        <v>1717</v>
      </c>
      <c r="E235" s="919"/>
      <c r="F235" s="920"/>
      <c r="G235" s="854"/>
      <c r="H235" s="854"/>
      <c r="I235" s="923"/>
      <c r="J235" s="854"/>
      <c r="K235" s="854"/>
      <c r="L235" s="854"/>
      <c r="M235" s="854"/>
      <c r="N235" s="854"/>
      <c r="O235" s="854"/>
    </row>
    <row r="236" spans="1:15" ht="24.75" customHeight="1">
      <c r="A236" s="937"/>
      <c r="B236" s="937"/>
      <c r="C236" s="898" t="s">
        <v>216</v>
      </c>
      <c r="D236" s="1022" t="s">
        <v>1577</v>
      </c>
      <c r="E236" s="919"/>
      <c r="F236" s="920"/>
      <c r="G236" s="854">
        <v>5393</v>
      </c>
      <c r="H236" s="854">
        <v>0</v>
      </c>
      <c r="I236" s="923">
        <v>5393</v>
      </c>
      <c r="J236" s="877"/>
      <c r="K236" s="877"/>
      <c r="L236" s="877">
        <f aca="true" t="shared" si="53" ref="L236:L245">SUM(J236:K236)</f>
        <v>0</v>
      </c>
      <c r="M236" s="877">
        <f aca="true" t="shared" si="54" ref="M236:M244">SUM(G236+J236)</f>
        <v>5393</v>
      </c>
      <c r="N236" s="877">
        <f aca="true" t="shared" si="55" ref="N236:N244">SUM(H236+K236)</f>
        <v>0</v>
      </c>
      <c r="O236" s="877">
        <f aca="true" t="shared" si="56" ref="O236:O245">SUM(M236:N236)</f>
        <v>5393</v>
      </c>
    </row>
    <row r="237" spans="1:15" ht="13.5">
      <c r="A237" s="937"/>
      <c r="B237" s="937"/>
      <c r="C237" s="937" t="s">
        <v>1394</v>
      </c>
      <c r="D237" s="938" t="s">
        <v>1399</v>
      </c>
      <c r="E237" s="993"/>
      <c r="F237" s="994"/>
      <c r="G237" s="854">
        <v>0</v>
      </c>
      <c r="H237" s="854">
        <v>0</v>
      </c>
      <c r="I237" s="923">
        <v>0</v>
      </c>
      <c r="J237" s="854"/>
      <c r="K237" s="854"/>
      <c r="L237" s="854">
        <f t="shared" si="53"/>
        <v>0</v>
      </c>
      <c r="M237" s="854">
        <f t="shared" si="54"/>
        <v>0</v>
      </c>
      <c r="N237" s="854">
        <f t="shared" si="55"/>
        <v>0</v>
      </c>
      <c r="O237" s="854">
        <f t="shared" si="56"/>
        <v>0</v>
      </c>
    </row>
    <row r="238" spans="1:15" ht="13.5">
      <c r="A238" s="937"/>
      <c r="B238" s="937"/>
      <c r="C238" s="944" t="s">
        <v>1395</v>
      </c>
      <c r="D238" s="1003" t="s">
        <v>418</v>
      </c>
      <c r="E238" s="1023"/>
      <c r="F238" s="994"/>
      <c r="G238" s="854">
        <v>12752</v>
      </c>
      <c r="H238" s="854">
        <v>0</v>
      </c>
      <c r="I238" s="923">
        <v>12752</v>
      </c>
      <c r="J238" s="854"/>
      <c r="K238" s="854"/>
      <c r="L238" s="854">
        <f t="shared" si="53"/>
        <v>0</v>
      </c>
      <c r="M238" s="854">
        <f t="shared" si="54"/>
        <v>12752</v>
      </c>
      <c r="N238" s="854">
        <f t="shared" si="55"/>
        <v>0</v>
      </c>
      <c r="O238" s="854">
        <f t="shared" si="56"/>
        <v>12752</v>
      </c>
    </row>
    <row r="239" spans="1:15" ht="13.5">
      <c r="A239" s="937"/>
      <c r="B239" s="937"/>
      <c r="C239" s="944" t="s">
        <v>1396</v>
      </c>
      <c r="D239" s="1024" t="s">
        <v>1755</v>
      </c>
      <c r="E239" s="1023"/>
      <c r="F239" s="994"/>
      <c r="G239" s="854">
        <v>100</v>
      </c>
      <c r="H239" s="854">
        <v>0</v>
      </c>
      <c r="I239" s="923">
        <v>100</v>
      </c>
      <c r="J239" s="854"/>
      <c r="K239" s="854"/>
      <c r="L239" s="854">
        <f t="shared" si="53"/>
        <v>0</v>
      </c>
      <c r="M239" s="854">
        <f t="shared" si="54"/>
        <v>100</v>
      </c>
      <c r="N239" s="854">
        <f t="shared" si="55"/>
        <v>0</v>
      </c>
      <c r="O239" s="854">
        <f t="shared" si="56"/>
        <v>100</v>
      </c>
    </row>
    <row r="240" spans="1:15" ht="24">
      <c r="A240" s="937"/>
      <c r="B240" s="937"/>
      <c r="C240" s="944" t="s">
        <v>1397</v>
      </c>
      <c r="D240" s="977" t="s">
        <v>1757</v>
      </c>
      <c r="E240" s="1023"/>
      <c r="F240" s="994"/>
      <c r="G240" s="854">
        <v>1000</v>
      </c>
      <c r="H240" s="854">
        <v>0</v>
      </c>
      <c r="I240" s="923">
        <v>1000</v>
      </c>
      <c r="J240" s="854"/>
      <c r="K240" s="854"/>
      <c r="L240" s="854">
        <f t="shared" si="53"/>
        <v>0</v>
      </c>
      <c r="M240" s="854">
        <f t="shared" si="54"/>
        <v>1000</v>
      </c>
      <c r="N240" s="854">
        <f t="shared" si="55"/>
        <v>0</v>
      </c>
      <c r="O240" s="854">
        <f t="shared" si="56"/>
        <v>1000</v>
      </c>
    </row>
    <row r="241" spans="1:15" ht="13.5">
      <c r="A241" s="937"/>
      <c r="B241" s="937"/>
      <c r="C241" s="944" t="s">
        <v>1400</v>
      </c>
      <c r="D241" s="977" t="s">
        <v>1756</v>
      </c>
      <c r="E241" s="1023"/>
      <c r="F241" s="994" t="s">
        <v>606</v>
      </c>
      <c r="G241" s="854">
        <v>66630</v>
      </c>
      <c r="H241" s="854">
        <v>0</v>
      </c>
      <c r="I241" s="923">
        <v>66630</v>
      </c>
      <c r="J241" s="854">
        <v>-91</v>
      </c>
      <c r="K241" s="854"/>
      <c r="L241" s="854">
        <f t="shared" si="53"/>
        <v>-91</v>
      </c>
      <c r="M241" s="854">
        <f t="shared" si="54"/>
        <v>66539</v>
      </c>
      <c r="N241" s="854">
        <f t="shared" si="55"/>
        <v>0</v>
      </c>
      <c r="O241" s="854">
        <f t="shared" si="56"/>
        <v>66539</v>
      </c>
    </row>
    <row r="242" spans="1:15" ht="13.5">
      <c r="A242" s="937"/>
      <c r="B242" s="937"/>
      <c r="C242" s="944" t="s">
        <v>1104</v>
      </c>
      <c r="D242" s="989" t="s">
        <v>1758</v>
      </c>
      <c r="E242" s="1023"/>
      <c r="F242" s="994" t="s">
        <v>606</v>
      </c>
      <c r="G242" s="854">
        <v>4563</v>
      </c>
      <c r="H242" s="854">
        <v>0</v>
      </c>
      <c r="I242" s="923">
        <v>4563</v>
      </c>
      <c r="J242" s="854">
        <v>-383</v>
      </c>
      <c r="K242" s="854"/>
      <c r="L242" s="854">
        <f t="shared" si="53"/>
        <v>-383</v>
      </c>
      <c r="M242" s="854">
        <f t="shared" si="54"/>
        <v>4180</v>
      </c>
      <c r="N242" s="854">
        <f t="shared" si="55"/>
        <v>0</v>
      </c>
      <c r="O242" s="854">
        <f t="shared" si="56"/>
        <v>4180</v>
      </c>
    </row>
    <row r="243" spans="1:15" ht="13.5">
      <c r="A243" s="937"/>
      <c r="B243" s="937"/>
      <c r="C243" s="944" t="s">
        <v>434</v>
      </c>
      <c r="D243" s="894" t="s">
        <v>1279</v>
      </c>
      <c r="E243" s="919"/>
      <c r="F243" s="962"/>
      <c r="G243" s="854">
        <v>1000</v>
      </c>
      <c r="H243" s="854">
        <v>0</v>
      </c>
      <c r="I243" s="923">
        <v>1000</v>
      </c>
      <c r="J243" s="854"/>
      <c r="K243" s="854"/>
      <c r="L243" s="854">
        <f t="shared" si="53"/>
        <v>0</v>
      </c>
      <c r="M243" s="854">
        <f t="shared" si="54"/>
        <v>1000</v>
      </c>
      <c r="N243" s="854">
        <f t="shared" si="55"/>
        <v>0</v>
      </c>
      <c r="O243" s="854">
        <f t="shared" si="56"/>
        <v>1000</v>
      </c>
    </row>
    <row r="244" spans="1:15" ht="13.5">
      <c r="A244" s="937"/>
      <c r="B244" s="937"/>
      <c r="C244" s="944" t="s">
        <v>631</v>
      </c>
      <c r="D244" s="15" t="s">
        <v>638</v>
      </c>
      <c r="E244" s="919"/>
      <c r="F244" s="962" t="s">
        <v>606</v>
      </c>
      <c r="G244" s="854">
        <v>1948</v>
      </c>
      <c r="H244" s="854">
        <v>0</v>
      </c>
      <c r="I244" s="923">
        <v>1948</v>
      </c>
      <c r="J244" s="854">
        <v>-175</v>
      </c>
      <c r="K244" s="854"/>
      <c r="L244" s="854">
        <f t="shared" si="53"/>
        <v>-175</v>
      </c>
      <c r="M244" s="854">
        <f t="shared" si="54"/>
        <v>1773</v>
      </c>
      <c r="N244" s="854">
        <f t="shared" si="55"/>
        <v>0</v>
      </c>
      <c r="O244" s="854">
        <f t="shared" si="56"/>
        <v>1773</v>
      </c>
    </row>
    <row r="245" spans="1:15" ht="24">
      <c r="A245" s="937"/>
      <c r="B245" s="937"/>
      <c r="C245" s="944" t="s">
        <v>633</v>
      </c>
      <c r="D245" s="1026" t="s">
        <v>521</v>
      </c>
      <c r="E245" s="919"/>
      <c r="F245" s="962"/>
      <c r="G245" s="854"/>
      <c r="H245" s="854">
        <v>2000</v>
      </c>
      <c r="I245" s="923">
        <v>2000</v>
      </c>
      <c r="J245" s="854"/>
      <c r="K245" s="854"/>
      <c r="L245" s="854">
        <f t="shared" si="53"/>
        <v>0</v>
      </c>
      <c r="M245" s="854"/>
      <c r="N245" s="854">
        <f>SUM(H245+K245)</f>
        <v>2000</v>
      </c>
      <c r="O245" s="854">
        <f t="shared" si="56"/>
        <v>2000</v>
      </c>
    </row>
    <row r="246" spans="1:15" ht="13.5">
      <c r="A246" s="937"/>
      <c r="B246" s="937"/>
      <c r="C246" s="944"/>
      <c r="D246" s="928" t="s">
        <v>1717</v>
      </c>
      <c r="E246" s="1023"/>
      <c r="F246" s="994"/>
      <c r="G246" s="854"/>
      <c r="H246" s="854"/>
      <c r="I246" s="923"/>
      <c r="J246" s="854"/>
      <c r="K246" s="854"/>
      <c r="L246" s="854"/>
      <c r="M246" s="854"/>
      <c r="N246" s="854"/>
      <c r="O246" s="854"/>
    </row>
    <row r="247" spans="1:15" ht="13.5">
      <c r="A247" s="937"/>
      <c r="B247" s="937"/>
      <c r="C247" s="944" t="s">
        <v>1679</v>
      </c>
      <c r="D247" s="982" t="s">
        <v>708</v>
      </c>
      <c r="E247" s="1023"/>
      <c r="F247" s="994"/>
      <c r="G247" s="854">
        <v>2033</v>
      </c>
      <c r="H247" s="854">
        <v>268</v>
      </c>
      <c r="I247" s="923">
        <v>2301</v>
      </c>
      <c r="J247" s="854"/>
      <c r="K247" s="854"/>
      <c r="L247" s="854">
        <f>SUM(J247:K247)</f>
        <v>0</v>
      </c>
      <c r="M247" s="854">
        <f>SUM(G247+J247)</f>
        <v>2033</v>
      </c>
      <c r="N247" s="854">
        <f>SUM(H247+K247)</f>
        <v>268</v>
      </c>
      <c r="O247" s="854">
        <f>SUM(M247:N247)</f>
        <v>2301</v>
      </c>
    </row>
    <row r="248" spans="1:15" ht="13.5">
      <c r="A248" s="1027"/>
      <c r="B248" s="1027"/>
      <c r="C248" s="911"/>
      <c r="D248" s="912" t="s">
        <v>1496</v>
      </c>
      <c r="E248" s="913"/>
      <c r="F248" s="914"/>
      <c r="G248" s="1028">
        <f aca="true" t="shared" si="57" ref="G248:O248">SUM(G138:G247)</f>
        <v>5398396</v>
      </c>
      <c r="H248" s="1028">
        <f t="shared" si="57"/>
        <v>35911</v>
      </c>
      <c r="I248" s="1028">
        <f t="shared" si="57"/>
        <v>5434307</v>
      </c>
      <c r="J248" s="1028">
        <f t="shared" si="57"/>
        <v>-48386</v>
      </c>
      <c r="K248" s="1028">
        <f t="shared" si="57"/>
        <v>0</v>
      </c>
      <c r="L248" s="1028">
        <f t="shared" si="57"/>
        <v>-48386</v>
      </c>
      <c r="M248" s="1028">
        <f t="shared" si="57"/>
        <v>5350010</v>
      </c>
      <c r="N248" s="1028">
        <f t="shared" si="57"/>
        <v>35911</v>
      </c>
      <c r="O248" s="1028">
        <f t="shared" si="57"/>
        <v>5385921</v>
      </c>
    </row>
    <row r="249" spans="1:15" ht="13.5">
      <c r="A249" s="1029">
        <v>1</v>
      </c>
      <c r="B249" s="1029">
        <v>17</v>
      </c>
      <c r="C249" s="898"/>
      <c r="D249" s="1030" t="s">
        <v>987</v>
      </c>
      <c r="E249" s="1031"/>
      <c r="F249" s="984"/>
      <c r="G249" s="854"/>
      <c r="H249" s="854"/>
      <c r="I249" s="1032"/>
      <c r="J249" s="854"/>
      <c r="K249" s="854"/>
      <c r="L249" s="854"/>
      <c r="M249" s="854"/>
      <c r="N249" s="854"/>
      <c r="O249" s="854"/>
    </row>
    <row r="250" spans="1:15" ht="13.5">
      <c r="A250" s="1029"/>
      <c r="B250" s="1029"/>
      <c r="C250" s="898" t="s">
        <v>902</v>
      </c>
      <c r="D250" s="1033" t="s">
        <v>751</v>
      </c>
      <c r="E250" s="1031"/>
      <c r="F250" s="984"/>
      <c r="G250" s="854">
        <v>171958</v>
      </c>
      <c r="H250" s="854">
        <v>0</v>
      </c>
      <c r="I250" s="1034">
        <v>171958</v>
      </c>
      <c r="J250" s="854"/>
      <c r="K250" s="854"/>
      <c r="L250" s="854">
        <f aca="true" t="shared" si="58" ref="L250:L260">SUM(J250:K250)</f>
        <v>0</v>
      </c>
      <c r="M250" s="854">
        <f>SUM(G250+J250)</f>
        <v>171958</v>
      </c>
      <c r="N250" s="854">
        <f>SUM(H250+K250)</f>
        <v>0</v>
      </c>
      <c r="O250" s="854">
        <f aca="true" t="shared" si="59" ref="O250:O260">SUM(M250:N250)</f>
        <v>171958</v>
      </c>
    </row>
    <row r="251" spans="1:15" ht="13.5">
      <c r="A251" s="1029"/>
      <c r="B251" s="1029"/>
      <c r="C251" s="898" t="s">
        <v>898</v>
      </c>
      <c r="D251" s="1033" t="s">
        <v>639</v>
      </c>
      <c r="E251" s="1031"/>
      <c r="F251" s="984"/>
      <c r="G251" s="854">
        <v>260</v>
      </c>
      <c r="H251" s="854"/>
      <c r="I251" s="1034">
        <v>260</v>
      </c>
      <c r="J251" s="854"/>
      <c r="K251" s="854"/>
      <c r="L251" s="854">
        <f t="shared" si="58"/>
        <v>0</v>
      </c>
      <c r="M251" s="854">
        <f aca="true" t="shared" si="60" ref="M251:M260">SUM(G251+J251)</f>
        <v>260</v>
      </c>
      <c r="N251" s="854"/>
      <c r="O251" s="854">
        <f t="shared" si="59"/>
        <v>260</v>
      </c>
    </row>
    <row r="252" spans="1:15" ht="13.5">
      <c r="A252" s="1029"/>
      <c r="B252" s="1029"/>
      <c r="C252" s="898" t="s">
        <v>903</v>
      </c>
      <c r="D252" s="1033" t="s">
        <v>774</v>
      </c>
      <c r="E252" s="1031"/>
      <c r="F252" s="984" t="s">
        <v>606</v>
      </c>
      <c r="G252" s="854">
        <v>2500</v>
      </c>
      <c r="H252" s="854"/>
      <c r="I252" s="1034">
        <v>2500</v>
      </c>
      <c r="J252" s="854">
        <v>1200</v>
      </c>
      <c r="K252" s="854"/>
      <c r="L252" s="854">
        <f t="shared" si="58"/>
        <v>1200</v>
      </c>
      <c r="M252" s="854">
        <f t="shared" si="60"/>
        <v>3700</v>
      </c>
      <c r="N252" s="854"/>
      <c r="O252" s="854">
        <f t="shared" si="59"/>
        <v>3700</v>
      </c>
    </row>
    <row r="253" spans="1:15" ht="13.5">
      <c r="A253" s="1029"/>
      <c r="B253" s="1029"/>
      <c r="C253" s="898">
        <v>4</v>
      </c>
      <c r="D253" s="1033" t="s">
        <v>1020</v>
      </c>
      <c r="E253" s="1031"/>
      <c r="F253" s="984"/>
      <c r="G253" s="854">
        <v>3286</v>
      </c>
      <c r="H253" s="854"/>
      <c r="I253" s="1034">
        <v>3286</v>
      </c>
      <c r="J253" s="854"/>
      <c r="K253" s="854"/>
      <c r="L253" s="854">
        <f t="shared" si="58"/>
        <v>0</v>
      </c>
      <c r="M253" s="854">
        <f t="shared" si="60"/>
        <v>3286</v>
      </c>
      <c r="N253" s="854"/>
      <c r="O253" s="854">
        <f t="shared" si="59"/>
        <v>3286</v>
      </c>
    </row>
    <row r="254" spans="1:15" ht="23.25" customHeight="1">
      <c r="A254" s="1029"/>
      <c r="B254" s="1029"/>
      <c r="C254" s="898" t="s">
        <v>1387</v>
      </c>
      <c r="D254" s="1212" t="s">
        <v>1021</v>
      </c>
      <c r="E254" s="1213"/>
      <c r="F254" s="984"/>
      <c r="G254" s="854">
        <v>13</v>
      </c>
      <c r="H254" s="854"/>
      <c r="I254" s="1034">
        <v>13</v>
      </c>
      <c r="J254" s="854"/>
      <c r="K254" s="854"/>
      <c r="L254" s="854">
        <f t="shared" si="58"/>
        <v>0</v>
      </c>
      <c r="M254" s="854">
        <f t="shared" si="60"/>
        <v>13</v>
      </c>
      <c r="N254" s="854"/>
      <c r="O254" s="854">
        <f t="shared" si="59"/>
        <v>13</v>
      </c>
    </row>
    <row r="255" spans="1:15" ht="13.5" customHeight="1">
      <c r="A255" s="924"/>
      <c r="B255" s="924"/>
      <c r="C255" s="898"/>
      <c r="D255" s="928" t="s">
        <v>1717</v>
      </c>
      <c r="E255" s="1023"/>
      <c r="F255" s="994"/>
      <c r="G255" s="854">
        <v>0</v>
      </c>
      <c r="H255" s="854">
        <v>0</v>
      </c>
      <c r="I255" s="1034">
        <v>0</v>
      </c>
      <c r="J255" s="854"/>
      <c r="K255" s="854"/>
      <c r="L255" s="854">
        <f t="shared" si="58"/>
        <v>0</v>
      </c>
      <c r="M255" s="854">
        <f t="shared" si="60"/>
        <v>0</v>
      </c>
      <c r="N255" s="854">
        <f aca="true" t="shared" si="61" ref="N255:N260">SUM(H255+K255)</f>
        <v>0</v>
      </c>
      <c r="O255" s="854">
        <f t="shared" si="59"/>
        <v>0</v>
      </c>
    </row>
    <row r="256" spans="1:15" ht="24.75" customHeight="1">
      <c r="A256" s="924"/>
      <c r="B256" s="924"/>
      <c r="C256" s="898" t="s">
        <v>37</v>
      </c>
      <c r="D256" s="1035" t="s">
        <v>1475</v>
      </c>
      <c r="E256" s="1023"/>
      <c r="F256" s="994"/>
      <c r="G256" s="854">
        <v>63299</v>
      </c>
      <c r="H256" s="854">
        <v>0</v>
      </c>
      <c r="I256" s="1034">
        <v>63299</v>
      </c>
      <c r="J256" s="854"/>
      <c r="K256" s="854"/>
      <c r="L256" s="854">
        <f t="shared" si="58"/>
        <v>0</v>
      </c>
      <c r="M256" s="854">
        <f t="shared" si="60"/>
        <v>63299</v>
      </c>
      <c r="N256" s="854">
        <f t="shared" si="61"/>
        <v>0</v>
      </c>
      <c r="O256" s="854">
        <f t="shared" si="59"/>
        <v>63299</v>
      </c>
    </row>
    <row r="257" spans="1:15" ht="15" customHeight="1">
      <c r="A257" s="924"/>
      <c r="B257" s="924"/>
      <c r="C257" s="898" t="s">
        <v>1456</v>
      </c>
      <c r="D257" s="1007" t="s">
        <v>1292</v>
      </c>
      <c r="E257" s="1023"/>
      <c r="F257" s="994"/>
      <c r="G257" s="854">
        <v>30000</v>
      </c>
      <c r="H257" s="854">
        <v>0</v>
      </c>
      <c r="I257" s="1034">
        <v>30000</v>
      </c>
      <c r="J257" s="854"/>
      <c r="K257" s="854"/>
      <c r="L257" s="854">
        <f t="shared" si="58"/>
        <v>0</v>
      </c>
      <c r="M257" s="854">
        <f t="shared" si="60"/>
        <v>30000</v>
      </c>
      <c r="N257" s="854">
        <f t="shared" si="61"/>
        <v>0</v>
      </c>
      <c r="O257" s="854">
        <f t="shared" si="59"/>
        <v>30000</v>
      </c>
    </row>
    <row r="258" spans="1:15" ht="15" customHeight="1">
      <c r="A258" s="924"/>
      <c r="B258" s="924"/>
      <c r="C258" s="898" t="s">
        <v>1457</v>
      </c>
      <c r="D258" s="1035" t="s">
        <v>1508</v>
      </c>
      <c r="E258" s="1023"/>
      <c r="F258" s="994"/>
      <c r="G258" s="854">
        <v>80626</v>
      </c>
      <c r="H258" s="854">
        <v>0</v>
      </c>
      <c r="I258" s="1034">
        <v>80626</v>
      </c>
      <c r="J258" s="854"/>
      <c r="K258" s="854"/>
      <c r="L258" s="854">
        <f t="shared" si="58"/>
        <v>0</v>
      </c>
      <c r="M258" s="854">
        <f t="shared" si="60"/>
        <v>80626</v>
      </c>
      <c r="N258" s="854">
        <f t="shared" si="61"/>
        <v>0</v>
      </c>
      <c r="O258" s="854">
        <f t="shared" si="59"/>
        <v>80626</v>
      </c>
    </row>
    <row r="259" spans="1:15" ht="24.75" customHeight="1">
      <c r="A259" s="924"/>
      <c r="B259" s="924"/>
      <c r="C259" s="898" t="s">
        <v>1293</v>
      </c>
      <c r="D259" s="1035" t="s">
        <v>1291</v>
      </c>
      <c r="E259" s="1023"/>
      <c r="F259" s="994"/>
      <c r="G259" s="854">
        <v>103100</v>
      </c>
      <c r="H259" s="854">
        <v>0</v>
      </c>
      <c r="I259" s="1034">
        <v>103100</v>
      </c>
      <c r="J259" s="854"/>
      <c r="K259" s="854"/>
      <c r="L259" s="854">
        <f t="shared" si="58"/>
        <v>0</v>
      </c>
      <c r="M259" s="854">
        <f t="shared" si="60"/>
        <v>103100</v>
      </c>
      <c r="N259" s="854">
        <f t="shared" si="61"/>
        <v>0</v>
      </c>
      <c r="O259" s="854">
        <f t="shared" si="59"/>
        <v>103100</v>
      </c>
    </row>
    <row r="260" spans="1:15" ht="15" customHeight="1">
      <c r="A260" s="924"/>
      <c r="B260" s="924"/>
      <c r="C260" s="898" t="s">
        <v>1294</v>
      </c>
      <c r="D260" s="1036" t="s">
        <v>709</v>
      </c>
      <c r="E260" s="1023"/>
      <c r="F260" s="994"/>
      <c r="G260" s="854">
        <v>300</v>
      </c>
      <c r="H260" s="854">
        <v>0</v>
      </c>
      <c r="I260" s="1034">
        <v>300</v>
      </c>
      <c r="J260" s="854"/>
      <c r="K260" s="854"/>
      <c r="L260" s="854">
        <f t="shared" si="58"/>
        <v>0</v>
      </c>
      <c r="M260" s="854">
        <f t="shared" si="60"/>
        <v>300</v>
      </c>
      <c r="N260" s="854">
        <f t="shared" si="61"/>
        <v>0</v>
      </c>
      <c r="O260" s="854">
        <f t="shared" si="59"/>
        <v>300</v>
      </c>
    </row>
    <row r="261" spans="1:15" ht="12" customHeight="1">
      <c r="A261" s="1027"/>
      <c r="B261" s="1027"/>
      <c r="C261" s="911"/>
      <c r="D261" s="912" t="s">
        <v>1672</v>
      </c>
      <c r="E261" s="913"/>
      <c r="F261" s="914"/>
      <c r="G261" s="1028">
        <f aca="true" t="shared" si="62" ref="G261:O261">SUM(G250:G260)</f>
        <v>455342</v>
      </c>
      <c r="H261" s="1028">
        <f t="shared" si="62"/>
        <v>0</v>
      </c>
      <c r="I261" s="1028">
        <f t="shared" si="62"/>
        <v>455342</v>
      </c>
      <c r="J261" s="1028">
        <f t="shared" si="62"/>
        <v>1200</v>
      </c>
      <c r="K261" s="1028">
        <f t="shared" si="62"/>
        <v>0</v>
      </c>
      <c r="L261" s="1028">
        <f t="shared" si="62"/>
        <v>1200</v>
      </c>
      <c r="M261" s="1028">
        <f t="shared" si="62"/>
        <v>456542</v>
      </c>
      <c r="N261" s="1028">
        <f t="shared" si="62"/>
        <v>0</v>
      </c>
      <c r="O261" s="1028">
        <f t="shared" si="62"/>
        <v>456542</v>
      </c>
    </row>
    <row r="262" spans="1:15" ht="12" customHeight="1">
      <c r="A262" s="873">
        <v>1</v>
      </c>
      <c r="B262" s="873">
        <v>18</v>
      </c>
      <c r="C262" s="874"/>
      <c r="D262" s="1037" t="s">
        <v>47</v>
      </c>
      <c r="E262" s="1038"/>
      <c r="F262" s="885"/>
      <c r="G262" s="854"/>
      <c r="H262" s="854"/>
      <c r="I262" s="1039"/>
      <c r="J262" s="854"/>
      <c r="K262" s="854"/>
      <c r="L262" s="854"/>
      <c r="M262" s="854"/>
      <c r="N262" s="854"/>
      <c r="O262" s="854"/>
    </row>
    <row r="263" spans="1:15" ht="12" customHeight="1">
      <c r="A263" s="873"/>
      <c r="B263" s="873"/>
      <c r="C263" s="874" t="s">
        <v>902</v>
      </c>
      <c r="D263" s="928" t="s">
        <v>830</v>
      </c>
      <c r="E263" s="1038"/>
      <c r="F263" s="885"/>
      <c r="G263" s="854">
        <v>500</v>
      </c>
      <c r="H263" s="854">
        <v>0</v>
      </c>
      <c r="I263" s="878">
        <v>500</v>
      </c>
      <c r="J263" s="854"/>
      <c r="K263" s="854"/>
      <c r="L263" s="854">
        <f>SUM(J263:K263)</f>
        <v>0</v>
      </c>
      <c r="M263" s="854">
        <f>SUM(G263+J263)</f>
        <v>500</v>
      </c>
      <c r="N263" s="854">
        <f>SUM(H263+K263)</f>
        <v>0</v>
      </c>
      <c r="O263" s="854">
        <f>SUM(M263:N263)</f>
        <v>500</v>
      </c>
    </row>
    <row r="264" spans="1:15" ht="12" customHeight="1">
      <c r="A264" s="1040"/>
      <c r="B264" s="1040"/>
      <c r="C264" s="911"/>
      <c r="D264" s="912" t="s">
        <v>1482</v>
      </c>
      <c r="E264" s="913"/>
      <c r="F264" s="914"/>
      <c r="G264" s="1028">
        <f>SUM(G263)</f>
        <v>500</v>
      </c>
      <c r="H264" s="1028"/>
      <c r="I264" s="1028">
        <f aca="true" t="shared" si="63" ref="I264:O264">SUM(I263)</f>
        <v>500</v>
      </c>
      <c r="J264" s="1028">
        <f t="shared" si="63"/>
        <v>0</v>
      </c>
      <c r="K264" s="1028">
        <f t="shared" si="63"/>
        <v>0</v>
      </c>
      <c r="L264" s="1028">
        <f t="shared" si="63"/>
        <v>0</v>
      </c>
      <c r="M264" s="1028">
        <f t="shared" si="63"/>
        <v>500</v>
      </c>
      <c r="N264" s="1028">
        <f t="shared" si="63"/>
        <v>0</v>
      </c>
      <c r="O264" s="1028">
        <f t="shared" si="63"/>
        <v>500</v>
      </c>
    </row>
    <row r="265" spans="1:15" ht="12" customHeight="1">
      <c r="A265" s="1029">
        <v>1</v>
      </c>
      <c r="B265" s="1029">
        <v>19</v>
      </c>
      <c r="C265" s="898"/>
      <c r="D265" s="1030" t="s">
        <v>893</v>
      </c>
      <c r="E265" s="1031"/>
      <c r="F265" s="984"/>
      <c r="G265" s="854"/>
      <c r="H265" s="854"/>
      <c r="I265" s="1032"/>
      <c r="J265" s="854"/>
      <c r="K265" s="854"/>
      <c r="L265" s="854"/>
      <c r="M265" s="854"/>
      <c r="N265" s="854"/>
      <c r="O265" s="854"/>
    </row>
    <row r="266" spans="1:15" ht="12" customHeight="1">
      <c r="A266" s="1029"/>
      <c r="B266" s="1029"/>
      <c r="C266" s="898" t="s">
        <v>902</v>
      </c>
      <c r="D266" s="1263" t="s">
        <v>640</v>
      </c>
      <c r="E266" s="1479"/>
      <c r="F266" s="984"/>
      <c r="G266" s="854"/>
      <c r="H266" s="854">
        <v>7250</v>
      </c>
      <c r="I266" s="1034">
        <v>7250</v>
      </c>
      <c r="J266" s="854"/>
      <c r="K266" s="854"/>
      <c r="L266" s="877">
        <f aca="true" t="shared" si="64" ref="L266:L272">SUM(J266:K266)</f>
        <v>0</v>
      </c>
      <c r="M266" s="854"/>
      <c r="N266" s="854">
        <v>7250</v>
      </c>
      <c r="O266" s="854">
        <v>7250</v>
      </c>
    </row>
    <row r="267" spans="1:15" ht="12" customHeight="1">
      <c r="A267" s="1029"/>
      <c r="B267" s="1029"/>
      <c r="C267" s="898" t="s">
        <v>898</v>
      </c>
      <c r="D267" s="572" t="s">
        <v>775</v>
      </c>
      <c r="E267" s="573"/>
      <c r="F267" s="984"/>
      <c r="G267" s="854"/>
      <c r="H267" s="854">
        <v>1000</v>
      </c>
      <c r="I267" s="1034">
        <v>1000</v>
      </c>
      <c r="J267" s="854"/>
      <c r="K267" s="854"/>
      <c r="L267" s="877">
        <f t="shared" si="64"/>
        <v>0</v>
      </c>
      <c r="M267" s="854"/>
      <c r="N267" s="854">
        <v>1000</v>
      </c>
      <c r="O267" s="854">
        <v>1000</v>
      </c>
    </row>
    <row r="268" spans="1:15" ht="12" customHeight="1">
      <c r="A268" s="1029"/>
      <c r="B268" s="1029"/>
      <c r="C268" s="898" t="s">
        <v>903</v>
      </c>
      <c r="D268" s="572" t="s">
        <v>522</v>
      </c>
      <c r="E268" s="573"/>
      <c r="F268" s="984"/>
      <c r="G268" s="854"/>
      <c r="H268" s="854">
        <v>254</v>
      </c>
      <c r="I268" s="1034">
        <v>254</v>
      </c>
      <c r="J268" s="854"/>
      <c r="K268" s="854"/>
      <c r="L268" s="877">
        <f t="shared" si="64"/>
        <v>0</v>
      </c>
      <c r="M268" s="854"/>
      <c r="N268" s="854">
        <v>254</v>
      </c>
      <c r="O268" s="854">
        <v>254</v>
      </c>
    </row>
    <row r="269" spans="1:15" ht="12" customHeight="1">
      <c r="A269" s="1029"/>
      <c r="B269" s="1029"/>
      <c r="C269" s="898" t="s">
        <v>905</v>
      </c>
      <c r="D269" s="1224" t="s">
        <v>1022</v>
      </c>
      <c r="E269" s="906"/>
      <c r="F269" s="920"/>
      <c r="G269" s="854"/>
      <c r="H269" s="854">
        <v>800</v>
      </c>
      <c r="I269" s="923">
        <v>800</v>
      </c>
      <c r="J269" s="877"/>
      <c r="K269" s="877"/>
      <c r="L269" s="877">
        <f t="shared" si="64"/>
        <v>0</v>
      </c>
      <c r="M269" s="877"/>
      <c r="N269" s="877">
        <f>SUM(H269+K269)</f>
        <v>800</v>
      </c>
      <c r="O269" s="877">
        <f>SUM(M269:N269)</f>
        <v>800</v>
      </c>
    </row>
    <row r="270" spans="1:15" ht="12" customHeight="1">
      <c r="A270" s="1029"/>
      <c r="B270" s="1029"/>
      <c r="C270" s="898"/>
      <c r="D270" s="928" t="s">
        <v>1717</v>
      </c>
      <c r="E270" s="1031"/>
      <c r="F270" s="984"/>
      <c r="G270" s="854"/>
      <c r="H270" s="854"/>
      <c r="I270" s="1034"/>
      <c r="J270" s="854"/>
      <c r="K270" s="854"/>
      <c r="L270" s="877">
        <f t="shared" si="64"/>
        <v>0</v>
      </c>
      <c r="M270" s="854"/>
      <c r="N270" s="854"/>
      <c r="O270" s="854"/>
    </row>
    <row r="271" spans="1:15" ht="15" customHeight="1">
      <c r="A271" s="1029"/>
      <c r="B271" s="1029"/>
      <c r="C271" s="898" t="s">
        <v>756</v>
      </c>
      <c r="D271" s="1041" t="s">
        <v>710</v>
      </c>
      <c r="E271" s="1031"/>
      <c r="F271" s="984"/>
      <c r="G271" s="854">
        <v>0</v>
      </c>
      <c r="H271" s="854">
        <v>1500</v>
      </c>
      <c r="I271" s="1034">
        <v>1500</v>
      </c>
      <c r="J271" s="877"/>
      <c r="K271" s="877">
        <v>-1500</v>
      </c>
      <c r="L271" s="877">
        <f t="shared" si="64"/>
        <v>-1500</v>
      </c>
      <c r="M271" s="877">
        <f>SUM(G271+J271)</f>
        <v>0</v>
      </c>
      <c r="N271" s="877">
        <f>SUM(H271+K271)</f>
        <v>0</v>
      </c>
      <c r="O271" s="877">
        <f>SUM(M271:N271)</f>
        <v>0</v>
      </c>
    </row>
    <row r="272" spans="1:15" ht="24.75" customHeight="1">
      <c r="A272" s="1029"/>
      <c r="B272" s="1029"/>
      <c r="C272" s="898" t="s">
        <v>1681</v>
      </c>
      <c r="D272" s="1042" t="s">
        <v>42</v>
      </c>
      <c r="E272" s="1031"/>
      <c r="F272" s="984"/>
      <c r="G272" s="854">
        <v>0</v>
      </c>
      <c r="H272" s="854">
        <v>2660</v>
      </c>
      <c r="I272" s="1034">
        <v>2660</v>
      </c>
      <c r="J272" s="877"/>
      <c r="K272" s="877">
        <v>-2660</v>
      </c>
      <c r="L272" s="877">
        <f t="shared" si="64"/>
        <v>-2660</v>
      </c>
      <c r="M272" s="877">
        <f>SUM(G272+J272)</f>
        <v>0</v>
      </c>
      <c r="N272" s="877">
        <f>SUM(H272+K272)</f>
        <v>0</v>
      </c>
      <c r="O272" s="877">
        <f>SUM(M272:N272)</f>
        <v>0</v>
      </c>
    </row>
    <row r="273" spans="1:15" ht="12" customHeight="1">
      <c r="A273" s="1040"/>
      <c r="B273" s="1040"/>
      <c r="C273" s="911"/>
      <c r="D273" s="912" t="s">
        <v>895</v>
      </c>
      <c r="E273" s="913"/>
      <c r="F273" s="914"/>
      <c r="G273" s="1028">
        <f aca="true" t="shared" si="65" ref="G273:O273">SUM(G266:G272)</f>
        <v>0</v>
      </c>
      <c r="H273" s="1028">
        <f t="shared" si="65"/>
        <v>13464</v>
      </c>
      <c r="I273" s="1028">
        <f t="shared" si="65"/>
        <v>13464</v>
      </c>
      <c r="J273" s="1028">
        <f t="shared" si="65"/>
        <v>0</v>
      </c>
      <c r="K273" s="1028">
        <f t="shared" si="65"/>
        <v>-4160</v>
      </c>
      <c r="L273" s="1028">
        <f t="shared" si="65"/>
        <v>-4160</v>
      </c>
      <c r="M273" s="1028">
        <f t="shared" si="65"/>
        <v>0</v>
      </c>
      <c r="N273" s="1028">
        <f t="shared" si="65"/>
        <v>9304</v>
      </c>
      <c r="O273" s="1028">
        <f t="shared" si="65"/>
        <v>9304</v>
      </c>
    </row>
    <row r="274" spans="1:15" ht="12" customHeight="1">
      <c r="A274" s="1029">
        <v>1</v>
      </c>
      <c r="B274" s="1029">
        <v>22</v>
      </c>
      <c r="C274" s="898"/>
      <c r="D274" s="1030" t="s">
        <v>1090</v>
      </c>
      <c r="E274" s="1031"/>
      <c r="F274" s="984"/>
      <c r="G274" s="854"/>
      <c r="H274" s="854"/>
      <c r="I274" s="1034"/>
      <c r="J274" s="854"/>
      <c r="K274" s="854"/>
      <c r="L274" s="854"/>
      <c r="M274" s="854"/>
      <c r="N274" s="854"/>
      <c r="O274" s="854"/>
    </row>
    <row r="275" spans="1:15" ht="30" customHeight="1">
      <c r="A275" s="1029"/>
      <c r="B275" s="1029"/>
      <c r="C275" s="898" t="s">
        <v>902</v>
      </c>
      <c r="D275" s="1007" t="s">
        <v>1023</v>
      </c>
      <c r="E275" s="1000"/>
      <c r="F275" s="1001" t="s">
        <v>606</v>
      </c>
      <c r="G275" s="863">
        <v>280</v>
      </c>
      <c r="H275" s="863">
        <v>497</v>
      </c>
      <c r="I275" s="1043">
        <v>777</v>
      </c>
      <c r="J275" s="863">
        <v>288</v>
      </c>
      <c r="K275" s="863">
        <v>20</v>
      </c>
      <c r="L275" s="863">
        <f>SUM(J275:K275)</f>
        <v>308</v>
      </c>
      <c r="M275" s="863">
        <f aca="true" t="shared" si="66" ref="M275:N277">SUM(G275+J275)</f>
        <v>568</v>
      </c>
      <c r="N275" s="863">
        <f t="shared" si="66"/>
        <v>517</v>
      </c>
      <c r="O275" s="863">
        <f>SUM(M275:N275)</f>
        <v>1085</v>
      </c>
    </row>
    <row r="276" spans="1:15" ht="15" customHeight="1">
      <c r="A276" s="1029"/>
      <c r="B276" s="1029"/>
      <c r="C276" s="898" t="s">
        <v>898</v>
      </c>
      <c r="D276" s="1007" t="s">
        <v>523</v>
      </c>
      <c r="E276" s="1000"/>
      <c r="F276" s="1001"/>
      <c r="G276" s="854">
        <v>182</v>
      </c>
      <c r="H276" s="854">
        <v>0</v>
      </c>
      <c r="I276" s="1043">
        <v>182</v>
      </c>
      <c r="J276" s="854"/>
      <c r="K276" s="854"/>
      <c r="L276" s="854">
        <f>SUM(J276:K276)</f>
        <v>0</v>
      </c>
      <c r="M276" s="854">
        <f t="shared" si="66"/>
        <v>182</v>
      </c>
      <c r="N276" s="854">
        <f t="shared" si="66"/>
        <v>0</v>
      </c>
      <c r="O276" s="854">
        <f>SUM(M276:N276)</f>
        <v>182</v>
      </c>
    </row>
    <row r="277" spans="1:15" ht="15" customHeight="1">
      <c r="A277" s="1029"/>
      <c r="B277" s="1029"/>
      <c r="C277" s="898" t="s">
        <v>903</v>
      </c>
      <c r="D277" s="1007" t="s">
        <v>524</v>
      </c>
      <c r="E277" s="1000"/>
      <c r="F277" s="1001"/>
      <c r="G277" s="854">
        <v>0</v>
      </c>
      <c r="H277" s="854">
        <v>4815</v>
      </c>
      <c r="I277" s="1043">
        <v>4815</v>
      </c>
      <c r="J277" s="854"/>
      <c r="K277" s="854"/>
      <c r="L277" s="854">
        <f>SUM(J277:K277)</f>
        <v>0</v>
      </c>
      <c r="M277" s="854">
        <f t="shared" si="66"/>
        <v>0</v>
      </c>
      <c r="N277" s="854">
        <f t="shared" si="66"/>
        <v>4815</v>
      </c>
      <c r="O277" s="854">
        <f>SUM(M277:N277)</f>
        <v>4815</v>
      </c>
    </row>
    <row r="278" spans="1:15" ht="18" customHeight="1">
      <c r="A278" s="1029"/>
      <c r="B278" s="1029"/>
      <c r="C278" s="898" t="s">
        <v>905</v>
      </c>
      <c r="D278" s="1007" t="s">
        <v>1024</v>
      </c>
      <c r="E278" s="1000"/>
      <c r="F278" s="1001"/>
      <c r="G278" s="854"/>
      <c r="H278" s="854">
        <v>107489</v>
      </c>
      <c r="I278" s="1043">
        <v>107489</v>
      </c>
      <c r="J278" s="854"/>
      <c r="K278" s="854"/>
      <c r="L278" s="854">
        <f>SUM(J278:K278)</f>
        <v>0</v>
      </c>
      <c r="M278" s="854"/>
      <c r="N278" s="854">
        <f>SUM(H278+K278)</f>
        <v>107489</v>
      </c>
      <c r="O278" s="854">
        <f>SUM(M278:N278)</f>
        <v>107489</v>
      </c>
    </row>
    <row r="279" spans="1:15" ht="12" customHeight="1">
      <c r="A279" s="1040"/>
      <c r="B279" s="1040"/>
      <c r="C279" s="911"/>
      <c r="D279" s="912" t="s">
        <v>1092</v>
      </c>
      <c r="E279" s="913"/>
      <c r="F279" s="914"/>
      <c r="G279" s="1028">
        <f>SUM(G275:G278)</f>
        <v>462</v>
      </c>
      <c r="H279" s="1028">
        <f>SUM(H275:H278)</f>
        <v>112801</v>
      </c>
      <c r="I279" s="1028">
        <f>SUM(I275:I278)</f>
        <v>113263</v>
      </c>
      <c r="J279" s="1028">
        <f>SUM(J275:J277)</f>
        <v>288</v>
      </c>
      <c r="K279" s="1028">
        <f>SUM(K275:K278)</f>
        <v>20</v>
      </c>
      <c r="L279" s="1028">
        <f>SUM(L275:L278)</f>
        <v>308</v>
      </c>
      <c r="M279" s="1028">
        <f>SUM(M275:M278)</f>
        <v>750</v>
      </c>
      <c r="N279" s="1028">
        <f>SUM(N275:N278)</f>
        <v>112821</v>
      </c>
      <c r="O279" s="1028">
        <f>SUM(O275:O278)</f>
        <v>113571</v>
      </c>
    </row>
    <row r="280" spans="1:15" ht="13.5">
      <c r="A280" s="1044">
        <v>1</v>
      </c>
      <c r="B280" s="1044">
        <v>3</v>
      </c>
      <c r="C280" s="900"/>
      <c r="D280" s="933" t="s">
        <v>1887</v>
      </c>
      <c r="E280" s="940"/>
      <c r="F280" s="941"/>
      <c r="G280" s="877"/>
      <c r="H280" s="877"/>
      <c r="I280" s="877"/>
      <c r="J280" s="854"/>
      <c r="K280" s="854"/>
      <c r="L280" s="854">
        <f>SUM(J280:K280)</f>
        <v>0</v>
      </c>
      <c r="M280" s="854">
        <f>SUM(G280+J280)</f>
        <v>0</v>
      </c>
      <c r="N280" s="854">
        <f>SUM(H280+K280)</f>
        <v>0</v>
      </c>
      <c r="O280" s="854">
        <f>SUM(M280:N280)</f>
        <v>0</v>
      </c>
    </row>
    <row r="281" spans="1:15" ht="13.5">
      <c r="A281" s="1044"/>
      <c r="B281" s="1044"/>
      <c r="C281" s="900" t="s">
        <v>902</v>
      </c>
      <c r="D281" s="1572" t="s">
        <v>326</v>
      </c>
      <c r="E281" s="940"/>
      <c r="F281" s="941"/>
      <c r="G281" s="877"/>
      <c r="H281" s="877"/>
      <c r="I281" s="877"/>
      <c r="J281" s="854">
        <v>4160</v>
      </c>
      <c r="K281" s="854"/>
      <c r="L281" s="854">
        <v>4160</v>
      </c>
      <c r="M281" s="854">
        <f>SUM(G281+J281)</f>
        <v>4160</v>
      </c>
      <c r="N281" s="854"/>
      <c r="O281" s="854">
        <f>SUM(M281:N281)</f>
        <v>4160</v>
      </c>
    </row>
    <row r="282" spans="1:15" ht="12" customHeight="1">
      <c r="A282" s="1045"/>
      <c r="B282" s="1045"/>
      <c r="C282" s="1040"/>
      <c r="D282" s="1046" t="s">
        <v>1888</v>
      </c>
      <c r="E282" s="1047"/>
      <c r="F282" s="1048"/>
      <c r="G282" s="1049">
        <f aca="true" t="shared" si="67" ref="G282:O282">SUM(G281:G281)</f>
        <v>0</v>
      </c>
      <c r="H282" s="1049">
        <f t="shared" si="67"/>
        <v>0</v>
      </c>
      <c r="I282" s="1049">
        <f t="shared" si="67"/>
        <v>0</v>
      </c>
      <c r="J282" s="1049">
        <f t="shared" si="67"/>
        <v>4160</v>
      </c>
      <c r="K282" s="1049">
        <f t="shared" si="67"/>
        <v>0</v>
      </c>
      <c r="L282" s="1049">
        <f t="shared" si="67"/>
        <v>4160</v>
      </c>
      <c r="M282" s="1049">
        <f t="shared" si="67"/>
        <v>4160</v>
      </c>
      <c r="N282" s="1049">
        <f t="shared" si="67"/>
        <v>0</v>
      </c>
      <c r="O282" s="1049">
        <f t="shared" si="67"/>
        <v>4160</v>
      </c>
    </row>
    <row r="283" spans="1:15" ht="13.5">
      <c r="A283" s="1050"/>
      <c r="B283" s="1050"/>
      <c r="C283" s="1051"/>
      <c r="D283" s="1052" t="s">
        <v>978</v>
      </c>
      <c r="E283" s="1047"/>
      <c r="F283" s="1048"/>
      <c r="G283" s="1049">
        <f aca="true" t="shared" si="68" ref="G283:O283">SUM(G8+G38+G135+G248+G261+G264+G273+G279+G282)</f>
        <v>6392796</v>
      </c>
      <c r="H283" s="1049">
        <f t="shared" si="68"/>
        <v>717361</v>
      </c>
      <c r="I283" s="1049">
        <f t="shared" si="68"/>
        <v>7110157</v>
      </c>
      <c r="J283" s="1049">
        <f t="shared" si="68"/>
        <v>-47116</v>
      </c>
      <c r="K283" s="1049">
        <f t="shared" si="68"/>
        <v>-4040</v>
      </c>
      <c r="L283" s="1049">
        <f t="shared" si="68"/>
        <v>-51156</v>
      </c>
      <c r="M283" s="1049">
        <f t="shared" si="68"/>
        <v>6345680</v>
      </c>
      <c r="N283" s="1049">
        <f t="shared" si="68"/>
        <v>713321</v>
      </c>
      <c r="O283" s="1049">
        <f t="shared" si="68"/>
        <v>7059001</v>
      </c>
    </row>
    <row r="284" spans="1:15" ht="12.75">
      <c r="A284" s="1053">
        <v>2</v>
      </c>
      <c r="B284" s="976">
        <v>2</v>
      </c>
      <c r="C284" s="1054"/>
      <c r="D284" s="875" t="s">
        <v>398</v>
      </c>
      <c r="E284" s="1021"/>
      <c r="F284" s="1021"/>
      <c r="G284" s="854">
        <v>189547</v>
      </c>
      <c r="H284" s="854">
        <v>0</v>
      </c>
      <c r="I284" s="854">
        <v>189547</v>
      </c>
      <c r="J284" s="854">
        <v>3200</v>
      </c>
      <c r="K284" s="854"/>
      <c r="L284" s="854">
        <v>3200</v>
      </c>
      <c r="M284" s="854">
        <f>SUM(G284+J284)</f>
        <v>192747</v>
      </c>
      <c r="N284" s="854">
        <f>SUM(H284+K284)</f>
        <v>0</v>
      </c>
      <c r="O284" s="854">
        <f>SUM(M284:N284)</f>
        <v>192747</v>
      </c>
    </row>
    <row r="285" spans="1:15" ht="13.5">
      <c r="A285" s="1050"/>
      <c r="B285" s="1050"/>
      <c r="C285" s="1051"/>
      <c r="D285" s="1046" t="s">
        <v>376</v>
      </c>
      <c r="E285" s="1047"/>
      <c r="F285" s="1048"/>
      <c r="G285" s="1049">
        <f aca="true" t="shared" si="69" ref="G285:O285">SUM(G283:G284)</f>
        <v>6582343</v>
      </c>
      <c r="H285" s="1049">
        <f t="shared" si="69"/>
        <v>717361</v>
      </c>
      <c r="I285" s="1049">
        <f t="shared" si="69"/>
        <v>7299704</v>
      </c>
      <c r="J285" s="1049">
        <f t="shared" si="69"/>
        <v>-43916</v>
      </c>
      <c r="K285" s="1049">
        <f t="shared" si="69"/>
        <v>-4040</v>
      </c>
      <c r="L285" s="1049">
        <f t="shared" si="69"/>
        <v>-47956</v>
      </c>
      <c r="M285" s="1049">
        <f t="shared" si="69"/>
        <v>6538427</v>
      </c>
      <c r="N285" s="1049">
        <f t="shared" si="69"/>
        <v>713321</v>
      </c>
      <c r="O285" s="1049">
        <f t="shared" si="69"/>
        <v>7251748</v>
      </c>
    </row>
    <row r="286" spans="1:12" ht="15" customHeight="1">
      <c r="A286" s="310" t="s">
        <v>1703</v>
      </c>
      <c r="B286" s="300"/>
      <c r="C286" s="300"/>
      <c r="D286" s="300"/>
      <c r="E286" s="300"/>
      <c r="F286" s="300"/>
      <c r="G286" s="300"/>
      <c r="H286" s="300"/>
      <c r="I286" s="300"/>
      <c r="L286" s="1055"/>
    </row>
    <row r="287" spans="1:9" ht="12.75">
      <c r="A287" s="310"/>
      <c r="B287" s="310"/>
      <c r="C287" s="310"/>
      <c r="D287" s="310"/>
      <c r="E287" s="300"/>
      <c r="F287" s="300"/>
      <c r="G287" s="300"/>
      <c r="H287" s="300"/>
      <c r="I287" s="300"/>
    </row>
    <row r="288" spans="1:9" ht="12.75">
      <c r="A288" s="300"/>
      <c r="B288" s="300"/>
      <c r="C288" s="300"/>
      <c r="D288" s="300"/>
      <c r="E288" s="300"/>
      <c r="F288" s="300"/>
      <c r="G288" s="300"/>
      <c r="H288" s="300"/>
      <c r="I288" s="300"/>
    </row>
    <row r="289" spans="1:9" ht="12.75">
      <c r="A289" s="300"/>
      <c r="B289" s="300"/>
      <c r="C289" s="300"/>
      <c r="D289" s="300"/>
      <c r="E289" s="300"/>
      <c r="F289" s="300"/>
      <c r="G289" s="300"/>
      <c r="H289" s="300"/>
      <c r="I289" s="300"/>
    </row>
    <row r="290" spans="1:9" ht="12.75">
      <c r="A290" s="300"/>
      <c r="B290" s="300"/>
      <c r="C290" s="300"/>
      <c r="D290" s="300"/>
      <c r="E290" s="300"/>
      <c r="F290" s="300"/>
      <c r="G290" s="300"/>
      <c r="H290" s="300"/>
      <c r="I290" s="300"/>
    </row>
    <row r="291" spans="1:9" ht="13.5">
      <c r="A291" s="300"/>
      <c r="B291" s="300"/>
      <c r="C291" s="300"/>
      <c r="D291" s="300"/>
      <c r="E291" s="300"/>
      <c r="F291" s="300"/>
      <c r="G291" s="300"/>
      <c r="H291" s="300"/>
      <c r="I291" s="311"/>
    </row>
    <row r="292" spans="1:9" ht="13.5">
      <c r="A292" s="300"/>
      <c r="B292" s="300"/>
      <c r="C292" s="300"/>
      <c r="D292" s="300"/>
      <c r="E292" s="300"/>
      <c r="F292" s="300"/>
      <c r="G292" s="300"/>
      <c r="H292" s="300"/>
      <c r="I292" s="311"/>
    </row>
    <row r="293" spans="1:9" ht="12.75">
      <c r="A293" s="300"/>
      <c r="B293" s="300"/>
      <c r="C293" s="300"/>
      <c r="D293" s="300"/>
      <c r="E293" s="300"/>
      <c r="F293" s="300"/>
      <c r="G293" s="300"/>
      <c r="H293" s="300"/>
      <c r="I293" s="300"/>
    </row>
    <row r="294" spans="1:9" ht="12.75">
      <c r="A294" s="300"/>
      <c r="B294" s="300"/>
      <c r="C294" s="300"/>
      <c r="D294" s="300"/>
      <c r="E294" s="300"/>
      <c r="F294" s="300"/>
      <c r="G294" s="300"/>
      <c r="H294" s="300"/>
      <c r="I294" s="300"/>
    </row>
    <row r="295" spans="1:9" ht="12.75">
      <c r="A295" s="300"/>
      <c r="B295" s="300"/>
      <c r="C295" s="300"/>
      <c r="D295" s="300"/>
      <c r="E295" s="300"/>
      <c r="F295" s="300"/>
      <c r="G295" s="300"/>
      <c r="H295" s="300"/>
      <c r="I295" s="300"/>
    </row>
    <row r="296" spans="1:9" ht="12.75">
      <c r="A296" s="300"/>
      <c r="B296" s="300"/>
      <c r="C296" s="300"/>
      <c r="D296" s="300"/>
      <c r="E296" s="300"/>
      <c r="F296" s="300"/>
      <c r="G296" s="300"/>
      <c r="H296" s="300"/>
      <c r="I296" s="300"/>
    </row>
    <row r="297" spans="1:9" ht="12.75">
      <c r="A297" s="300"/>
      <c r="B297" s="300"/>
      <c r="C297" s="300"/>
      <c r="D297" s="300"/>
      <c r="E297" s="300"/>
      <c r="F297" s="300"/>
      <c r="G297" s="300"/>
      <c r="H297" s="300"/>
      <c r="I297" s="300"/>
    </row>
    <row r="298" spans="1:9" ht="12.75">
      <c r="A298" s="300"/>
      <c r="B298" s="300"/>
      <c r="C298" s="300"/>
      <c r="D298" s="300"/>
      <c r="E298" s="300"/>
      <c r="F298" s="300"/>
      <c r="G298" s="300"/>
      <c r="H298" s="300"/>
      <c r="I298" s="300"/>
    </row>
    <row r="299" spans="1:9" ht="12.75">
      <c r="A299" s="300"/>
      <c r="B299" s="300"/>
      <c r="C299" s="300"/>
      <c r="D299" s="300"/>
      <c r="E299" s="300"/>
      <c r="F299" s="300"/>
      <c r="G299" s="300"/>
      <c r="H299" s="300"/>
      <c r="I299" s="300"/>
    </row>
    <row r="300" spans="1:9" ht="12.75">
      <c r="A300" s="300"/>
      <c r="B300" s="300"/>
      <c r="C300" s="300"/>
      <c r="D300" s="300"/>
      <c r="E300" s="300"/>
      <c r="F300" s="300"/>
      <c r="G300" s="300"/>
      <c r="H300" s="300"/>
      <c r="I300" s="300"/>
    </row>
    <row r="301" spans="1:9" ht="12.75">
      <c r="A301" s="300"/>
      <c r="B301" s="300"/>
      <c r="C301" s="300"/>
      <c r="D301" s="300"/>
      <c r="E301" s="300"/>
      <c r="F301" s="300"/>
      <c r="G301" s="300"/>
      <c r="H301" s="300"/>
      <c r="I301" s="300"/>
    </row>
    <row r="302" spans="1:9" ht="12.75">
      <c r="A302" s="300"/>
      <c r="B302" s="300"/>
      <c r="C302" s="300"/>
      <c r="D302" s="300"/>
      <c r="E302" s="300"/>
      <c r="F302" s="300"/>
      <c r="G302" s="300"/>
      <c r="H302" s="300"/>
      <c r="I302" s="300"/>
    </row>
    <row r="303" spans="1:9" ht="12.75">
      <c r="A303" s="300"/>
      <c r="B303" s="300"/>
      <c r="C303" s="300"/>
      <c r="D303" s="300"/>
      <c r="E303" s="300"/>
      <c r="F303" s="300"/>
      <c r="G303" s="300"/>
      <c r="H303" s="300"/>
      <c r="I303" s="300"/>
    </row>
    <row r="304" spans="1:9" ht="12.75">
      <c r="A304" s="300"/>
      <c r="B304" s="300"/>
      <c r="C304" s="300"/>
      <c r="D304" s="300"/>
      <c r="E304" s="300"/>
      <c r="F304" s="300"/>
      <c r="G304" s="300"/>
      <c r="H304" s="300"/>
      <c r="I304" s="300"/>
    </row>
    <row r="305" spans="1:9" ht="12.75">
      <c r="A305" s="300"/>
      <c r="B305" s="300"/>
      <c r="C305" s="300"/>
      <c r="D305" s="300"/>
      <c r="E305" s="300"/>
      <c r="F305" s="300"/>
      <c r="G305" s="300"/>
      <c r="H305" s="300"/>
      <c r="I305" s="300"/>
    </row>
    <row r="306" spans="1:9" ht="12.75">
      <c r="A306" s="300"/>
      <c r="B306" s="300"/>
      <c r="C306" s="300"/>
      <c r="D306" s="300"/>
      <c r="E306" s="300"/>
      <c r="F306" s="300"/>
      <c r="G306" s="300"/>
      <c r="H306" s="300"/>
      <c r="I306" s="300"/>
    </row>
    <row r="307" spans="1:9" ht="12.75">
      <c r="A307" s="300"/>
      <c r="B307" s="300"/>
      <c r="C307" s="300"/>
      <c r="D307" s="300"/>
      <c r="E307" s="300"/>
      <c r="F307" s="300"/>
      <c r="G307" s="300"/>
      <c r="H307" s="300"/>
      <c r="I307" s="300"/>
    </row>
    <row r="308" spans="1:9" ht="12.75">
      <c r="A308" s="300"/>
      <c r="B308" s="300"/>
      <c r="C308" s="300"/>
      <c r="D308" s="300"/>
      <c r="E308" s="300"/>
      <c r="F308" s="300"/>
      <c r="G308" s="300"/>
      <c r="H308" s="300"/>
      <c r="I308" s="300"/>
    </row>
  </sheetData>
  <sheetProtection selectLockedCells="1" selectUnlockedCells="1"/>
  <mergeCells count="11">
    <mergeCell ref="M1:O1"/>
    <mergeCell ref="F1:F2"/>
    <mergeCell ref="A1:A2"/>
    <mergeCell ref="B1:B2"/>
    <mergeCell ref="C1:C2"/>
    <mergeCell ref="D266:E266"/>
    <mergeCell ref="D1:E2"/>
    <mergeCell ref="G1:I1"/>
    <mergeCell ref="J1:L1"/>
    <mergeCell ref="D254:E254"/>
    <mergeCell ref="D211:E211"/>
  </mergeCells>
  <printOptions horizontalCentered="1" verticalCentered="1"/>
  <pageMargins left="0.19652777777777777" right="0.19652777777777777" top="0.7090277777777778" bottom="0.5902777777777778" header="0.39375" footer="0.39375"/>
  <pageSetup horizontalDpi="300" verticalDpi="300" orientation="landscape" paperSize="9" scale="79" r:id="rId1"/>
  <headerFooter alignWithMargins="0">
    <oddHeader>&amp;C&amp;"Times New Roman,Félkövér dőlt"Zalaegerszeg Megyei Jogú Város Önkormányzatának
2014. évi beruházási célú kiadásai feladatonként&amp;R&amp;"Times New Roman,Félkövér dőlt"7. melléklet
Adatok :ezer Ft-ban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4">
      <selection activeCell="D7" sqref="D7"/>
    </sheetView>
  </sheetViews>
  <sheetFormatPr defaultColWidth="9.00390625" defaultRowHeight="12.75"/>
  <cols>
    <col min="1" max="1" width="8.375" style="28" customWidth="1"/>
    <col min="2" max="2" width="63.875" style="26" customWidth="1"/>
    <col min="3" max="3" width="11.875" style="26" customWidth="1"/>
    <col min="4" max="5" width="11.875" style="24" customWidth="1"/>
    <col min="6" max="6" width="12.00390625" style="24" customWidth="1"/>
    <col min="7" max="16384" width="9.375" style="24" customWidth="1"/>
  </cols>
  <sheetData>
    <row r="1" spans="1:5" s="21" customFormat="1" ht="69.75" customHeight="1" thickBot="1">
      <c r="A1" s="753" t="s">
        <v>1827</v>
      </c>
      <c r="B1" s="754" t="s">
        <v>46</v>
      </c>
      <c r="C1" s="755" t="s">
        <v>1002</v>
      </c>
      <c r="D1" s="756" t="s">
        <v>1003</v>
      </c>
      <c r="E1" s="756" t="s">
        <v>1005</v>
      </c>
    </row>
    <row r="2" spans="1:5" s="27" customFormat="1" ht="14.25" customHeight="1">
      <c r="A2" s="757" t="s">
        <v>1299</v>
      </c>
      <c r="B2" s="758" t="s">
        <v>272</v>
      </c>
      <c r="C2" s="758"/>
      <c r="D2" s="759"/>
      <c r="E2" s="759"/>
    </row>
    <row r="3" spans="1:5" s="21" customFormat="1" ht="14.25" customHeight="1">
      <c r="A3" s="757" t="s">
        <v>1300</v>
      </c>
      <c r="B3" s="758" t="s">
        <v>1301</v>
      </c>
      <c r="C3" s="45"/>
      <c r="D3" s="760"/>
      <c r="E3" s="760"/>
    </row>
    <row r="4" spans="1:5" s="21" customFormat="1" ht="14.25" customHeight="1">
      <c r="A4" s="761" t="s">
        <v>1302</v>
      </c>
      <c r="B4" s="45" t="s">
        <v>1303</v>
      </c>
      <c r="C4" s="45"/>
      <c r="D4" s="760"/>
      <c r="E4" s="760"/>
    </row>
    <row r="5" spans="1:6" s="21" customFormat="1" ht="14.25" customHeight="1">
      <c r="A5" s="762" t="s">
        <v>1304</v>
      </c>
      <c r="B5" s="45" t="s">
        <v>1305</v>
      </c>
      <c r="C5" s="45">
        <v>267882</v>
      </c>
      <c r="D5" s="763">
        <v>-1</v>
      </c>
      <c r="E5" s="763">
        <f aca="true" t="shared" si="0" ref="E5:E11">SUM(C5:D5)</f>
        <v>267881</v>
      </c>
      <c r="F5" s="1220"/>
    </row>
    <row r="6" spans="1:6" s="21" customFormat="1" ht="14.25" customHeight="1">
      <c r="A6" s="762" t="s">
        <v>1306</v>
      </c>
      <c r="B6" s="45" t="s">
        <v>1320</v>
      </c>
      <c r="C6" s="45">
        <v>832456</v>
      </c>
      <c r="D6" s="763">
        <v>-422</v>
      </c>
      <c r="E6" s="763">
        <f t="shared" si="0"/>
        <v>832034</v>
      </c>
      <c r="F6" s="1220"/>
    </row>
    <row r="7" spans="1:6" s="21" customFormat="1" ht="24.75" customHeight="1">
      <c r="A7" s="762" t="s">
        <v>1307</v>
      </c>
      <c r="B7" s="45" t="s">
        <v>1308</v>
      </c>
      <c r="C7" s="45">
        <v>628845</v>
      </c>
      <c r="D7" s="13">
        <v>213822</v>
      </c>
      <c r="E7" s="13">
        <f t="shared" si="0"/>
        <v>842667</v>
      </c>
      <c r="F7" s="1220"/>
    </row>
    <row r="8" spans="1:6" s="21" customFormat="1" ht="15" customHeight="1">
      <c r="A8" s="762" t="s">
        <v>1309</v>
      </c>
      <c r="B8" s="45" t="s">
        <v>1311</v>
      </c>
      <c r="C8" s="45">
        <v>651383</v>
      </c>
      <c r="D8" s="763">
        <v>12</v>
      </c>
      <c r="E8" s="763">
        <f t="shared" si="0"/>
        <v>651395</v>
      </c>
      <c r="F8" s="1220"/>
    </row>
    <row r="9" spans="1:6" s="21" customFormat="1" ht="15" customHeight="1">
      <c r="A9" s="762" t="s">
        <v>1310</v>
      </c>
      <c r="B9" s="45" t="s">
        <v>1312</v>
      </c>
      <c r="C9" s="45">
        <v>19133</v>
      </c>
      <c r="D9" s="763">
        <v>78621</v>
      </c>
      <c r="E9" s="763">
        <f t="shared" si="0"/>
        <v>97754</v>
      </c>
      <c r="F9" s="1220"/>
    </row>
    <row r="10" spans="1:6" s="21" customFormat="1" ht="15" customHeight="1">
      <c r="A10" s="762" t="s">
        <v>1006</v>
      </c>
      <c r="B10" s="45" t="s">
        <v>1007</v>
      </c>
      <c r="C10" s="45"/>
      <c r="D10" s="763">
        <v>220788</v>
      </c>
      <c r="E10" s="763">
        <f t="shared" si="0"/>
        <v>220788</v>
      </c>
      <c r="F10" s="1220"/>
    </row>
    <row r="11" spans="1:6" s="21" customFormat="1" ht="15" customHeight="1">
      <c r="A11" s="761" t="s">
        <v>1566</v>
      </c>
      <c r="B11" s="45" t="s">
        <v>1567</v>
      </c>
      <c r="C11" s="45">
        <v>421218</v>
      </c>
      <c r="D11" s="763">
        <v>226038</v>
      </c>
      <c r="E11" s="763">
        <f t="shared" si="0"/>
        <v>647256</v>
      </c>
      <c r="F11" s="1220"/>
    </row>
    <row r="12" spans="1:6" s="22" customFormat="1" ht="14.25" customHeight="1">
      <c r="A12" s="755"/>
      <c r="B12" s="767" t="s">
        <v>1313</v>
      </c>
      <c r="C12" s="767">
        <f>SUM(C4:C11)</f>
        <v>2820917</v>
      </c>
      <c r="D12" s="767">
        <f>SUM(D4:D11)</f>
        <v>738858</v>
      </c>
      <c r="E12" s="767">
        <f>SUM(E4:E11)</f>
        <v>3559775</v>
      </c>
      <c r="F12" s="1220"/>
    </row>
    <row r="13" spans="1:6" s="21" customFormat="1" ht="14.25" customHeight="1">
      <c r="A13" s="757" t="s">
        <v>1314</v>
      </c>
      <c r="B13" s="758" t="s">
        <v>1315</v>
      </c>
      <c r="C13" s="45"/>
      <c r="D13" s="763"/>
      <c r="E13" s="763">
        <f>SUM(C13:D13)</f>
        <v>0</v>
      </c>
      <c r="F13" s="1220"/>
    </row>
    <row r="14" spans="1:6" s="21" customFormat="1" ht="14.25" customHeight="1">
      <c r="A14" s="761" t="s">
        <v>1316</v>
      </c>
      <c r="B14" s="45" t="s">
        <v>1317</v>
      </c>
      <c r="C14" s="45"/>
      <c r="D14" s="763">
        <v>2098608</v>
      </c>
      <c r="E14" s="763">
        <f>SUM(C14:D14)</f>
        <v>2098608</v>
      </c>
      <c r="F14" s="1220"/>
    </row>
    <row r="15" spans="1:6" s="21" customFormat="1" ht="23.25" customHeight="1">
      <c r="A15" s="761" t="s">
        <v>1318</v>
      </c>
      <c r="B15" s="45" t="s">
        <v>1319</v>
      </c>
      <c r="C15" s="45">
        <v>4607238</v>
      </c>
      <c r="D15" s="13">
        <v>464300</v>
      </c>
      <c r="E15" s="13">
        <f>SUM(C15:D15)</f>
        <v>5071538</v>
      </c>
      <c r="F15" s="1220"/>
    </row>
    <row r="16" spans="1:6" s="22" customFormat="1" ht="14.25" customHeight="1">
      <c r="A16" s="755"/>
      <c r="B16" s="767" t="s">
        <v>1321</v>
      </c>
      <c r="C16" s="767">
        <f>SUM(C14:C15)</f>
        <v>4607238</v>
      </c>
      <c r="D16" s="767">
        <f>SUM(D14:D15)</f>
        <v>2562908</v>
      </c>
      <c r="E16" s="767">
        <f>SUM(E14:E15)</f>
        <v>7170146</v>
      </c>
      <c r="F16" s="1220"/>
    </row>
    <row r="17" spans="1:6" s="21" customFormat="1" ht="14.25" customHeight="1">
      <c r="A17" s="757" t="s">
        <v>1322</v>
      </c>
      <c r="B17" s="758" t="s">
        <v>438</v>
      </c>
      <c r="C17" s="45"/>
      <c r="D17" s="763"/>
      <c r="E17" s="763">
        <f aca="true" t="shared" si="1" ref="E17:E22">SUM(C17:D17)</f>
        <v>0</v>
      </c>
      <c r="F17" s="1220"/>
    </row>
    <row r="18" spans="1:6" s="21" customFormat="1" ht="14.25" customHeight="1">
      <c r="A18" s="761" t="s">
        <v>1323</v>
      </c>
      <c r="B18" s="45" t="s">
        <v>1326</v>
      </c>
      <c r="C18" s="45"/>
      <c r="D18" s="763"/>
      <c r="E18" s="763">
        <f t="shared" si="1"/>
        <v>0</v>
      </c>
      <c r="F18" s="1220"/>
    </row>
    <row r="19" spans="1:6" s="21" customFormat="1" ht="14.25" customHeight="1">
      <c r="A19" s="762" t="s">
        <v>1324</v>
      </c>
      <c r="B19" s="45" t="s">
        <v>1325</v>
      </c>
      <c r="C19" s="45">
        <v>4000000</v>
      </c>
      <c r="D19" s="763">
        <v>-645551</v>
      </c>
      <c r="E19" s="763">
        <f t="shared" si="1"/>
        <v>3354449</v>
      </c>
      <c r="F19" s="1220"/>
    </row>
    <row r="20" spans="1:6" s="21" customFormat="1" ht="14.25" customHeight="1">
      <c r="A20" s="762" t="s">
        <v>1327</v>
      </c>
      <c r="B20" s="45" t="s">
        <v>1328</v>
      </c>
      <c r="C20" s="45">
        <v>240000</v>
      </c>
      <c r="D20" s="763"/>
      <c r="E20" s="763">
        <f t="shared" si="1"/>
        <v>240000</v>
      </c>
      <c r="F20" s="1220"/>
    </row>
    <row r="21" spans="1:6" s="21" customFormat="1" ht="14.25" customHeight="1">
      <c r="A21" s="762" t="s">
        <v>1329</v>
      </c>
      <c r="B21" s="45" t="s">
        <v>1330</v>
      </c>
      <c r="C21" s="45">
        <v>13500</v>
      </c>
      <c r="D21" s="763">
        <v>1595</v>
      </c>
      <c r="E21" s="763">
        <f t="shared" si="1"/>
        <v>15095</v>
      </c>
      <c r="F21" s="1220"/>
    </row>
    <row r="22" spans="1:6" s="21" customFormat="1" ht="14.25" customHeight="1">
      <c r="A22" s="761" t="s">
        <v>1331</v>
      </c>
      <c r="B22" s="45" t="s">
        <v>1333</v>
      </c>
      <c r="C22" s="45">
        <v>5000</v>
      </c>
      <c r="D22" s="763">
        <v>22950</v>
      </c>
      <c r="E22" s="763">
        <f t="shared" si="1"/>
        <v>27950</v>
      </c>
      <c r="F22" s="1220"/>
    </row>
    <row r="23" spans="1:6" ht="15" customHeight="1">
      <c r="A23" s="755"/>
      <c r="B23" s="767" t="s">
        <v>1332</v>
      </c>
      <c r="C23" s="767">
        <f>SUM(C17:C22)</f>
        <v>4258500</v>
      </c>
      <c r="D23" s="767">
        <f>SUM(D17:D22)</f>
        <v>-621006</v>
      </c>
      <c r="E23" s="767">
        <f>SUM(E17:E22)</f>
        <v>3637494</v>
      </c>
      <c r="F23" s="1220"/>
    </row>
    <row r="24" spans="1:6" s="21" customFormat="1" ht="15" customHeight="1">
      <c r="A24" s="757" t="s">
        <v>1334</v>
      </c>
      <c r="B24" s="758" t="s">
        <v>443</v>
      </c>
      <c r="C24" s="758">
        <v>2115965</v>
      </c>
      <c r="D24" s="758">
        <v>752030</v>
      </c>
      <c r="E24" s="758">
        <f>SUM(C24:D24)</f>
        <v>2867995</v>
      </c>
      <c r="F24" s="1220"/>
    </row>
    <row r="25" spans="1:6" s="21" customFormat="1" ht="15" customHeight="1">
      <c r="A25" s="757" t="s">
        <v>1335</v>
      </c>
      <c r="B25" s="758" t="s">
        <v>444</v>
      </c>
      <c r="C25" s="45"/>
      <c r="D25" s="763"/>
      <c r="E25" s="763"/>
      <c r="F25" s="1220"/>
    </row>
    <row r="26" spans="1:6" s="21" customFormat="1" ht="15" customHeight="1">
      <c r="A26" s="768" t="s">
        <v>1336</v>
      </c>
      <c r="B26" s="45" t="s">
        <v>1337</v>
      </c>
      <c r="C26" s="45">
        <v>251100</v>
      </c>
      <c r="D26" s="763">
        <v>112707</v>
      </c>
      <c r="E26" s="763">
        <f>SUM(C26:D26)</f>
        <v>363807</v>
      </c>
      <c r="F26" s="1220"/>
    </row>
    <row r="27" spans="1:6" s="21" customFormat="1" ht="15" customHeight="1">
      <c r="A27" s="768" t="s">
        <v>758</v>
      </c>
      <c r="B27" s="45" t="s">
        <v>759</v>
      </c>
      <c r="C27" s="45"/>
      <c r="D27" s="763">
        <v>664</v>
      </c>
      <c r="E27" s="763">
        <f>SUM(C27:D27)</f>
        <v>664</v>
      </c>
      <c r="F27" s="1220"/>
    </row>
    <row r="28" spans="1:6" s="21" customFormat="1" ht="15" customHeight="1">
      <c r="A28" s="768" t="s">
        <v>504</v>
      </c>
      <c r="B28" s="45" t="s">
        <v>505</v>
      </c>
      <c r="C28" s="45"/>
      <c r="D28" s="763">
        <v>180</v>
      </c>
      <c r="E28" s="763">
        <f>SUM(C28:D28)</f>
        <v>180</v>
      </c>
      <c r="F28" s="1220"/>
    </row>
    <row r="29" spans="1:6" s="21" customFormat="1" ht="15" customHeight="1">
      <c r="A29" s="769"/>
      <c r="B29" s="767" t="s">
        <v>1338</v>
      </c>
      <c r="C29" s="767">
        <f>SUM(C26:C27)</f>
        <v>251100</v>
      </c>
      <c r="D29" s="767">
        <f>SUM(D26:D28)</f>
        <v>113551</v>
      </c>
      <c r="E29" s="767">
        <f>SUM(E26:E28)</f>
        <v>364651</v>
      </c>
      <c r="F29" s="1220"/>
    </row>
    <row r="30" spans="1:6" s="21" customFormat="1" ht="15" customHeight="1">
      <c r="A30" s="755" t="s">
        <v>1339</v>
      </c>
      <c r="B30" s="767" t="s">
        <v>445</v>
      </c>
      <c r="C30" s="767">
        <v>59600</v>
      </c>
      <c r="D30" s="767">
        <v>17865</v>
      </c>
      <c r="E30" s="767">
        <f>SUM(C30:D30)</f>
        <v>77465</v>
      </c>
      <c r="F30" s="1220"/>
    </row>
    <row r="31" spans="1:6" s="21" customFormat="1" ht="15" customHeight="1">
      <c r="A31" s="757" t="s">
        <v>1340</v>
      </c>
      <c r="B31" s="758" t="s">
        <v>446</v>
      </c>
      <c r="C31" s="758"/>
      <c r="D31" s="763"/>
      <c r="E31" s="763">
        <f>SUM(C31:D31)</f>
        <v>0</v>
      </c>
      <c r="F31" s="1220"/>
    </row>
    <row r="32" spans="1:6" s="21" customFormat="1" ht="24.75" customHeight="1">
      <c r="A32" s="768" t="s">
        <v>1341</v>
      </c>
      <c r="B32" s="45" t="s">
        <v>1342</v>
      </c>
      <c r="C32" s="45">
        <v>20000</v>
      </c>
      <c r="D32" s="763"/>
      <c r="E32" s="763">
        <f>SUM(C32:D32)</f>
        <v>20000</v>
      </c>
      <c r="F32" s="1220"/>
    </row>
    <row r="33" spans="1:6" s="21" customFormat="1" ht="15" customHeight="1">
      <c r="A33" s="768" t="s">
        <v>1343</v>
      </c>
      <c r="B33" s="45" t="s">
        <v>1344</v>
      </c>
      <c r="C33" s="45">
        <v>200000</v>
      </c>
      <c r="D33" s="763">
        <v>27577</v>
      </c>
      <c r="E33" s="763">
        <f>SUM(C33:D33)</f>
        <v>227577</v>
      </c>
      <c r="F33" s="1220"/>
    </row>
    <row r="34" spans="1:6" s="21" customFormat="1" ht="15" customHeight="1">
      <c r="A34" s="769"/>
      <c r="B34" s="767" t="s">
        <v>1345</v>
      </c>
      <c r="C34" s="767">
        <f>SUM(C32:C33)</f>
        <v>220000</v>
      </c>
      <c r="D34" s="767">
        <f>SUM(D32:D33)</f>
        <v>27577</v>
      </c>
      <c r="E34" s="767">
        <f>SUM(E32:E33)</f>
        <v>247577</v>
      </c>
      <c r="F34" s="1220"/>
    </row>
    <row r="35" spans="1:6" s="21" customFormat="1" ht="15" customHeight="1">
      <c r="A35" s="755" t="s">
        <v>1346</v>
      </c>
      <c r="B35" s="767" t="s">
        <v>61</v>
      </c>
      <c r="C35" s="767">
        <f>SUM(C12+C16+C23+C24+C29+C30+C34)</f>
        <v>14333320</v>
      </c>
      <c r="D35" s="767">
        <f>SUM(D12+D16+D23+D24+D29+D30+D34)</f>
        <v>3591783</v>
      </c>
      <c r="E35" s="767">
        <f>SUM(E12+E16+E23+E24+E29+E30+E34)</f>
        <v>17925103</v>
      </c>
      <c r="F35" s="1220"/>
    </row>
    <row r="36" spans="1:6" s="21" customFormat="1" ht="15.75" customHeight="1">
      <c r="A36" s="757" t="s">
        <v>1347</v>
      </c>
      <c r="B36" s="758" t="s">
        <v>990</v>
      </c>
      <c r="C36" s="758"/>
      <c r="D36" s="763"/>
      <c r="E36" s="763">
        <f>SUM(C36:D36)</f>
        <v>0</v>
      </c>
      <c r="F36" s="1220"/>
    </row>
    <row r="37" spans="1:6" s="21" customFormat="1" ht="14.25" customHeight="1">
      <c r="A37" s="761" t="s">
        <v>1348</v>
      </c>
      <c r="B37" s="45" t="s">
        <v>1349</v>
      </c>
      <c r="C37" s="45"/>
      <c r="D37" s="763"/>
      <c r="E37" s="763">
        <f>SUM(C37:D37)</f>
        <v>0</v>
      </c>
      <c r="F37" s="1220"/>
    </row>
    <row r="38" spans="1:6" s="21" customFormat="1" ht="14.25" customHeight="1">
      <c r="A38" s="770" t="s">
        <v>1350</v>
      </c>
      <c r="B38" s="771" t="s">
        <v>1351</v>
      </c>
      <c r="C38" s="45">
        <v>658892</v>
      </c>
      <c r="D38" s="763">
        <v>-185000</v>
      </c>
      <c r="E38" s="763">
        <f>SUM(C38:D38)</f>
        <v>473892</v>
      </c>
      <c r="F38" s="1220"/>
    </row>
    <row r="39" spans="1:6" s="21" customFormat="1" ht="14.25" customHeight="1">
      <c r="A39" s="770" t="s">
        <v>1352</v>
      </c>
      <c r="B39" s="771" t="s">
        <v>63</v>
      </c>
      <c r="C39" s="45">
        <v>2966806</v>
      </c>
      <c r="D39" s="763">
        <v>857631</v>
      </c>
      <c r="E39" s="763">
        <f>SUM(C39:D39)</f>
        <v>3824437</v>
      </c>
      <c r="F39" s="1220"/>
    </row>
    <row r="40" spans="1:6" s="21" customFormat="1" ht="14.25" customHeight="1">
      <c r="A40" s="770" t="s">
        <v>317</v>
      </c>
      <c r="B40" s="771" t="s">
        <v>318</v>
      </c>
      <c r="C40" s="45"/>
      <c r="D40" s="763">
        <v>206178</v>
      </c>
      <c r="E40" s="763">
        <f>SUM(C40:D40)</f>
        <v>206178</v>
      </c>
      <c r="F40" s="1220"/>
    </row>
    <row r="41" spans="1:6" s="21" customFormat="1" ht="14.25" customHeight="1">
      <c r="A41" s="772"/>
      <c r="B41" s="767" t="s">
        <v>1353</v>
      </c>
      <c r="C41" s="773">
        <f>SUM(C38:C39)</f>
        <v>3625698</v>
      </c>
      <c r="D41" s="773">
        <f>SUM(D38:D40)</f>
        <v>878809</v>
      </c>
      <c r="E41" s="773">
        <f>SUM(E38:E40)</f>
        <v>4504507</v>
      </c>
      <c r="F41" s="1220"/>
    </row>
    <row r="42" spans="1:6" ht="15.75" customHeight="1">
      <c r="A42" s="755"/>
      <c r="B42" s="767" t="s">
        <v>1354</v>
      </c>
      <c r="C42" s="767">
        <f>SUM(C35+C41)</f>
        <v>17959018</v>
      </c>
      <c r="D42" s="767">
        <f>SUM(D35+D41)</f>
        <v>4470592</v>
      </c>
      <c r="E42" s="767">
        <f>SUM(E35+E41)</f>
        <v>22429610</v>
      </c>
      <c r="F42" s="1220"/>
    </row>
  </sheetData>
  <sheetProtection/>
  <printOptions horizontalCentered="1"/>
  <pageMargins left="0.35433070866141736" right="0.35433070866141736" top="1.1023622047244095" bottom="0.4330708661417323" header="0.5118110236220472" footer="0.35433070866141736"/>
  <pageSetup horizontalDpi="300" verticalDpi="300" orientation="portrait" paperSize="9" r:id="rId1"/>
  <headerFooter alignWithMargins="0">
    <oddHeader>&amp;C&amp;"Times New Roman CE,Félkövér dőlt"ZALAEGERSZEG MEGYEI  JOGÚ  VÁROS  ÖNKORMÁNYZATA
ÖSSZESÍTŐ A BEVÉTELEKRŐL ROVATONKÉNT
2014. ÉVBEN&amp;R&amp;"Times New Roman CE,Félkövér dőlt"2. melléklet
Adatok ezer Ft-ban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O227"/>
  <sheetViews>
    <sheetView workbookViewId="0" topLeftCell="A1">
      <pane ySplit="3" topLeftCell="BM207" activePane="bottomLeft" state="frozen"/>
      <selection pane="topLeft" activeCell="A1" sqref="A1"/>
      <selection pane="bottomLeft" activeCell="M207" sqref="M207"/>
    </sheetView>
  </sheetViews>
  <sheetFormatPr defaultColWidth="9.00390625" defaultRowHeight="12.75"/>
  <cols>
    <col min="1" max="1" width="5.875" style="299" customWidth="1"/>
    <col min="2" max="2" width="7.375" style="299" customWidth="1"/>
    <col min="3" max="3" width="7.50390625" style="299" customWidth="1"/>
    <col min="4" max="4" width="56.00390625" style="299" customWidth="1"/>
    <col min="5" max="5" width="3.125" style="299" customWidth="1"/>
    <col min="6" max="6" width="5.125" style="299" customWidth="1"/>
    <col min="7" max="7" width="11.375" style="299" customWidth="1"/>
    <col min="8" max="9" width="10.50390625" style="299" customWidth="1"/>
    <col min="10" max="10" width="9.375" style="299" customWidth="1"/>
    <col min="11" max="11" width="12.00390625" style="299" customWidth="1"/>
    <col min="12" max="12" width="10.375" style="299" customWidth="1"/>
    <col min="13" max="13" width="12.875" style="299" customWidth="1"/>
    <col min="14" max="14" width="13.00390625" style="299" customWidth="1"/>
    <col min="15" max="15" width="12.00390625" style="299" customWidth="1"/>
    <col min="16" max="16384" width="9.375" style="299" customWidth="1"/>
  </cols>
  <sheetData>
    <row r="1" spans="1:15" s="298" customFormat="1" ht="45.75" customHeight="1">
      <c r="A1" s="1056"/>
      <c r="B1" s="1057"/>
      <c r="C1" s="1057"/>
      <c r="D1" s="1058"/>
      <c r="E1" s="1059"/>
      <c r="F1" s="1533" t="s">
        <v>605</v>
      </c>
      <c r="G1" s="1530" t="s">
        <v>320</v>
      </c>
      <c r="H1" s="1531"/>
      <c r="I1" s="1532"/>
      <c r="J1" s="1525" t="s">
        <v>327</v>
      </c>
      <c r="K1" s="1526"/>
      <c r="L1" s="1527"/>
      <c r="M1" s="1525" t="s">
        <v>1005</v>
      </c>
      <c r="N1" s="1526"/>
      <c r="O1" s="1527"/>
    </row>
    <row r="2" spans="1:15" s="298" customFormat="1" ht="80.25" customHeight="1" thickBot="1">
      <c r="A2" s="1060" t="s">
        <v>1497</v>
      </c>
      <c r="B2" s="1061" t="s">
        <v>1498</v>
      </c>
      <c r="C2" s="1061" t="s">
        <v>1499</v>
      </c>
      <c r="D2" s="1062" t="s">
        <v>1477</v>
      </c>
      <c r="E2" s="1063"/>
      <c r="F2" s="1534"/>
      <c r="G2" s="1064" t="s">
        <v>1478</v>
      </c>
      <c r="H2" s="1064" t="s">
        <v>828</v>
      </c>
      <c r="I2" s="1065" t="s">
        <v>1500</v>
      </c>
      <c r="J2" s="1064" t="s">
        <v>1478</v>
      </c>
      <c r="K2" s="1064" t="s">
        <v>828</v>
      </c>
      <c r="L2" s="1065" t="s">
        <v>1500</v>
      </c>
      <c r="M2" s="1064" t="s">
        <v>1478</v>
      </c>
      <c r="N2" s="1064" t="s">
        <v>828</v>
      </c>
      <c r="O2" s="1066" t="s">
        <v>1500</v>
      </c>
    </row>
    <row r="3" spans="1:15" ht="12.75" customHeight="1">
      <c r="A3" s="1067"/>
      <c r="B3" s="1067"/>
      <c r="C3" s="1067"/>
      <c r="D3" s="1068" t="s">
        <v>396</v>
      </c>
      <c r="E3" s="1069"/>
      <c r="F3" s="1070"/>
      <c r="G3" s="1078"/>
      <c r="H3" s="1078"/>
      <c r="I3" s="1078"/>
      <c r="J3" s="1034"/>
      <c r="K3" s="1078"/>
      <c r="L3" s="1078"/>
      <c r="M3" s="1078"/>
      <c r="N3" s="1078"/>
      <c r="O3" s="1078"/>
    </row>
    <row r="4" spans="1:15" ht="15.75" customHeight="1">
      <c r="A4" s="1071" t="s">
        <v>902</v>
      </c>
      <c r="B4" s="1071">
        <v>13</v>
      </c>
      <c r="C4" s="1071"/>
      <c r="D4" s="857" t="s">
        <v>250</v>
      </c>
      <c r="E4" s="980"/>
      <c r="F4" s="1072"/>
      <c r="G4" s="1073"/>
      <c r="H4" s="1073"/>
      <c r="I4" s="1073"/>
      <c r="J4" s="1078"/>
      <c r="K4" s="1078"/>
      <c r="L4" s="1078"/>
      <c r="M4" s="1078"/>
      <c r="N4" s="1078"/>
      <c r="O4" s="1078"/>
    </row>
    <row r="5" spans="1:15" ht="15.75" customHeight="1">
      <c r="A5" s="1071"/>
      <c r="B5" s="1071"/>
      <c r="C5" s="881" t="s">
        <v>902</v>
      </c>
      <c r="D5" s="1074" t="s">
        <v>1234</v>
      </c>
      <c r="E5" s="1075"/>
      <c r="F5" s="1072"/>
      <c r="G5" s="1073"/>
      <c r="H5" s="1073"/>
      <c r="I5" s="1073"/>
      <c r="J5" s="1078"/>
      <c r="K5" s="1078"/>
      <c r="L5" s="1078"/>
      <c r="M5" s="1078"/>
      <c r="N5" s="1078"/>
      <c r="O5" s="1078"/>
    </row>
    <row r="6" spans="1:15" ht="15.75" customHeight="1">
      <c r="A6" s="1071"/>
      <c r="B6" s="1071"/>
      <c r="C6" s="886" t="s">
        <v>899</v>
      </c>
      <c r="D6" s="1076" t="s">
        <v>1588</v>
      </c>
      <c r="E6" s="1075"/>
      <c r="F6" s="1072"/>
      <c r="G6" s="1073"/>
      <c r="H6" s="1073"/>
      <c r="I6" s="1073"/>
      <c r="J6" s="1078"/>
      <c r="K6" s="1078"/>
      <c r="L6" s="1078"/>
      <c r="M6" s="1078"/>
      <c r="N6" s="1078"/>
      <c r="O6" s="1078"/>
    </row>
    <row r="7" spans="1:15" ht="27.75" customHeight="1">
      <c r="A7" s="1071"/>
      <c r="B7" s="1071"/>
      <c r="C7" s="1077" t="s">
        <v>1589</v>
      </c>
      <c r="D7" s="887" t="s">
        <v>1716</v>
      </c>
      <c r="E7" s="980"/>
      <c r="F7" s="1072"/>
      <c r="G7" s="1078">
        <v>10090</v>
      </c>
      <c r="H7" s="1078">
        <v>0</v>
      </c>
      <c r="I7" s="1078">
        <v>10090</v>
      </c>
      <c r="J7" s="1078"/>
      <c r="K7" s="1078"/>
      <c r="L7" s="1078">
        <f aca="true" t="shared" si="0" ref="L7:L18">SUM(J7:K7)</f>
        <v>0</v>
      </c>
      <c r="M7" s="1078">
        <f aca="true" t="shared" si="1" ref="M7:M18">SUM(G7+J7)</f>
        <v>10090</v>
      </c>
      <c r="N7" s="1078">
        <f aca="true" t="shared" si="2" ref="N7:N18">SUM(H7+K7)</f>
        <v>0</v>
      </c>
      <c r="O7" s="1078">
        <f aca="true" t="shared" si="3" ref="O7:O18">SUM(M7:N7)</f>
        <v>10090</v>
      </c>
    </row>
    <row r="8" spans="1:15" ht="15" customHeight="1">
      <c r="A8" s="1071"/>
      <c r="B8" s="1071"/>
      <c r="C8" s="886" t="s">
        <v>1590</v>
      </c>
      <c r="D8" s="1079" t="s">
        <v>821</v>
      </c>
      <c r="E8" s="980"/>
      <c r="F8" s="1080"/>
      <c r="G8" s="1078">
        <v>0</v>
      </c>
      <c r="H8" s="1078">
        <v>0</v>
      </c>
      <c r="I8" s="1078">
        <v>0</v>
      </c>
      <c r="J8" s="1078"/>
      <c r="K8" s="1078"/>
      <c r="L8" s="1078">
        <f t="shared" si="0"/>
        <v>0</v>
      </c>
      <c r="M8" s="1078">
        <f t="shared" si="1"/>
        <v>0</v>
      </c>
      <c r="N8" s="1078">
        <f t="shared" si="2"/>
        <v>0</v>
      </c>
      <c r="O8" s="1078">
        <f t="shared" si="3"/>
        <v>0</v>
      </c>
    </row>
    <row r="9" spans="1:15" ht="15" customHeight="1">
      <c r="A9" s="1071"/>
      <c r="B9" s="1071"/>
      <c r="C9" s="886" t="s">
        <v>1591</v>
      </c>
      <c r="D9" s="1081" t="s">
        <v>1849</v>
      </c>
      <c r="E9" s="980"/>
      <c r="F9" s="1080"/>
      <c r="G9" s="1078">
        <v>2000</v>
      </c>
      <c r="H9" s="1078">
        <v>0</v>
      </c>
      <c r="I9" s="1078">
        <v>2000</v>
      </c>
      <c r="J9" s="1078"/>
      <c r="K9" s="1078"/>
      <c r="L9" s="1078">
        <f t="shared" si="0"/>
        <v>0</v>
      </c>
      <c r="M9" s="1078">
        <f t="shared" si="1"/>
        <v>2000</v>
      </c>
      <c r="N9" s="1078">
        <f t="shared" si="2"/>
        <v>0</v>
      </c>
      <c r="O9" s="1078">
        <f t="shared" si="3"/>
        <v>2000</v>
      </c>
    </row>
    <row r="10" spans="1:15" ht="15" customHeight="1">
      <c r="A10" s="1071"/>
      <c r="B10" s="1071"/>
      <c r="C10" s="1077" t="s">
        <v>1592</v>
      </c>
      <c r="D10" s="1082" t="s">
        <v>1574</v>
      </c>
      <c r="E10" s="980"/>
      <c r="F10" s="1080"/>
      <c r="G10" s="1078">
        <v>0</v>
      </c>
      <c r="H10" s="1078">
        <v>0</v>
      </c>
      <c r="I10" s="1078">
        <v>0</v>
      </c>
      <c r="J10" s="1078"/>
      <c r="K10" s="1078"/>
      <c r="L10" s="1078">
        <f t="shared" si="0"/>
        <v>0</v>
      </c>
      <c r="M10" s="1078">
        <f t="shared" si="1"/>
        <v>0</v>
      </c>
      <c r="N10" s="1078">
        <f t="shared" si="2"/>
        <v>0</v>
      </c>
      <c r="O10" s="1078">
        <f t="shared" si="3"/>
        <v>0</v>
      </c>
    </row>
    <row r="11" spans="1:15" ht="15" customHeight="1">
      <c r="A11" s="1071"/>
      <c r="B11" s="1071"/>
      <c r="C11" s="886" t="s">
        <v>1593</v>
      </c>
      <c r="D11" s="1081" t="s">
        <v>776</v>
      </c>
      <c r="E11" s="980"/>
      <c r="F11" s="1080"/>
      <c r="G11" s="1078">
        <v>16632</v>
      </c>
      <c r="H11" s="1078">
        <v>0</v>
      </c>
      <c r="I11" s="1078">
        <v>16632</v>
      </c>
      <c r="J11" s="1078"/>
      <c r="K11" s="1078"/>
      <c r="L11" s="1078">
        <f t="shared" si="0"/>
        <v>0</v>
      </c>
      <c r="M11" s="1078">
        <f t="shared" si="1"/>
        <v>16632</v>
      </c>
      <c r="N11" s="1078">
        <f t="shared" si="2"/>
        <v>0</v>
      </c>
      <c r="O11" s="1078">
        <f t="shared" si="3"/>
        <v>16632</v>
      </c>
    </row>
    <row r="12" spans="1:15" ht="15" customHeight="1">
      <c r="A12" s="1071"/>
      <c r="B12" s="1071"/>
      <c r="C12" s="886" t="s">
        <v>1594</v>
      </c>
      <c r="D12" s="1081" t="s">
        <v>819</v>
      </c>
      <c r="E12" s="980"/>
      <c r="F12" s="1080"/>
      <c r="G12" s="1078">
        <v>2000</v>
      </c>
      <c r="H12" s="1078">
        <v>0</v>
      </c>
      <c r="I12" s="1078">
        <v>2000</v>
      </c>
      <c r="J12" s="1078"/>
      <c r="K12" s="1078"/>
      <c r="L12" s="1078">
        <f t="shared" si="0"/>
        <v>0</v>
      </c>
      <c r="M12" s="1078">
        <f t="shared" si="1"/>
        <v>2000</v>
      </c>
      <c r="N12" s="1078">
        <f t="shared" si="2"/>
        <v>0</v>
      </c>
      <c r="O12" s="1078">
        <f t="shared" si="3"/>
        <v>2000</v>
      </c>
    </row>
    <row r="13" spans="1:15" ht="24.75" customHeight="1">
      <c r="A13" s="1071"/>
      <c r="B13" s="1071"/>
      <c r="C13" s="1077" t="s">
        <v>1595</v>
      </c>
      <c r="D13" s="960" t="s">
        <v>820</v>
      </c>
      <c r="E13" s="980"/>
      <c r="F13" s="1080"/>
      <c r="G13" s="1078">
        <v>2000</v>
      </c>
      <c r="H13" s="1078">
        <v>0</v>
      </c>
      <c r="I13" s="1078">
        <v>2000</v>
      </c>
      <c r="J13" s="1078"/>
      <c r="K13" s="1078"/>
      <c r="L13" s="1078">
        <f t="shared" si="0"/>
        <v>0</v>
      </c>
      <c r="M13" s="1078">
        <f t="shared" si="1"/>
        <v>2000</v>
      </c>
      <c r="N13" s="1078">
        <f t="shared" si="2"/>
        <v>0</v>
      </c>
      <c r="O13" s="1078">
        <f t="shared" si="3"/>
        <v>2000</v>
      </c>
    </row>
    <row r="14" spans="1:15" ht="15" customHeight="1">
      <c r="A14" s="1071"/>
      <c r="B14" s="1071"/>
      <c r="C14" s="886" t="s">
        <v>1596</v>
      </c>
      <c r="D14" s="960" t="s">
        <v>1409</v>
      </c>
      <c r="E14" s="980"/>
      <c r="F14" s="1080"/>
      <c r="G14" s="1078">
        <v>2000</v>
      </c>
      <c r="H14" s="1078">
        <v>0</v>
      </c>
      <c r="I14" s="1078">
        <v>2000</v>
      </c>
      <c r="J14" s="1078"/>
      <c r="K14" s="1078"/>
      <c r="L14" s="1078">
        <f t="shared" si="0"/>
        <v>0</v>
      </c>
      <c r="M14" s="1078">
        <f t="shared" si="1"/>
        <v>2000</v>
      </c>
      <c r="N14" s="1078">
        <f t="shared" si="2"/>
        <v>0</v>
      </c>
      <c r="O14" s="1078">
        <f t="shared" si="3"/>
        <v>2000</v>
      </c>
    </row>
    <row r="15" spans="1:15" ht="15" customHeight="1">
      <c r="A15" s="1071"/>
      <c r="B15" s="1071"/>
      <c r="C15" s="886" t="s">
        <v>1597</v>
      </c>
      <c r="D15" s="857" t="s">
        <v>1376</v>
      </c>
      <c r="E15" s="980"/>
      <c r="F15" s="1080"/>
      <c r="G15" s="1078">
        <v>1000</v>
      </c>
      <c r="H15" s="1078">
        <v>0</v>
      </c>
      <c r="I15" s="1078">
        <v>1000</v>
      </c>
      <c r="J15" s="1078"/>
      <c r="K15" s="1078"/>
      <c r="L15" s="1078">
        <f t="shared" si="0"/>
        <v>0</v>
      </c>
      <c r="M15" s="1078">
        <f t="shared" si="1"/>
        <v>1000</v>
      </c>
      <c r="N15" s="1078">
        <f t="shared" si="2"/>
        <v>0</v>
      </c>
      <c r="O15" s="1078">
        <f t="shared" si="3"/>
        <v>1000</v>
      </c>
    </row>
    <row r="16" spans="1:15" ht="15" customHeight="1">
      <c r="A16" s="1071"/>
      <c r="B16" s="1071"/>
      <c r="C16" s="886" t="s">
        <v>777</v>
      </c>
      <c r="D16" s="726" t="s">
        <v>778</v>
      </c>
      <c r="E16" s="1083"/>
      <c r="F16" s="1080"/>
      <c r="G16" s="1078">
        <v>5086</v>
      </c>
      <c r="H16" s="1078">
        <v>0</v>
      </c>
      <c r="I16" s="1078">
        <v>5086</v>
      </c>
      <c r="J16" s="1078"/>
      <c r="K16" s="1078"/>
      <c r="L16" s="1078">
        <f t="shared" si="0"/>
        <v>0</v>
      </c>
      <c r="M16" s="1078">
        <f t="shared" si="1"/>
        <v>5086</v>
      </c>
      <c r="N16" s="1078">
        <f t="shared" si="2"/>
        <v>0</v>
      </c>
      <c r="O16" s="1078">
        <f t="shared" si="3"/>
        <v>5086</v>
      </c>
    </row>
    <row r="17" spans="1:15" ht="15" customHeight="1">
      <c r="A17" s="1071"/>
      <c r="B17" s="1071"/>
      <c r="C17" s="886" t="s">
        <v>779</v>
      </c>
      <c r="D17" s="726" t="s">
        <v>780</v>
      </c>
      <c r="E17" s="1084"/>
      <c r="F17" s="1080"/>
      <c r="G17" s="1078">
        <v>2100</v>
      </c>
      <c r="H17" s="1078">
        <v>0</v>
      </c>
      <c r="I17" s="1078">
        <v>2100</v>
      </c>
      <c r="J17" s="1078"/>
      <c r="K17" s="1078"/>
      <c r="L17" s="1078">
        <f t="shared" si="0"/>
        <v>0</v>
      </c>
      <c r="M17" s="1078">
        <f t="shared" si="1"/>
        <v>2100</v>
      </c>
      <c r="N17" s="1078">
        <f t="shared" si="2"/>
        <v>0</v>
      </c>
      <c r="O17" s="1078">
        <f t="shared" si="3"/>
        <v>2100</v>
      </c>
    </row>
    <row r="18" spans="1:15" ht="23.25" customHeight="1">
      <c r="A18" s="1071"/>
      <c r="B18" s="1071"/>
      <c r="C18" s="886" t="s">
        <v>1025</v>
      </c>
      <c r="D18" s="1225" t="s">
        <v>1026</v>
      </c>
      <c r="E18" s="1084"/>
      <c r="F18" s="1080"/>
      <c r="G18" s="1078">
        <v>0</v>
      </c>
      <c r="H18" s="1078">
        <v>1000</v>
      </c>
      <c r="I18" s="1078">
        <v>1000</v>
      </c>
      <c r="J18" s="1078"/>
      <c r="K18" s="1078"/>
      <c r="L18" s="1078">
        <f t="shared" si="0"/>
        <v>0</v>
      </c>
      <c r="M18" s="1078">
        <f t="shared" si="1"/>
        <v>0</v>
      </c>
      <c r="N18" s="1078">
        <f t="shared" si="2"/>
        <v>1000</v>
      </c>
      <c r="O18" s="1078">
        <f t="shared" si="3"/>
        <v>1000</v>
      </c>
    </row>
    <row r="19" spans="1:15" ht="15" customHeight="1">
      <c r="A19" s="1071"/>
      <c r="B19" s="1071"/>
      <c r="C19" s="883" t="s">
        <v>1598</v>
      </c>
      <c r="D19" s="884" t="s">
        <v>1599</v>
      </c>
      <c r="E19" s="1084"/>
      <c r="F19" s="1072"/>
      <c r="G19" s="1078"/>
      <c r="H19" s="1078"/>
      <c r="I19" s="1078"/>
      <c r="J19" s="1078"/>
      <c r="K19" s="1078"/>
      <c r="L19" s="1078"/>
      <c r="M19" s="1078"/>
      <c r="N19" s="1078"/>
      <c r="O19" s="1078"/>
    </row>
    <row r="20" spans="1:15" ht="15" customHeight="1">
      <c r="A20" s="1071"/>
      <c r="B20" s="1071"/>
      <c r="C20" s="886" t="s">
        <v>1600</v>
      </c>
      <c r="D20" s="1085" t="s">
        <v>822</v>
      </c>
      <c r="E20" s="1086"/>
      <c r="F20" s="1080"/>
      <c r="G20" s="1078">
        <v>0</v>
      </c>
      <c r="H20" s="1078">
        <v>0</v>
      </c>
      <c r="I20" s="1078">
        <v>0</v>
      </c>
      <c r="J20" s="1078"/>
      <c r="K20" s="1078"/>
      <c r="L20" s="1078">
        <f aca="true" t="shared" si="4" ref="L20:L29">SUM(J20:K20)</f>
        <v>0</v>
      </c>
      <c r="M20" s="1078">
        <f aca="true" t="shared" si="5" ref="M20:M29">SUM(G20+J20)</f>
        <v>0</v>
      </c>
      <c r="N20" s="1078">
        <f aca="true" t="shared" si="6" ref="N20:N29">SUM(H20+K20)</f>
        <v>0</v>
      </c>
      <c r="O20" s="1078">
        <f aca="true" t="shared" si="7" ref="O20:O29">SUM(M20:N20)</f>
        <v>0</v>
      </c>
    </row>
    <row r="21" spans="1:15" ht="15" customHeight="1">
      <c r="A21" s="1071"/>
      <c r="B21" s="1071"/>
      <c r="C21" s="886" t="s">
        <v>1601</v>
      </c>
      <c r="D21" s="1087" t="s">
        <v>823</v>
      </c>
      <c r="E21" s="981"/>
      <c r="F21" s="1080"/>
      <c r="G21" s="1078">
        <v>2270</v>
      </c>
      <c r="H21" s="1078">
        <v>0</v>
      </c>
      <c r="I21" s="1078">
        <v>2270</v>
      </c>
      <c r="J21" s="1078"/>
      <c r="K21" s="1078"/>
      <c r="L21" s="1078">
        <f t="shared" si="4"/>
        <v>0</v>
      </c>
      <c r="M21" s="1078">
        <f t="shared" si="5"/>
        <v>2270</v>
      </c>
      <c r="N21" s="1078">
        <f t="shared" si="6"/>
        <v>0</v>
      </c>
      <c r="O21" s="1078">
        <f t="shared" si="7"/>
        <v>2270</v>
      </c>
    </row>
    <row r="22" spans="1:15" ht="24.75" customHeight="1">
      <c r="A22" s="1071"/>
      <c r="B22" s="1071"/>
      <c r="C22" s="886" t="s">
        <v>1602</v>
      </c>
      <c r="D22" s="1088" t="s">
        <v>781</v>
      </c>
      <c r="E22" s="981"/>
      <c r="F22" s="1080"/>
      <c r="G22" s="1078">
        <v>16821</v>
      </c>
      <c r="H22" s="1078">
        <v>0</v>
      </c>
      <c r="I22" s="1078">
        <v>16821</v>
      </c>
      <c r="J22" s="1078"/>
      <c r="K22" s="1078"/>
      <c r="L22" s="1078">
        <f t="shared" si="4"/>
        <v>0</v>
      </c>
      <c r="M22" s="1078">
        <f t="shared" si="5"/>
        <v>16821</v>
      </c>
      <c r="N22" s="1078">
        <f t="shared" si="6"/>
        <v>0</v>
      </c>
      <c r="O22" s="1078">
        <f t="shared" si="7"/>
        <v>16821</v>
      </c>
    </row>
    <row r="23" spans="1:15" ht="15" customHeight="1">
      <c r="A23" s="1071"/>
      <c r="B23" s="1071"/>
      <c r="C23" s="886" t="s">
        <v>1603</v>
      </c>
      <c r="D23" s="1088" t="s">
        <v>824</v>
      </c>
      <c r="E23" s="981"/>
      <c r="F23" s="1080"/>
      <c r="G23" s="1078">
        <v>0</v>
      </c>
      <c r="H23" s="1078">
        <v>1000</v>
      </c>
      <c r="I23" s="1078">
        <v>1000</v>
      </c>
      <c r="J23" s="1078"/>
      <c r="K23" s="1078"/>
      <c r="L23" s="1078">
        <f t="shared" si="4"/>
        <v>0</v>
      </c>
      <c r="M23" s="1078">
        <f t="shared" si="5"/>
        <v>0</v>
      </c>
      <c r="N23" s="1078">
        <f t="shared" si="6"/>
        <v>1000</v>
      </c>
      <c r="O23" s="1078">
        <f t="shared" si="7"/>
        <v>1000</v>
      </c>
    </row>
    <row r="24" spans="1:15" ht="15" customHeight="1">
      <c r="A24" s="1071"/>
      <c r="B24" s="1071"/>
      <c r="C24" s="886" t="s">
        <v>1604</v>
      </c>
      <c r="D24" s="1088" t="s">
        <v>825</v>
      </c>
      <c r="E24" s="981"/>
      <c r="F24" s="1080"/>
      <c r="G24" s="1078">
        <v>1064</v>
      </c>
      <c r="H24" s="1078">
        <v>0</v>
      </c>
      <c r="I24" s="1078">
        <v>1064</v>
      </c>
      <c r="J24" s="1078"/>
      <c r="K24" s="1078"/>
      <c r="L24" s="1078">
        <f t="shared" si="4"/>
        <v>0</v>
      </c>
      <c r="M24" s="1078">
        <f t="shared" si="5"/>
        <v>1064</v>
      </c>
      <c r="N24" s="1078">
        <f t="shared" si="6"/>
        <v>0</v>
      </c>
      <c r="O24" s="1078">
        <f t="shared" si="7"/>
        <v>1064</v>
      </c>
    </row>
    <row r="25" spans="1:15" ht="15" customHeight="1">
      <c r="A25" s="1071"/>
      <c r="B25" s="1071"/>
      <c r="C25" s="886" t="s">
        <v>1605</v>
      </c>
      <c r="D25" s="1088" t="s">
        <v>1410</v>
      </c>
      <c r="E25" s="981"/>
      <c r="F25" s="1080"/>
      <c r="G25" s="1078">
        <v>0</v>
      </c>
      <c r="H25" s="1078">
        <v>1000</v>
      </c>
      <c r="I25" s="1078">
        <v>1000</v>
      </c>
      <c r="J25" s="1078"/>
      <c r="K25" s="1078"/>
      <c r="L25" s="1078">
        <f t="shared" si="4"/>
        <v>0</v>
      </c>
      <c r="M25" s="1078">
        <f t="shared" si="5"/>
        <v>0</v>
      </c>
      <c r="N25" s="1078">
        <f t="shared" si="6"/>
        <v>1000</v>
      </c>
      <c r="O25" s="1078">
        <f t="shared" si="7"/>
        <v>1000</v>
      </c>
    </row>
    <row r="26" spans="1:15" ht="15" customHeight="1">
      <c r="A26" s="1071"/>
      <c r="B26" s="1071"/>
      <c r="C26" s="886" t="s">
        <v>782</v>
      </c>
      <c r="D26" s="954" t="s">
        <v>1867</v>
      </c>
      <c r="E26" s="920"/>
      <c r="F26" s="962"/>
      <c r="G26" s="1078">
        <v>5296</v>
      </c>
      <c r="H26" s="1078">
        <v>0</v>
      </c>
      <c r="I26" s="1078">
        <v>5296</v>
      </c>
      <c r="J26" s="1078"/>
      <c r="K26" s="1078"/>
      <c r="L26" s="1078">
        <f t="shared" si="4"/>
        <v>0</v>
      </c>
      <c r="M26" s="1078">
        <f t="shared" si="5"/>
        <v>5296</v>
      </c>
      <c r="N26" s="1078">
        <f t="shared" si="6"/>
        <v>0</v>
      </c>
      <c r="O26" s="1078">
        <f t="shared" si="7"/>
        <v>5296</v>
      </c>
    </row>
    <row r="27" spans="1:15" ht="15" customHeight="1">
      <c r="A27" s="1071"/>
      <c r="B27" s="1071"/>
      <c r="C27" s="886" t="s">
        <v>783</v>
      </c>
      <c r="D27" s="726" t="s">
        <v>784</v>
      </c>
      <c r="E27" s="1089"/>
      <c r="F27" s="962"/>
      <c r="G27" s="1078">
        <v>8084</v>
      </c>
      <c r="H27" s="1078">
        <v>0</v>
      </c>
      <c r="I27" s="1078">
        <v>8084</v>
      </c>
      <c r="J27" s="1078"/>
      <c r="K27" s="1078"/>
      <c r="L27" s="1078">
        <f t="shared" si="4"/>
        <v>0</v>
      </c>
      <c r="M27" s="1078">
        <f t="shared" si="5"/>
        <v>8084</v>
      </c>
      <c r="N27" s="1078">
        <f t="shared" si="6"/>
        <v>0</v>
      </c>
      <c r="O27" s="1078">
        <f t="shared" si="7"/>
        <v>8084</v>
      </c>
    </row>
    <row r="28" spans="1:15" ht="15" customHeight="1">
      <c r="A28" s="1071"/>
      <c r="B28" s="1071"/>
      <c r="C28" s="886" t="s">
        <v>785</v>
      </c>
      <c r="D28" s="726" t="s">
        <v>786</v>
      </c>
      <c r="E28" s="1090"/>
      <c r="F28" s="962" t="s">
        <v>624</v>
      </c>
      <c r="G28" s="1078">
        <v>3595</v>
      </c>
      <c r="H28" s="1078">
        <v>0</v>
      </c>
      <c r="I28" s="1078">
        <v>3595</v>
      </c>
      <c r="J28" s="1078">
        <v>1522</v>
      </c>
      <c r="K28" s="1078"/>
      <c r="L28" s="1078">
        <f t="shared" si="4"/>
        <v>1522</v>
      </c>
      <c r="M28" s="1078">
        <f t="shared" si="5"/>
        <v>5117</v>
      </c>
      <c r="N28" s="1078">
        <f t="shared" si="6"/>
        <v>0</v>
      </c>
      <c r="O28" s="1078">
        <f t="shared" si="7"/>
        <v>5117</v>
      </c>
    </row>
    <row r="29" spans="1:15" ht="15" customHeight="1">
      <c r="A29" s="1071"/>
      <c r="B29" s="1071"/>
      <c r="C29" s="886" t="s">
        <v>525</v>
      </c>
      <c r="D29" s="1091" t="s">
        <v>526</v>
      </c>
      <c r="E29" s="1025"/>
      <c r="F29" s="962"/>
      <c r="G29" s="1078">
        <v>0</v>
      </c>
      <c r="H29" s="1078">
        <v>1367</v>
      </c>
      <c r="I29" s="1078">
        <v>1367</v>
      </c>
      <c r="J29" s="1078"/>
      <c r="K29" s="1078"/>
      <c r="L29" s="1078">
        <f t="shared" si="4"/>
        <v>0</v>
      </c>
      <c r="M29" s="1078">
        <f t="shared" si="5"/>
        <v>0</v>
      </c>
      <c r="N29" s="1078">
        <f t="shared" si="6"/>
        <v>1367</v>
      </c>
      <c r="O29" s="1078">
        <f t="shared" si="7"/>
        <v>1367</v>
      </c>
    </row>
    <row r="30" spans="1:15" ht="18" customHeight="1">
      <c r="A30" s="1071"/>
      <c r="B30" s="1071"/>
      <c r="C30" s="883" t="s">
        <v>901</v>
      </c>
      <c r="D30" s="1081" t="s">
        <v>1629</v>
      </c>
      <c r="E30" s="1092"/>
      <c r="F30" s="1072"/>
      <c r="G30" s="1078"/>
      <c r="H30" s="1078"/>
      <c r="I30" s="1078"/>
      <c r="J30" s="1078"/>
      <c r="K30" s="1078"/>
      <c r="L30" s="1078"/>
      <c r="M30" s="1078"/>
      <c r="N30" s="1078"/>
      <c r="O30" s="1078"/>
    </row>
    <row r="31" spans="1:15" ht="24.75" customHeight="1">
      <c r="A31" s="1071"/>
      <c r="B31" s="1071"/>
      <c r="C31" s="886" t="s">
        <v>1606</v>
      </c>
      <c r="D31" s="887" t="s">
        <v>1411</v>
      </c>
      <c r="E31" s="980"/>
      <c r="F31" s="1080"/>
      <c r="G31" s="1078">
        <v>4209</v>
      </c>
      <c r="H31" s="1078">
        <v>0</v>
      </c>
      <c r="I31" s="1078">
        <v>4209</v>
      </c>
      <c r="J31" s="1078"/>
      <c r="K31" s="1078"/>
      <c r="L31" s="1078">
        <f>SUM(J31:K31)</f>
        <v>0</v>
      </c>
      <c r="M31" s="1078">
        <f>SUM(G31+J31)</f>
        <v>4209</v>
      </c>
      <c r="N31" s="1078">
        <f>SUM(H31+K31)</f>
        <v>0</v>
      </c>
      <c r="O31" s="1078">
        <f>SUM(M31:N31)</f>
        <v>4209</v>
      </c>
    </row>
    <row r="32" spans="1:15" ht="15.75" customHeight="1">
      <c r="A32" s="1071"/>
      <c r="B32" s="1071"/>
      <c r="C32" s="886" t="s">
        <v>1607</v>
      </c>
      <c r="D32" s="1088" t="s">
        <v>826</v>
      </c>
      <c r="E32" s="980"/>
      <c r="F32" s="1080"/>
      <c r="G32" s="1078">
        <v>30962</v>
      </c>
      <c r="H32" s="1078">
        <v>200</v>
      </c>
      <c r="I32" s="1078">
        <v>31162</v>
      </c>
      <c r="J32" s="1078"/>
      <c r="K32" s="1078"/>
      <c r="L32" s="1078">
        <f>SUM(J32:K32)</f>
        <v>0</v>
      </c>
      <c r="M32" s="1078">
        <f>SUM(G32+J32)</f>
        <v>30962</v>
      </c>
      <c r="N32" s="1078">
        <f>SUM(H32+K32)</f>
        <v>200</v>
      </c>
      <c r="O32" s="1078">
        <f>SUM(M32:N32)</f>
        <v>31162</v>
      </c>
    </row>
    <row r="33" spans="1:15" ht="15.75" customHeight="1">
      <c r="A33" s="1071"/>
      <c r="B33" s="1071"/>
      <c r="C33" s="886" t="s">
        <v>1027</v>
      </c>
      <c r="D33" s="1226" t="s">
        <v>1028</v>
      </c>
      <c r="E33" s="980"/>
      <c r="F33" s="1080"/>
      <c r="G33" s="1078">
        <v>456</v>
      </c>
      <c r="H33" s="1078"/>
      <c r="I33" s="1078">
        <v>456</v>
      </c>
      <c r="J33" s="1078"/>
      <c r="K33" s="1078"/>
      <c r="L33" s="1078">
        <f>SUM(J33:K33)</f>
        <v>0</v>
      </c>
      <c r="M33" s="1078">
        <f>SUM(G33+J33)</f>
        <v>456</v>
      </c>
      <c r="N33" s="1078"/>
      <c r="O33" s="1078">
        <f>SUM(M33:N33)</f>
        <v>456</v>
      </c>
    </row>
    <row r="34" spans="1:15" ht="15.75" customHeight="1">
      <c r="A34" s="1071"/>
      <c r="B34" s="1071"/>
      <c r="C34" s="886" t="s">
        <v>1608</v>
      </c>
      <c r="D34" s="1093" t="s">
        <v>1235</v>
      </c>
      <c r="E34" s="980"/>
      <c r="F34" s="1080"/>
      <c r="G34" s="1078"/>
      <c r="H34" s="1078"/>
      <c r="I34" s="1078"/>
      <c r="J34" s="1078"/>
      <c r="K34" s="1078"/>
      <c r="L34" s="1078"/>
      <c r="M34" s="1078"/>
      <c r="N34" s="1078"/>
      <c r="O34" s="1078"/>
    </row>
    <row r="35" spans="1:15" ht="24.75" customHeight="1">
      <c r="A35" s="1071"/>
      <c r="B35" s="1071"/>
      <c r="C35" s="1077" t="s">
        <v>1609</v>
      </c>
      <c r="D35" s="978" t="s">
        <v>1412</v>
      </c>
      <c r="E35" s="980"/>
      <c r="F35" s="1080"/>
      <c r="G35" s="1078">
        <v>31436</v>
      </c>
      <c r="H35" s="1078">
        <v>0</v>
      </c>
      <c r="I35" s="1078">
        <v>31436</v>
      </c>
      <c r="J35" s="1078"/>
      <c r="K35" s="1078"/>
      <c r="L35" s="1078">
        <f>SUM(J35:K35)</f>
        <v>0</v>
      </c>
      <c r="M35" s="1078">
        <f>SUM(G35+J35)</f>
        <v>31436</v>
      </c>
      <c r="N35" s="1078">
        <f>SUM(H35+K35)</f>
        <v>0</v>
      </c>
      <c r="O35" s="1078">
        <f>SUM(M35:N35)</f>
        <v>31436</v>
      </c>
    </row>
    <row r="36" spans="1:15" ht="16.5" customHeight="1">
      <c r="A36" s="1071"/>
      <c r="B36" s="1071"/>
      <c r="C36" s="1077" t="s">
        <v>1610</v>
      </c>
      <c r="D36" s="1081" t="s">
        <v>1611</v>
      </c>
      <c r="E36" s="980"/>
      <c r="F36" s="1080"/>
      <c r="G36" s="1078">
        <v>0</v>
      </c>
      <c r="H36" s="1078">
        <v>2500</v>
      </c>
      <c r="I36" s="1078">
        <v>2500</v>
      </c>
      <c r="J36" s="1078"/>
      <c r="K36" s="1078"/>
      <c r="L36" s="1078">
        <f>SUM(J36:K36)</f>
        <v>0</v>
      </c>
      <c r="M36" s="1078">
        <f>SUM(G36+J36)</f>
        <v>0</v>
      </c>
      <c r="N36" s="1078">
        <f>SUM(H36+K36)</f>
        <v>2500</v>
      </c>
      <c r="O36" s="1078">
        <f>SUM(M36:N36)</f>
        <v>2500</v>
      </c>
    </row>
    <row r="37" spans="1:15" ht="18.75" customHeight="1">
      <c r="A37" s="1071"/>
      <c r="B37" s="1071"/>
      <c r="C37" s="1094" t="s">
        <v>903</v>
      </c>
      <c r="D37" s="1528" t="s">
        <v>365</v>
      </c>
      <c r="E37" s="1529"/>
      <c r="F37" s="1095"/>
      <c r="G37" s="1078"/>
      <c r="H37" s="1078"/>
      <c r="I37" s="1078"/>
      <c r="J37" s="1078"/>
      <c r="K37" s="1078"/>
      <c r="L37" s="1078"/>
      <c r="M37" s="1078"/>
      <c r="N37" s="1078"/>
      <c r="O37" s="1078"/>
    </row>
    <row r="38" spans="1:15" ht="15" customHeight="1">
      <c r="A38" s="1071"/>
      <c r="B38" s="1071"/>
      <c r="C38" s="1077" t="s">
        <v>1612</v>
      </c>
      <c r="D38" s="1096" t="s">
        <v>1630</v>
      </c>
      <c r="E38" s="1097"/>
      <c r="F38" s="1095"/>
      <c r="G38" s="1078"/>
      <c r="H38" s="1078"/>
      <c r="I38" s="1078"/>
      <c r="J38" s="1078"/>
      <c r="K38" s="1078"/>
      <c r="L38" s="1078"/>
      <c r="M38" s="1078"/>
      <c r="N38" s="1078"/>
      <c r="O38" s="1078"/>
    </row>
    <row r="39" spans="1:15" ht="16.5" customHeight="1">
      <c r="A39" s="1071"/>
      <c r="B39" s="1071"/>
      <c r="C39" s="1077" t="s">
        <v>1613</v>
      </c>
      <c r="D39" s="857" t="s">
        <v>1407</v>
      </c>
      <c r="E39" s="980"/>
      <c r="F39" s="1080"/>
      <c r="G39" s="1078">
        <v>8142</v>
      </c>
      <c r="H39" s="1078">
        <v>0</v>
      </c>
      <c r="I39" s="1078">
        <v>8142</v>
      </c>
      <c r="J39" s="1078"/>
      <c r="K39" s="1078"/>
      <c r="L39" s="1078">
        <f>SUM(J39:K39)</f>
        <v>0</v>
      </c>
      <c r="M39" s="1078">
        <f>SUM(G39+J39)</f>
        <v>8142</v>
      </c>
      <c r="N39" s="1078">
        <f>SUM(H39+K39)</f>
        <v>0</v>
      </c>
      <c r="O39" s="1078">
        <f>SUM(M39:N39)</f>
        <v>8142</v>
      </c>
    </row>
    <row r="40" spans="1:15" ht="16.5" customHeight="1">
      <c r="A40" s="1071"/>
      <c r="B40" s="1071"/>
      <c r="C40" s="1077" t="s">
        <v>527</v>
      </c>
      <c r="D40" s="1098" t="s">
        <v>528</v>
      </c>
      <c r="E40" s="980"/>
      <c r="F40" s="1080"/>
      <c r="G40" s="1078">
        <v>2002</v>
      </c>
      <c r="H40" s="1078"/>
      <c r="I40" s="1078">
        <v>2002</v>
      </c>
      <c r="J40" s="1078"/>
      <c r="K40" s="1078"/>
      <c r="L40" s="1078">
        <f>SUM(J40:K40)</f>
        <v>0</v>
      </c>
      <c r="M40" s="1078">
        <f>SUM(G40+J40)</f>
        <v>2002</v>
      </c>
      <c r="N40" s="1078"/>
      <c r="O40" s="1078">
        <f>SUM(M40:N40)</f>
        <v>2002</v>
      </c>
    </row>
    <row r="41" spans="1:15" ht="16.5" customHeight="1">
      <c r="A41" s="1071"/>
      <c r="B41" s="1071"/>
      <c r="C41" s="1077" t="s">
        <v>1614</v>
      </c>
      <c r="D41" s="1099" t="s">
        <v>1631</v>
      </c>
      <c r="E41" s="980"/>
      <c r="F41" s="1080"/>
      <c r="G41" s="1078"/>
      <c r="H41" s="1078"/>
      <c r="I41" s="1078"/>
      <c r="J41" s="1078"/>
      <c r="K41" s="1078"/>
      <c r="L41" s="1078"/>
      <c r="M41" s="1078"/>
      <c r="N41" s="1078"/>
      <c r="O41" s="1078"/>
    </row>
    <row r="42" spans="1:15" ht="15.75" customHeight="1">
      <c r="A42" s="1071"/>
      <c r="B42" s="1071"/>
      <c r="C42" s="1077" t="s">
        <v>1615</v>
      </c>
      <c r="D42" s="857" t="s">
        <v>1408</v>
      </c>
      <c r="E42" s="980"/>
      <c r="F42" s="1080"/>
      <c r="G42" s="1078">
        <v>0</v>
      </c>
      <c r="H42" s="1078">
        <v>15000</v>
      </c>
      <c r="I42" s="1078">
        <v>15000</v>
      </c>
      <c r="J42" s="1078"/>
      <c r="K42" s="1078"/>
      <c r="L42" s="1078">
        <f>SUM(J42:K42)</f>
        <v>0</v>
      </c>
      <c r="M42" s="1078">
        <f aca="true" t="shared" si="8" ref="M42:N45">SUM(G42+J42)</f>
        <v>0</v>
      </c>
      <c r="N42" s="1078">
        <f t="shared" si="8"/>
        <v>15000</v>
      </c>
      <c r="O42" s="1078">
        <f>SUM(M42:N42)</f>
        <v>15000</v>
      </c>
    </row>
    <row r="43" spans="1:15" ht="15.75" customHeight="1">
      <c r="A43" s="1071"/>
      <c r="B43" s="1071"/>
      <c r="C43" s="1077" t="s">
        <v>1616</v>
      </c>
      <c r="D43" s="1100" t="s">
        <v>818</v>
      </c>
      <c r="E43" s="980"/>
      <c r="F43" s="1080"/>
      <c r="G43" s="1078">
        <v>0</v>
      </c>
      <c r="H43" s="1078">
        <v>0</v>
      </c>
      <c r="I43" s="1078">
        <v>0</v>
      </c>
      <c r="J43" s="1078"/>
      <c r="K43" s="1078"/>
      <c r="L43" s="1078">
        <f>SUM(J43:K43)</f>
        <v>0</v>
      </c>
      <c r="M43" s="1078">
        <f t="shared" si="8"/>
        <v>0</v>
      </c>
      <c r="N43" s="1078">
        <f t="shared" si="8"/>
        <v>0</v>
      </c>
      <c r="O43" s="1078">
        <f>SUM(M43:N43)</f>
        <v>0</v>
      </c>
    </row>
    <row r="44" spans="1:15" ht="29.25" customHeight="1">
      <c r="A44" s="1071"/>
      <c r="B44" s="1071"/>
      <c r="C44" s="1077" t="s">
        <v>1617</v>
      </c>
      <c r="D44" s="1101" t="s">
        <v>816</v>
      </c>
      <c r="E44" s="980"/>
      <c r="F44" s="1080"/>
      <c r="G44" s="1078">
        <v>0</v>
      </c>
      <c r="H44" s="1078">
        <v>0</v>
      </c>
      <c r="I44" s="1078">
        <v>0</v>
      </c>
      <c r="J44" s="1078"/>
      <c r="K44" s="1078"/>
      <c r="L44" s="1078">
        <f>SUM(J44:K44)</f>
        <v>0</v>
      </c>
      <c r="M44" s="1078">
        <f t="shared" si="8"/>
        <v>0</v>
      </c>
      <c r="N44" s="1078">
        <f t="shared" si="8"/>
        <v>0</v>
      </c>
      <c r="O44" s="1078">
        <f>SUM(M44:N44)</f>
        <v>0</v>
      </c>
    </row>
    <row r="45" spans="1:15" ht="24.75" customHeight="1">
      <c r="A45" s="1071"/>
      <c r="B45" s="1071"/>
      <c r="C45" s="1077" t="s">
        <v>1618</v>
      </c>
      <c r="D45" s="1101" t="s">
        <v>817</v>
      </c>
      <c r="E45" s="980"/>
      <c r="F45" s="1080"/>
      <c r="G45" s="1078">
        <v>0</v>
      </c>
      <c r="H45" s="1078">
        <v>0</v>
      </c>
      <c r="I45" s="1078">
        <v>0</v>
      </c>
      <c r="J45" s="1078"/>
      <c r="K45" s="1078"/>
      <c r="L45" s="1078">
        <f>SUM(J45:K45)</f>
        <v>0</v>
      </c>
      <c r="M45" s="1078">
        <f t="shared" si="8"/>
        <v>0</v>
      </c>
      <c r="N45" s="1078">
        <f t="shared" si="8"/>
        <v>0</v>
      </c>
      <c r="O45" s="1078">
        <f>SUM(M45:N45)</f>
        <v>0</v>
      </c>
    </row>
    <row r="46" spans="1:15" ht="14.25" customHeight="1">
      <c r="A46" s="1071"/>
      <c r="B46" s="1071"/>
      <c r="C46" s="1094" t="s">
        <v>1619</v>
      </c>
      <c r="D46" s="1079" t="s">
        <v>1632</v>
      </c>
      <c r="E46" s="980"/>
      <c r="F46" s="1080"/>
      <c r="G46" s="1078"/>
      <c r="H46" s="1078"/>
      <c r="I46" s="1078"/>
      <c r="J46" s="1078"/>
      <c r="K46" s="1078"/>
      <c r="L46" s="1078"/>
      <c r="M46" s="1078"/>
      <c r="N46" s="1078"/>
      <c r="O46" s="1078"/>
    </row>
    <row r="47" spans="1:15" ht="14.25" customHeight="1">
      <c r="A47" s="1071"/>
      <c r="B47" s="1071"/>
      <c r="C47" s="1077" t="s">
        <v>1620</v>
      </c>
      <c r="D47" s="1081" t="s">
        <v>1406</v>
      </c>
      <c r="E47" s="980"/>
      <c r="F47" s="1080"/>
      <c r="G47" s="1078">
        <v>5000</v>
      </c>
      <c r="H47" s="1078">
        <v>0</v>
      </c>
      <c r="I47" s="1078">
        <v>5000</v>
      </c>
      <c r="J47" s="1078"/>
      <c r="K47" s="1078"/>
      <c r="L47" s="1078">
        <f>SUM(J47:K47)</f>
        <v>0</v>
      </c>
      <c r="M47" s="1078">
        <f aca="true" t="shared" si="9" ref="M47:N51">SUM(G47+J47)</f>
        <v>5000</v>
      </c>
      <c r="N47" s="1078">
        <f t="shared" si="9"/>
        <v>0</v>
      </c>
      <c r="O47" s="1078">
        <f>SUM(M47:N47)</f>
        <v>5000</v>
      </c>
    </row>
    <row r="48" spans="1:15" ht="14.25" customHeight="1">
      <c r="A48" s="1071"/>
      <c r="B48" s="1071"/>
      <c r="C48" s="886" t="s">
        <v>1621</v>
      </c>
      <c r="D48" s="1099" t="s">
        <v>1717</v>
      </c>
      <c r="E48" s="1092"/>
      <c r="F48" s="1080"/>
      <c r="G48" s="1078">
        <v>0</v>
      </c>
      <c r="H48" s="1078">
        <v>0</v>
      </c>
      <c r="I48" s="1078">
        <v>0</v>
      </c>
      <c r="J48" s="1078"/>
      <c r="K48" s="1078"/>
      <c r="L48" s="1078">
        <f>SUM(J48:K48)</f>
        <v>0</v>
      </c>
      <c r="M48" s="1078">
        <f t="shared" si="9"/>
        <v>0</v>
      </c>
      <c r="N48" s="1078">
        <f t="shared" si="9"/>
        <v>0</v>
      </c>
      <c r="O48" s="1078">
        <f>SUM(M48:N48)</f>
        <v>0</v>
      </c>
    </row>
    <row r="49" spans="1:15" ht="21" customHeight="1">
      <c r="A49" s="1071"/>
      <c r="B49" s="1071"/>
      <c r="C49" s="1071" t="s">
        <v>1845</v>
      </c>
      <c r="D49" s="1102" t="s">
        <v>1622</v>
      </c>
      <c r="E49" s="1103"/>
      <c r="F49" s="1104"/>
      <c r="G49" s="1078">
        <v>0</v>
      </c>
      <c r="H49" s="1078">
        <v>21000</v>
      </c>
      <c r="I49" s="1078">
        <v>21000</v>
      </c>
      <c r="J49" s="1078"/>
      <c r="K49" s="1078"/>
      <c r="L49" s="1078">
        <f>SUM(J49:K49)</f>
        <v>0</v>
      </c>
      <c r="M49" s="1078">
        <f t="shared" si="9"/>
        <v>0</v>
      </c>
      <c r="N49" s="1078">
        <f t="shared" si="9"/>
        <v>21000</v>
      </c>
      <c r="O49" s="1078">
        <f>SUM(M49:N49)</f>
        <v>21000</v>
      </c>
    </row>
    <row r="50" spans="1:15" ht="15" customHeight="1">
      <c r="A50" s="1071"/>
      <c r="B50" s="1071"/>
      <c r="C50" s="1071" t="s">
        <v>1859</v>
      </c>
      <c r="D50" s="1102" t="s">
        <v>1375</v>
      </c>
      <c r="E50" s="1105"/>
      <c r="F50" s="1106"/>
      <c r="G50" s="1078">
        <v>1072</v>
      </c>
      <c r="H50" s="1078">
        <v>0</v>
      </c>
      <c r="I50" s="1078">
        <v>1072</v>
      </c>
      <c r="J50" s="1078"/>
      <c r="K50" s="1078"/>
      <c r="L50" s="1078">
        <f>SUM(J50:K50)</f>
        <v>0</v>
      </c>
      <c r="M50" s="1078">
        <f t="shared" si="9"/>
        <v>1072</v>
      </c>
      <c r="N50" s="1078">
        <f t="shared" si="9"/>
        <v>0</v>
      </c>
      <c r="O50" s="1078">
        <f>SUM(M50:N50)</f>
        <v>1072</v>
      </c>
    </row>
    <row r="51" spans="1:15" ht="15" customHeight="1">
      <c r="A51" s="1071"/>
      <c r="B51" s="1071"/>
      <c r="C51" s="1071" t="s">
        <v>1860</v>
      </c>
      <c r="D51" s="1107" t="s">
        <v>1413</v>
      </c>
      <c r="E51" s="1105"/>
      <c r="F51" s="1108"/>
      <c r="G51" s="1078">
        <v>38246</v>
      </c>
      <c r="H51" s="1078">
        <v>0</v>
      </c>
      <c r="I51" s="1078">
        <v>38246</v>
      </c>
      <c r="J51" s="1078"/>
      <c r="K51" s="1078"/>
      <c r="L51" s="1078">
        <f>SUM(J51:K51)</f>
        <v>0</v>
      </c>
      <c r="M51" s="1078">
        <f t="shared" si="9"/>
        <v>38246</v>
      </c>
      <c r="N51" s="1078">
        <f t="shared" si="9"/>
        <v>0</v>
      </c>
      <c r="O51" s="1078">
        <f>SUM(M51:N51)</f>
        <v>38246</v>
      </c>
    </row>
    <row r="52" spans="1:15" ht="13.5" customHeight="1">
      <c r="A52" s="1109"/>
      <c r="B52" s="1109"/>
      <c r="C52" s="1109"/>
      <c r="D52" s="1110" t="s">
        <v>252</v>
      </c>
      <c r="E52" s="1111"/>
      <c r="F52" s="1112"/>
      <c r="G52" s="1113">
        <f aca="true" t="shared" si="10" ref="G52:O52">SUM(G7:G51)</f>
        <v>201563</v>
      </c>
      <c r="H52" s="1113">
        <f t="shared" si="10"/>
        <v>43067</v>
      </c>
      <c r="I52" s="1113">
        <f t="shared" si="10"/>
        <v>244630</v>
      </c>
      <c r="J52" s="1113">
        <f t="shared" si="10"/>
        <v>1522</v>
      </c>
      <c r="K52" s="1113">
        <f t="shared" si="10"/>
        <v>0</v>
      </c>
      <c r="L52" s="1113">
        <f t="shared" si="10"/>
        <v>1522</v>
      </c>
      <c r="M52" s="1113">
        <f t="shared" si="10"/>
        <v>203085</v>
      </c>
      <c r="N52" s="1113">
        <f t="shared" si="10"/>
        <v>43067</v>
      </c>
      <c r="O52" s="1113">
        <f t="shared" si="10"/>
        <v>246152</v>
      </c>
    </row>
    <row r="53" spans="1:15" ht="12.75" customHeight="1">
      <c r="A53" s="1114">
        <v>1</v>
      </c>
      <c r="B53" s="1114">
        <v>15</v>
      </c>
      <c r="C53" s="1114"/>
      <c r="D53" s="918" t="s">
        <v>51</v>
      </c>
      <c r="E53" s="980"/>
      <c r="F53" s="1080"/>
      <c r="G53" s="1078"/>
      <c r="H53" s="1078"/>
      <c r="I53" s="1073"/>
      <c r="J53" s="1078"/>
      <c r="K53" s="1078"/>
      <c r="L53" s="1078"/>
      <c r="M53" s="1078"/>
      <c r="N53" s="1078"/>
      <c r="O53" s="1078"/>
    </row>
    <row r="54" spans="1:15" ht="12.75" customHeight="1">
      <c r="A54" s="1114"/>
      <c r="B54" s="1114"/>
      <c r="C54" s="1115">
        <v>1</v>
      </c>
      <c r="D54" s="1068" t="s">
        <v>48</v>
      </c>
      <c r="E54" s="980"/>
      <c r="F54" s="1080"/>
      <c r="G54" s="1078"/>
      <c r="H54" s="1078"/>
      <c r="I54" s="1073"/>
      <c r="J54" s="1078"/>
      <c r="K54" s="1078"/>
      <c r="L54" s="1078"/>
      <c r="M54" s="1078"/>
      <c r="N54" s="1078"/>
      <c r="O54" s="1078"/>
    </row>
    <row r="55" spans="1:15" ht="12.75" customHeight="1">
      <c r="A55" s="1114"/>
      <c r="B55" s="1114"/>
      <c r="C55" s="1115" t="s">
        <v>899</v>
      </c>
      <c r="D55" s="979" t="s">
        <v>217</v>
      </c>
      <c r="E55" s="980"/>
      <c r="F55" s="1080"/>
      <c r="G55" s="1078">
        <v>3370</v>
      </c>
      <c r="H55" s="1078">
        <v>0</v>
      </c>
      <c r="I55" s="1078">
        <v>3370</v>
      </c>
      <c r="J55" s="1078"/>
      <c r="K55" s="1078"/>
      <c r="L55" s="1078">
        <f>SUM(J55:K55)</f>
        <v>0</v>
      </c>
      <c r="M55" s="1078">
        <f aca="true" t="shared" si="11" ref="M55:N58">SUM(G55+J55)</f>
        <v>3370</v>
      </c>
      <c r="N55" s="1078">
        <f t="shared" si="11"/>
        <v>0</v>
      </c>
      <c r="O55" s="1078">
        <f aca="true" t="shared" si="12" ref="O55:O64">SUM(M55:N55)</f>
        <v>3370</v>
      </c>
    </row>
    <row r="56" spans="1:15" ht="12.75" customHeight="1">
      <c r="A56" s="1114"/>
      <c r="B56" s="1114"/>
      <c r="C56" s="1115" t="s">
        <v>900</v>
      </c>
      <c r="D56" s="1116" t="s">
        <v>220</v>
      </c>
      <c r="E56" s="980"/>
      <c r="F56" s="1080"/>
      <c r="G56" s="1078">
        <v>0</v>
      </c>
      <c r="H56" s="1078">
        <v>0</v>
      </c>
      <c r="I56" s="1078">
        <v>0</v>
      </c>
      <c r="J56" s="1078"/>
      <c r="K56" s="1078"/>
      <c r="L56" s="1078">
        <f>SUM(J56:K56)</f>
        <v>0</v>
      </c>
      <c r="M56" s="1078">
        <f t="shared" si="11"/>
        <v>0</v>
      </c>
      <c r="N56" s="1078">
        <f t="shared" si="11"/>
        <v>0</v>
      </c>
      <c r="O56" s="1078">
        <f t="shared" si="12"/>
        <v>0</v>
      </c>
    </row>
    <row r="57" spans="1:15" ht="12.75" customHeight="1">
      <c r="A57" s="1114"/>
      <c r="B57" s="1114"/>
      <c r="C57" s="1115" t="s">
        <v>901</v>
      </c>
      <c r="D57" s="979" t="s">
        <v>1623</v>
      </c>
      <c r="E57" s="980"/>
      <c r="F57" s="1080"/>
      <c r="G57" s="1078">
        <v>0</v>
      </c>
      <c r="H57" s="1078">
        <v>0</v>
      </c>
      <c r="I57" s="1078">
        <v>0</v>
      </c>
      <c r="J57" s="1078"/>
      <c r="K57" s="1078"/>
      <c r="L57" s="1078">
        <f>SUM(J57:K57)</f>
        <v>0</v>
      </c>
      <c r="M57" s="1078">
        <f t="shared" si="11"/>
        <v>0</v>
      </c>
      <c r="N57" s="1078">
        <f t="shared" si="11"/>
        <v>0</v>
      </c>
      <c r="O57" s="1078">
        <f t="shared" si="12"/>
        <v>0</v>
      </c>
    </row>
    <row r="58" spans="1:15" ht="37.5" customHeight="1">
      <c r="A58" s="1114"/>
      <c r="B58" s="1114"/>
      <c r="C58" s="1114" t="s">
        <v>1029</v>
      </c>
      <c r="D58" s="927" t="s">
        <v>1030</v>
      </c>
      <c r="E58" s="980"/>
      <c r="F58" s="1080"/>
      <c r="G58" s="1078">
        <v>262273</v>
      </c>
      <c r="H58" s="1078">
        <v>0</v>
      </c>
      <c r="I58" s="1078">
        <v>262273</v>
      </c>
      <c r="J58" s="1078"/>
      <c r="K58" s="1078"/>
      <c r="L58" s="1078">
        <f>SUM(J58:K58)</f>
        <v>0</v>
      </c>
      <c r="M58" s="1078">
        <f t="shared" si="11"/>
        <v>262273</v>
      </c>
      <c r="N58" s="1078">
        <f t="shared" si="11"/>
        <v>0</v>
      </c>
      <c r="O58" s="1078">
        <f t="shared" si="12"/>
        <v>262273</v>
      </c>
    </row>
    <row r="59" spans="1:15" ht="25.5" customHeight="1">
      <c r="A59" s="1114"/>
      <c r="B59" s="1114"/>
      <c r="C59" s="1114" t="s">
        <v>1031</v>
      </c>
      <c r="D59" s="927" t="s">
        <v>1032</v>
      </c>
      <c r="E59" s="980"/>
      <c r="F59" s="1080"/>
      <c r="G59" s="1078"/>
      <c r="H59" s="1078">
        <v>206514</v>
      </c>
      <c r="I59" s="1078">
        <v>206514</v>
      </c>
      <c r="J59" s="1078"/>
      <c r="K59" s="1078"/>
      <c r="L59" s="1078"/>
      <c r="M59" s="1078"/>
      <c r="N59" s="1078">
        <f aca="true" t="shared" si="13" ref="N59:N64">SUM(H59+K59)</f>
        <v>206514</v>
      </c>
      <c r="O59" s="1078">
        <f t="shared" si="12"/>
        <v>206514</v>
      </c>
    </row>
    <row r="60" spans="1:15" ht="12.75" customHeight="1">
      <c r="A60" s="1114"/>
      <c r="B60" s="1114"/>
      <c r="C60" s="1115"/>
      <c r="D60" s="1117" t="s">
        <v>1717</v>
      </c>
      <c r="E60" s="980"/>
      <c r="F60" s="1080"/>
      <c r="G60" s="1078">
        <v>0</v>
      </c>
      <c r="H60" s="1078">
        <v>0</v>
      </c>
      <c r="I60" s="1078">
        <v>0</v>
      </c>
      <c r="J60" s="1078"/>
      <c r="K60" s="1078"/>
      <c r="L60" s="1078">
        <f>SUM(J60:K60)</f>
        <v>0</v>
      </c>
      <c r="M60" s="1078">
        <f>SUM(G60+J60)</f>
        <v>0</v>
      </c>
      <c r="N60" s="1078">
        <f t="shared" si="13"/>
        <v>0</v>
      </c>
      <c r="O60" s="1078">
        <f t="shared" si="12"/>
        <v>0</v>
      </c>
    </row>
    <row r="61" spans="1:15" ht="12.75" customHeight="1">
      <c r="A61" s="1114"/>
      <c r="B61" s="1114"/>
      <c r="C61" s="1118" t="s">
        <v>1680</v>
      </c>
      <c r="D61" s="1119" t="s">
        <v>1624</v>
      </c>
      <c r="E61" s="980"/>
      <c r="F61" s="1080"/>
      <c r="G61" s="1078">
        <v>8219</v>
      </c>
      <c r="H61" s="1078">
        <v>0</v>
      </c>
      <c r="I61" s="1078">
        <v>8219</v>
      </c>
      <c r="J61" s="1078"/>
      <c r="K61" s="1078"/>
      <c r="L61" s="1078">
        <f>SUM(J61:K61)</f>
        <v>0</v>
      </c>
      <c r="M61" s="1078">
        <f>SUM(G61+J61)</f>
        <v>8219</v>
      </c>
      <c r="N61" s="1078">
        <f t="shared" si="13"/>
        <v>0</v>
      </c>
      <c r="O61" s="1078">
        <f t="shared" si="12"/>
        <v>8219</v>
      </c>
    </row>
    <row r="62" spans="1:15" ht="12.75" customHeight="1">
      <c r="A62" s="1114"/>
      <c r="B62" s="1114"/>
      <c r="C62" s="1118" t="s">
        <v>1681</v>
      </c>
      <c r="D62" s="926" t="s">
        <v>1244</v>
      </c>
      <c r="E62" s="919"/>
      <c r="F62" s="1120"/>
      <c r="G62" s="1078">
        <v>1300</v>
      </c>
      <c r="H62" s="1078">
        <v>0</v>
      </c>
      <c r="I62" s="1078">
        <v>1300</v>
      </c>
      <c r="J62" s="1078"/>
      <c r="K62" s="1078"/>
      <c r="L62" s="1078">
        <f>SUM(J62:K62)</f>
        <v>0</v>
      </c>
      <c r="M62" s="1078">
        <f>SUM(G62+J62)</f>
        <v>1300</v>
      </c>
      <c r="N62" s="1078">
        <f t="shared" si="13"/>
        <v>0</v>
      </c>
      <c r="O62" s="1078">
        <f t="shared" si="12"/>
        <v>1300</v>
      </c>
    </row>
    <row r="63" spans="1:15" ht="12.75" customHeight="1">
      <c r="A63" s="1114"/>
      <c r="B63" s="1114"/>
      <c r="C63" s="1118" t="s">
        <v>1682</v>
      </c>
      <c r="D63" s="926" t="s">
        <v>1243</v>
      </c>
      <c r="E63" s="919"/>
      <c r="F63" s="1120"/>
      <c r="G63" s="1078">
        <v>1800</v>
      </c>
      <c r="H63" s="1078">
        <v>0</v>
      </c>
      <c r="I63" s="1078">
        <v>1800</v>
      </c>
      <c r="J63" s="1078"/>
      <c r="K63" s="1078"/>
      <c r="L63" s="1078">
        <f>SUM(J63:K63)</f>
        <v>0</v>
      </c>
      <c r="M63" s="1078">
        <f>SUM(G63+J63)</f>
        <v>1800</v>
      </c>
      <c r="N63" s="1078">
        <f t="shared" si="13"/>
        <v>0</v>
      </c>
      <c r="O63" s="1078">
        <f t="shared" si="12"/>
        <v>1800</v>
      </c>
    </row>
    <row r="64" spans="1:15" ht="24.75" customHeight="1">
      <c r="A64" s="1114"/>
      <c r="B64" s="1114"/>
      <c r="C64" s="1118" t="s">
        <v>1683</v>
      </c>
      <c r="D64" s="1121" t="s">
        <v>1528</v>
      </c>
      <c r="E64" s="980"/>
      <c r="F64" s="1080"/>
      <c r="G64" s="1078">
        <v>0</v>
      </c>
      <c r="H64" s="1078">
        <v>0</v>
      </c>
      <c r="I64" s="1078">
        <v>0</v>
      </c>
      <c r="J64" s="1078"/>
      <c r="K64" s="1078"/>
      <c r="L64" s="1078">
        <f>SUM(J64:K64)</f>
        <v>0</v>
      </c>
      <c r="M64" s="1078">
        <f>SUM(G64+J64)</f>
        <v>0</v>
      </c>
      <c r="N64" s="1078">
        <f t="shared" si="13"/>
        <v>0</v>
      </c>
      <c r="O64" s="1078">
        <f t="shared" si="12"/>
        <v>0</v>
      </c>
    </row>
    <row r="65" spans="1:15" ht="12.75" customHeight="1">
      <c r="A65" s="1114"/>
      <c r="B65" s="1114"/>
      <c r="C65" s="1122" t="s">
        <v>905</v>
      </c>
      <c r="D65" s="1123" t="s">
        <v>425</v>
      </c>
      <c r="E65" s="980"/>
      <c r="F65" s="1080"/>
      <c r="G65" s="1078"/>
      <c r="H65" s="1078"/>
      <c r="I65" s="1078"/>
      <c r="J65" s="1078"/>
      <c r="K65" s="1078"/>
      <c r="L65" s="1078"/>
      <c r="M65" s="1078"/>
      <c r="N65" s="1078"/>
      <c r="O65" s="1078"/>
    </row>
    <row r="66" spans="1:15" ht="12.75" customHeight="1">
      <c r="A66" s="1114"/>
      <c r="B66" s="1114"/>
      <c r="C66" s="1071" t="s">
        <v>907</v>
      </c>
      <c r="D66" s="934" t="s">
        <v>1583</v>
      </c>
      <c r="E66" s="981"/>
      <c r="F66" s="1080"/>
      <c r="G66" s="1078">
        <v>0</v>
      </c>
      <c r="H66" s="1078">
        <v>0</v>
      </c>
      <c r="I66" s="1078">
        <v>0</v>
      </c>
      <c r="J66" s="1078"/>
      <c r="K66" s="1078"/>
      <c r="L66" s="1078">
        <f aca="true" t="shared" si="14" ref="L66:L97">SUM(J66:K66)</f>
        <v>0</v>
      </c>
      <c r="M66" s="1078">
        <f aca="true" t="shared" si="15" ref="M66:M97">SUM(G66+J66)</f>
        <v>0</v>
      </c>
      <c r="N66" s="1078">
        <f aca="true" t="shared" si="16" ref="N66:N97">SUM(H66+K66)</f>
        <v>0</v>
      </c>
      <c r="O66" s="1078">
        <f aca="true" t="shared" si="17" ref="O66:O97">SUM(M66:N66)</f>
        <v>0</v>
      </c>
    </row>
    <row r="67" spans="1:15" ht="12.75" customHeight="1">
      <c r="A67" s="1114"/>
      <c r="B67" s="1114"/>
      <c r="C67" s="1071" t="s">
        <v>210</v>
      </c>
      <c r="D67" s="1124" t="s">
        <v>1625</v>
      </c>
      <c r="E67" s="981"/>
      <c r="F67" s="1080"/>
      <c r="G67" s="1078">
        <v>37514</v>
      </c>
      <c r="H67" s="1078">
        <v>0</v>
      </c>
      <c r="I67" s="1078">
        <v>37514</v>
      </c>
      <c r="J67" s="1078"/>
      <c r="K67" s="1078"/>
      <c r="L67" s="1078">
        <f t="shared" si="14"/>
        <v>0</v>
      </c>
      <c r="M67" s="1078">
        <f t="shared" si="15"/>
        <v>37514</v>
      </c>
      <c r="N67" s="1078">
        <f t="shared" si="16"/>
        <v>0</v>
      </c>
      <c r="O67" s="1078">
        <f t="shared" si="17"/>
        <v>37514</v>
      </c>
    </row>
    <row r="68" spans="1:15" ht="12.75" customHeight="1">
      <c r="A68" s="1114"/>
      <c r="B68" s="1114"/>
      <c r="C68" s="1071" t="s">
        <v>211</v>
      </c>
      <c r="D68" s="947" t="s">
        <v>1789</v>
      </c>
      <c r="E68" s="981"/>
      <c r="F68" s="1080"/>
      <c r="G68" s="1078">
        <v>10000</v>
      </c>
      <c r="H68" s="1078">
        <v>0</v>
      </c>
      <c r="I68" s="1078">
        <v>10000</v>
      </c>
      <c r="J68" s="1078"/>
      <c r="K68" s="1078"/>
      <c r="L68" s="1078">
        <f t="shared" si="14"/>
        <v>0</v>
      </c>
      <c r="M68" s="1078">
        <f t="shared" si="15"/>
        <v>10000</v>
      </c>
      <c r="N68" s="1078">
        <f t="shared" si="16"/>
        <v>0</v>
      </c>
      <c r="O68" s="1078">
        <f t="shared" si="17"/>
        <v>10000</v>
      </c>
    </row>
    <row r="69" spans="1:15" ht="12.75" customHeight="1">
      <c r="A69" s="1114"/>
      <c r="B69" s="1114"/>
      <c r="C69" s="1071" t="s">
        <v>212</v>
      </c>
      <c r="D69" s="947" t="s">
        <v>1790</v>
      </c>
      <c r="E69" s="981"/>
      <c r="F69" s="1080"/>
      <c r="G69" s="1078">
        <v>13341</v>
      </c>
      <c r="H69" s="1078">
        <v>0</v>
      </c>
      <c r="I69" s="1078">
        <v>13341</v>
      </c>
      <c r="J69" s="1078"/>
      <c r="K69" s="1078"/>
      <c r="L69" s="1078">
        <f t="shared" si="14"/>
        <v>0</v>
      </c>
      <c r="M69" s="1078">
        <f t="shared" si="15"/>
        <v>13341</v>
      </c>
      <c r="N69" s="1078">
        <f t="shared" si="16"/>
        <v>0</v>
      </c>
      <c r="O69" s="1078">
        <f t="shared" si="17"/>
        <v>13341</v>
      </c>
    </row>
    <row r="70" spans="1:15" ht="12.75" customHeight="1">
      <c r="A70" s="1114"/>
      <c r="B70" s="1114"/>
      <c r="C70" s="1071" t="s">
        <v>213</v>
      </c>
      <c r="D70" s="947" t="s">
        <v>1791</v>
      </c>
      <c r="E70" s="981"/>
      <c r="F70" s="1080"/>
      <c r="G70" s="1078">
        <v>18967</v>
      </c>
      <c r="H70" s="1078">
        <v>0</v>
      </c>
      <c r="I70" s="1078">
        <v>18967</v>
      </c>
      <c r="J70" s="1078"/>
      <c r="K70" s="1078"/>
      <c r="L70" s="1078">
        <f t="shared" si="14"/>
        <v>0</v>
      </c>
      <c r="M70" s="1078">
        <f t="shared" si="15"/>
        <v>18967</v>
      </c>
      <c r="N70" s="1078">
        <f t="shared" si="16"/>
        <v>0</v>
      </c>
      <c r="O70" s="1078">
        <f t="shared" si="17"/>
        <v>18967</v>
      </c>
    </row>
    <row r="71" spans="1:15" ht="12.75" customHeight="1">
      <c r="A71" s="1114"/>
      <c r="B71" s="1114"/>
      <c r="C71" s="1071" t="s">
        <v>214</v>
      </c>
      <c r="D71" s="1124" t="s">
        <v>1792</v>
      </c>
      <c r="E71" s="981"/>
      <c r="F71" s="1080"/>
      <c r="G71" s="1078">
        <v>14869</v>
      </c>
      <c r="H71" s="1078">
        <v>0</v>
      </c>
      <c r="I71" s="1078">
        <v>14869</v>
      </c>
      <c r="J71" s="1078"/>
      <c r="K71" s="1078"/>
      <c r="L71" s="1078">
        <f t="shared" si="14"/>
        <v>0</v>
      </c>
      <c r="M71" s="1078">
        <f t="shared" si="15"/>
        <v>14869</v>
      </c>
      <c r="N71" s="1078">
        <f t="shared" si="16"/>
        <v>0</v>
      </c>
      <c r="O71" s="1078">
        <f t="shared" si="17"/>
        <v>14869</v>
      </c>
    </row>
    <row r="72" spans="1:15" ht="12.75" customHeight="1">
      <c r="A72" s="1114"/>
      <c r="B72" s="1114"/>
      <c r="C72" s="1071" t="s">
        <v>1377</v>
      </c>
      <c r="D72" s="947" t="s">
        <v>1793</v>
      </c>
      <c r="E72" s="981"/>
      <c r="F72" s="1080"/>
      <c r="G72" s="1078">
        <v>3000</v>
      </c>
      <c r="H72" s="1078">
        <v>0</v>
      </c>
      <c r="I72" s="1078">
        <v>3000</v>
      </c>
      <c r="J72" s="1078"/>
      <c r="K72" s="1078"/>
      <c r="L72" s="1078">
        <f t="shared" si="14"/>
        <v>0</v>
      </c>
      <c r="M72" s="1078">
        <f t="shared" si="15"/>
        <v>3000</v>
      </c>
      <c r="N72" s="1078">
        <f t="shared" si="16"/>
        <v>0</v>
      </c>
      <c r="O72" s="1078">
        <f t="shared" si="17"/>
        <v>3000</v>
      </c>
    </row>
    <row r="73" spans="1:15" ht="12.75" customHeight="1">
      <c r="A73" s="1114"/>
      <c r="B73" s="1114"/>
      <c r="C73" s="1071" t="s">
        <v>1378</v>
      </c>
      <c r="D73" s="947" t="s">
        <v>1542</v>
      </c>
      <c r="E73" s="981"/>
      <c r="F73" s="1080"/>
      <c r="G73" s="1078">
        <v>0</v>
      </c>
      <c r="H73" s="1078">
        <v>0</v>
      </c>
      <c r="I73" s="1078">
        <v>0</v>
      </c>
      <c r="J73" s="1078"/>
      <c r="K73" s="1078"/>
      <c r="L73" s="1078">
        <f t="shared" si="14"/>
        <v>0</v>
      </c>
      <c r="M73" s="1078">
        <f t="shared" si="15"/>
        <v>0</v>
      </c>
      <c r="N73" s="1078">
        <f t="shared" si="16"/>
        <v>0</v>
      </c>
      <c r="O73" s="1078">
        <f t="shared" si="17"/>
        <v>0</v>
      </c>
    </row>
    <row r="74" spans="1:15" ht="12.75" customHeight="1">
      <c r="A74" s="1114"/>
      <c r="B74" s="1114"/>
      <c r="C74" s="1071" t="s">
        <v>1379</v>
      </c>
      <c r="D74" s="947" t="s">
        <v>1794</v>
      </c>
      <c r="E74" s="981"/>
      <c r="F74" s="1080"/>
      <c r="G74" s="1078">
        <v>9564</v>
      </c>
      <c r="H74" s="1078">
        <v>0</v>
      </c>
      <c r="I74" s="1078">
        <v>9564</v>
      </c>
      <c r="J74" s="1078"/>
      <c r="K74" s="1078"/>
      <c r="L74" s="1078">
        <f t="shared" si="14"/>
        <v>0</v>
      </c>
      <c r="M74" s="1078">
        <f t="shared" si="15"/>
        <v>9564</v>
      </c>
      <c r="N74" s="1078">
        <f t="shared" si="16"/>
        <v>0</v>
      </c>
      <c r="O74" s="1078">
        <f t="shared" si="17"/>
        <v>9564</v>
      </c>
    </row>
    <row r="75" spans="1:15" ht="12.75" customHeight="1">
      <c r="A75" s="1114"/>
      <c r="B75" s="1114"/>
      <c r="C75" s="1071" t="s">
        <v>1380</v>
      </c>
      <c r="D75" s="947" t="s">
        <v>1795</v>
      </c>
      <c r="E75" s="981"/>
      <c r="F75" s="1080"/>
      <c r="G75" s="1078">
        <v>2647</v>
      </c>
      <c r="H75" s="1078">
        <v>0</v>
      </c>
      <c r="I75" s="1078">
        <v>2647</v>
      </c>
      <c r="J75" s="1078"/>
      <c r="K75" s="1078"/>
      <c r="L75" s="1078">
        <f t="shared" si="14"/>
        <v>0</v>
      </c>
      <c r="M75" s="1078">
        <f t="shared" si="15"/>
        <v>2647</v>
      </c>
      <c r="N75" s="1078">
        <f t="shared" si="16"/>
        <v>0</v>
      </c>
      <c r="O75" s="1078">
        <f t="shared" si="17"/>
        <v>2647</v>
      </c>
    </row>
    <row r="76" spans="1:15" ht="12.75" customHeight="1">
      <c r="A76" s="1114"/>
      <c r="B76" s="1114"/>
      <c r="C76" s="1071" t="s">
        <v>1381</v>
      </c>
      <c r="D76" s="947" t="s">
        <v>1796</v>
      </c>
      <c r="E76" s="981"/>
      <c r="F76" s="1080"/>
      <c r="G76" s="1078">
        <v>0</v>
      </c>
      <c r="H76" s="1078">
        <v>0</v>
      </c>
      <c r="I76" s="1078">
        <v>0</v>
      </c>
      <c r="J76" s="1078"/>
      <c r="K76" s="1078"/>
      <c r="L76" s="1078">
        <f t="shared" si="14"/>
        <v>0</v>
      </c>
      <c r="M76" s="1078">
        <f t="shared" si="15"/>
        <v>0</v>
      </c>
      <c r="N76" s="1078">
        <f t="shared" si="16"/>
        <v>0</v>
      </c>
      <c r="O76" s="1078">
        <f t="shared" si="17"/>
        <v>0</v>
      </c>
    </row>
    <row r="77" spans="1:15" ht="12.75" customHeight="1">
      <c r="A77" s="1114"/>
      <c r="B77" s="1114"/>
      <c r="C77" s="1071" t="s">
        <v>1382</v>
      </c>
      <c r="D77" s="934" t="s">
        <v>1179</v>
      </c>
      <c r="E77" s="981"/>
      <c r="F77" s="1080"/>
      <c r="G77" s="1078">
        <v>5078</v>
      </c>
      <c r="H77" s="1078">
        <v>0</v>
      </c>
      <c r="I77" s="1078">
        <v>5078</v>
      </c>
      <c r="J77" s="1078"/>
      <c r="K77" s="1078"/>
      <c r="L77" s="1078">
        <f t="shared" si="14"/>
        <v>0</v>
      </c>
      <c r="M77" s="1078">
        <f t="shared" si="15"/>
        <v>5078</v>
      </c>
      <c r="N77" s="1078">
        <f t="shared" si="16"/>
        <v>0</v>
      </c>
      <c r="O77" s="1078">
        <f t="shared" si="17"/>
        <v>5078</v>
      </c>
    </row>
    <row r="78" spans="1:15" ht="12.75" customHeight="1">
      <c r="A78" s="1114"/>
      <c r="B78" s="1114"/>
      <c r="C78" s="1071" t="s">
        <v>1383</v>
      </c>
      <c r="D78" s="1124" t="s">
        <v>1180</v>
      </c>
      <c r="E78" s="981"/>
      <c r="F78" s="1080"/>
      <c r="G78" s="1078">
        <v>3430</v>
      </c>
      <c r="H78" s="1078">
        <v>0</v>
      </c>
      <c r="I78" s="1078">
        <v>3430</v>
      </c>
      <c r="J78" s="1078"/>
      <c r="K78" s="1078"/>
      <c r="L78" s="1078">
        <f t="shared" si="14"/>
        <v>0</v>
      </c>
      <c r="M78" s="1078">
        <f t="shared" si="15"/>
        <v>3430</v>
      </c>
      <c r="N78" s="1078">
        <f t="shared" si="16"/>
        <v>0</v>
      </c>
      <c r="O78" s="1078">
        <f t="shared" si="17"/>
        <v>3430</v>
      </c>
    </row>
    <row r="79" spans="1:15" ht="12.75" customHeight="1">
      <c r="A79" s="1114"/>
      <c r="B79" s="1114"/>
      <c r="C79" s="1071" t="s">
        <v>928</v>
      </c>
      <c r="D79" s="934" t="s">
        <v>1181</v>
      </c>
      <c r="E79" s="981"/>
      <c r="F79" s="1080"/>
      <c r="G79" s="1078">
        <v>4864</v>
      </c>
      <c r="H79" s="1078">
        <v>0</v>
      </c>
      <c r="I79" s="1078">
        <v>4864</v>
      </c>
      <c r="J79" s="1078"/>
      <c r="K79" s="1078"/>
      <c r="L79" s="1078">
        <f t="shared" si="14"/>
        <v>0</v>
      </c>
      <c r="M79" s="1078">
        <f t="shared" si="15"/>
        <v>4864</v>
      </c>
      <c r="N79" s="1078">
        <f t="shared" si="16"/>
        <v>0</v>
      </c>
      <c r="O79" s="1078">
        <f t="shared" si="17"/>
        <v>4864</v>
      </c>
    </row>
    <row r="80" spans="1:15" ht="12.75" customHeight="1">
      <c r="A80" s="1114"/>
      <c r="B80" s="1114"/>
      <c r="C80" s="1071" t="s">
        <v>929</v>
      </c>
      <c r="D80" s="947" t="s">
        <v>1182</v>
      </c>
      <c r="E80" s="981"/>
      <c r="F80" s="1080"/>
      <c r="G80" s="1078">
        <v>0</v>
      </c>
      <c r="H80" s="1078">
        <v>0</v>
      </c>
      <c r="I80" s="1078">
        <v>0</v>
      </c>
      <c r="J80" s="1078"/>
      <c r="K80" s="1078"/>
      <c r="L80" s="1078">
        <f t="shared" si="14"/>
        <v>0</v>
      </c>
      <c r="M80" s="1078">
        <f t="shared" si="15"/>
        <v>0</v>
      </c>
      <c r="N80" s="1078">
        <f t="shared" si="16"/>
        <v>0</v>
      </c>
      <c r="O80" s="1078">
        <f t="shared" si="17"/>
        <v>0</v>
      </c>
    </row>
    <row r="81" spans="1:15" ht="12.75" customHeight="1">
      <c r="A81" s="1114"/>
      <c r="B81" s="1114"/>
      <c r="C81" s="1071" t="s">
        <v>930</v>
      </c>
      <c r="D81" s="947" t="s">
        <v>1183</v>
      </c>
      <c r="E81" s="981"/>
      <c r="F81" s="1080"/>
      <c r="G81" s="1078">
        <v>5000</v>
      </c>
      <c r="H81" s="1078">
        <v>0</v>
      </c>
      <c r="I81" s="1078">
        <v>5000</v>
      </c>
      <c r="J81" s="1078"/>
      <c r="K81" s="1078"/>
      <c r="L81" s="1078">
        <f t="shared" si="14"/>
        <v>0</v>
      </c>
      <c r="M81" s="1078">
        <f t="shared" si="15"/>
        <v>5000</v>
      </c>
      <c r="N81" s="1078">
        <f t="shared" si="16"/>
        <v>0</v>
      </c>
      <c r="O81" s="1078">
        <f t="shared" si="17"/>
        <v>5000</v>
      </c>
    </row>
    <row r="82" spans="1:15" ht="12.75" customHeight="1">
      <c r="A82" s="1114"/>
      <c r="B82" s="1114"/>
      <c r="C82" s="1071" t="s">
        <v>931</v>
      </c>
      <c r="D82" s="947" t="s">
        <v>1184</v>
      </c>
      <c r="E82" s="981"/>
      <c r="F82" s="1080"/>
      <c r="G82" s="1078">
        <v>4211</v>
      </c>
      <c r="H82" s="1078">
        <v>0</v>
      </c>
      <c r="I82" s="1078">
        <v>4211</v>
      </c>
      <c r="J82" s="1078"/>
      <c r="K82" s="1078"/>
      <c r="L82" s="1078">
        <f t="shared" si="14"/>
        <v>0</v>
      </c>
      <c r="M82" s="1078">
        <f t="shared" si="15"/>
        <v>4211</v>
      </c>
      <c r="N82" s="1078">
        <f t="shared" si="16"/>
        <v>0</v>
      </c>
      <c r="O82" s="1078">
        <f t="shared" si="17"/>
        <v>4211</v>
      </c>
    </row>
    <row r="83" spans="1:15" ht="12.75" customHeight="1">
      <c r="A83" s="1114"/>
      <c r="B83" s="1114"/>
      <c r="C83" s="1071" t="s">
        <v>889</v>
      </c>
      <c r="D83" s="947" t="s">
        <v>1185</v>
      </c>
      <c r="E83" s="981"/>
      <c r="F83" s="1080"/>
      <c r="G83" s="1078">
        <v>8500</v>
      </c>
      <c r="H83" s="1078">
        <v>0</v>
      </c>
      <c r="I83" s="1078">
        <v>8500</v>
      </c>
      <c r="J83" s="1078"/>
      <c r="K83" s="1078"/>
      <c r="L83" s="1078">
        <f t="shared" si="14"/>
        <v>0</v>
      </c>
      <c r="M83" s="1078">
        <f t="shared" si="15"/>
        <v>8500</v>
      </c>
      <c r="N83" s="1078">
        <f t="shared" si="16"/>
        <v>0</v>
      </c>
      <c r="O83" s="1078">
        <f t="shared" si="17"/>
        <v>8500</v>
      </c>
    </row>
    <row r="84" spans="1:15" ht="12.75" customHeight="1">
      <c r="A84" s="1114"/>
      <c r="B84" s="1114"/>
      <c r="C84" s="1071" t="s">
        <v>890</v>
      </c>
      <c r="D84" s="947" t="s">
        <v>1186</v>
      </c>
      <c r="E84" s="981"/>
      <c r="F84" s="1080"/>
      <c r="G84" s="1078">
        <v>3000</v>
      </c>
      <c r="H84" s="1078">
        <v>0</v>
      </c>
      <c r="I84" s="1078">
        <v>3000</v>
      </c>
      <c r="J84" s="1078"/>
      <c r="K84" s="1078"/>
      <c r="L84" s="1078">
        <f t="shared" si="14"/>
        <v>0</v>
      </c>
      <c r="M84" s="1078">
        <f t="shared" si="15"/>
        <v>3000</v>
      </c>
      <c r="N84" s="1078">
        <f t="shared" si="16"/>
        <v>0</v>
      </c>
      <c r="O84" s="1078">
        <f t="shared" si="17"/>
        <v>3000</v>
      </c>
    </row>
    <row r="85" spans="1:15" ht="12.75" customHeight="1">
      <c r="A85" s="1114"/>
      <c r="B85" s="1114"/>
      <c r="C85" s="1071" t="s">
        <v>9</v>
      </c>
      <c r="D85" s="1124" t="s">
        <v>1187</v>
      </c>
      <c r="E85" s="981"/>
      <c r="F85" s="1080"/>
      <c r="G85" s="1078">
        <v>3000</v>
      </c>
      <c r="H85" s="1078">
        <v>0</v>
      </c>
      <c r="I85" s="1078">
        <v>3000</v>
      </c>
      <c r="J85" s="1078"/>
      <c r="K85" s="1078"/>
      <c r="L85" s="1078">
        <f t="shared" si="14"/>
        <v>0</v>
      </c>
      <c r="M85" s="1078">
        <f t="shared" si="15"/>
        <v>3000</v>
      </c>
      <c r="N85" s="1078">
        <f t="shared" si="16"/>
        <v>0</v>
      </c>
      <c r="O85" s="1078">
        <f t="shared" si="17"/>
        <v>3000</v>
      </c>
    </row>
    <row r="86" spans="1:15" ht="12.75" customHeight="1">
      <c r="A86" s="1114"/>
      <c r="B86" s="1114"/>
      <c r="C86" s="1071" t="s">
        <v>10</v>
      </c>
      <c r="D86" s="934" t="s">
        <v>1188</v>
      </c>
      <c r="E86" s="981"/>
      <c r="F86" s="1080"/>
      <c r="G86" s="1078">
        <v>1856</v>
      </c>
      <c r="H86" s="1078">
        <v>0</v>
      </c>
      <c r="I86" s="1078">
        <v>1856</v>
      </c>
      <c r="J86" s="1078"/>
      <c r="K86" s="1078"/>
      <c r="L86" s="1078">
        <f t="shared" si="14"/>
        <v>0</v>
      </c>
      <c r="M86" s="1078">
        <f t="shared" si="15"/>
        <v>1856</v>
      </c>
      <c r="N86" s="1078">
        <f t="shared" si="16"/>
        <v>0</v>
      </c>
      <c r="O86" s="1078">
        <f t="shared" si="17"/>
        <v>1856</v>
      </c>
    </row>
    <row r="87" spans="1:15" ht="15" customHeight="1">
      <c r="A87" s="1114"/>
      <c r="B87" s="1114"/>
      <c r="C87" s="1071" t="s">
        <v>11</v>
      </c>
      <c r="D87" s="934" t="s">
        <v>1189</v>
      </c>
      <c r="E87" s="981"/>
      <c r="F87" s="1080"/>
      <c r="G87" s="1078">
        <v>0</v>
      </c>
      <c r="H87" s="1078">
        <v>0</v>
      </c>
      <c r="I87" s="1078">
        <v>0</v>
      </c>
      <c r="J87" s="1078"/>
      <c r="K87" s="1078"/>
      <c r="L87" s="1078">
        <f t="shared" si="14"/>
        <v>0</v>
      </c>
      <c r="M87" s="1078">
        <f t="shared" si="15"/>
        <v>0</v>
      </c>
      <c r="N87" s="1078">
        <f t="shared" si="16"/>
        <v>0</v>
      </c>
      <c r="O87" s="1078">
        <f t="shared" si="17"/>
        <v>0</v>
      </c>
    </row>
    <row r="88" spans="1:15" ht="15" customHeight="1">
      <c r="A88" s="1114"/>
      <c r="B88" s="1114"/>
      <c r="C88" s="1071" t="s">
        <v>12</v>
      </c>
      <c r="D88" s="934" t="s">
        <v>1190</v>
      </c>
      <c r="E88" s="981"/>
      <c r="F88" s="1080"/>
      <c r="G88" s="1078">
        <v>6300</v>
      </c>
      <c r="H88" s="1078">
        <v>0</v>
      </c>
      <c r="I88" s="1078">
        <v>6300</v>
      </c>
      <c r="J88" s="1078"/>
      <c r="K88" s="1078"/>
      <c r="L88" s="1078">
        <f t="shared" si="14"/>
        <v>0</v>
      </c>
      <c r="M88" s="1078">
        <f t="shared" si="15"/>
        <v>6300</v>
      </c>
      <c r="N88" s="1078">
        <f t="shared" si="16"/>
        <v>0</v>
      </c>
      <c r="O88" s="1078">
        <f t="shared" si="17"/>
        <v>6300</v>
      </c>
    </row>
    <row r="89" spans="1:15" ht="15" customHeight="1">
      <c r="A89" s="1114"/>
      <c r="B89" s="1114"/>
      <c r="C89" s="1071" t="s">
        <v>13</v>
      </c>
      <c r="D89" s="934" t="s">
        <v>1191</v>
      </c>
      <c r="E89" s="981"/>
      <c r="F89" s="1080"/>
      <c r="G89" s="1078">
        <v>3629</v>
      </c>
      <c r="H89" s="1078">
        <v>0</v>
      </c>
      <c r="I89" s="1078">
        <v>3629</v>
      </c>
      <c r="J89" s="1078"/>
      <c r="K89" s="1078"/>
      <c r="L89" s="1078">
        <f t="shared" si="14"/>
        <v>0</v>
      </c>
      <c r="M89" s="1078">
        <f t="shared" si="15"/>
        <v>3629</v>
      </c>
      <c r="N89" s="1078">
        <f t="shared" si="16"/>
        <v>0</v>
      </c>
      <c r="O89" s="1078">
        <f t="shared" si="17"/>
        <v>3629</v>
      </c>
    </row>
    <row r="90" spans="1:15" ht="15" customHeight="1">
      <c r="A90" s="1114"/>
      <c r="B90" s="1114"/>
      <c r="C90" s="1071" t="s">
        <v>14</v>
      </c>
      <c r="D90" s="934" t="s">
        <v>1192</v>
      </c>
      <c r="E90" s="981"/>
      <c r="F90" s="1080"/>
      <c r="G90" s="1078">
        <v>1000</v>
      </c>
      <c r="H90" s="1078">
        <v>0</v>
      </c>
      <c r="I90" s="1078">
        <v>1000</v>
      </c>
      <c r="J90" s="1078"/>
      <c r="K90" s="1078"/>
      <c r="L90" s="1078">
        <f t="shared" si="14"/>
        <v>0</v>
      </c>
      <c r="M90" s="1078">
        <f t="shared" si="15"/>
        <v>1000</v>
      </c>
      <c r="N90" s="1078">
        <f t="shared" si="16"/>
        <v>0</v>
      </c>
      <c r="O90" s="1078">
        <f t="shared" si="17"/>
        <v>1000</v>
      </c>
    </row>
    <row r="91" spans="1:15" ht="15" customHeight="1">
      <c r="A91" s="1114"/>
      <c r="B91" s="1114"/>
      <c r="C91" s="1071" t="s">
        <v>15</v>
      </c>
      <c r="D91" s="934" t="s">
        <v>1193</v>
      </c>
      <c r="E91" s="981"/>
      <c r="F91" s="1080"/>
      <c r="G91" s="1078">
        <v>300</v>
      </c>
      <c r="H91" s="1078">
        <v>0</v>
      </c>
      <c r="I91" s="1078">
        <v>300</v>
      </c>
      <c r="J91" s="1078"/>
      <c r="K91" s="1078"/>
      <c r="L91" s="1078">
        <f t="shared" si="14"/>
        <v>0</v>
      </c>
      <c r="M91" s="1078">
        <f t="shared" si="15"/>
        <v>300</v>
      </c>
      <c r="N91" s="1078">
        <f t="shared" si="16"/>
        <v>0</v>
      </c>
      <c r="O91" s="1078">
        <f t="shared" si="17"/>
        <v>300</v>
      </c>
    </row>
    <row r="92" spans="1:15" ht="15" customHeight="1">
      <c r="A92" s="1114"/>
      <c r="B92" s="1114"/>
      <c r="C92" s="1071" t="s">
        <v>16</v>
      </c>
      <c r="D92" s="934" t="s">
        <v>1194</v>
      </c>
      <c r="E92" s="981"/>
      <c r="F92" s="1080"/>
      <c r="G92" s="1078">
        <v>772</v>
      </c>
      <c r="H92" s="1078">
        <v>0</v>
      </c>
      <c r="I92" s="1078">
        <v>772</v>
      </c>
      <c r="J92" s="1078"/>
      <c r="K92" s="1078"/>
      <c r="L92" s="1078">
        <f t="shared" si="14"/>
        <v>0</v>
      </c>
      <c r="M92" s="1078">
        <f t="shared" si="15"/>
        <v>772</v>
      </c>
      <c r="N92" s="1078">
        <f t="shared" si="16"/>
        <v>0</v>
      </c>
      <c r="O92" s="1078">
        <f t="shared" si="17"/>
        <v>772</v>
      </c>
    </row>
    <row r="93" spans="1:15" ht="15" customHeight="1">
      <c r="A93" s="1114"/>
      <c r="B93" s="1114"/>
      <c r="C93" s="1071" t="s">
        <v>17</v>
      </c>
      <c r="D93" s="934" t="s">
        <v>1195</v>
      </c>
      <c r="E93" s="981"/>
      <c r="F93" s="1080"/>
      <c r="G93" s="1078">
        <v>3176</v>
      </c>
      <c r="H93" s="1078">
        <v>0</v>
      </c>
      <c r="I93" s="1078">
        <v>3176</v>
      </c>
      <c r="J93" s="1078"/>
      <c r="K93" s="1078"/>
      <c r="L93" s="1078">
        <f t="shared" si="14"/>
        <v>0</v>
      </c>
      <c r="M93" s="1078">
        <f t="shared" si="15"/>
        <v>3176</v>
      </c>
      <c r="N93" s="1078">
        <f t="shared" si="16"/>
        <v>0</v>
      </c>
      <c r="O93" s="1078">
        <f t="shared" si="17"/>
        <v>3176</v>
      </c>
    </row>
    <row r="94" spans="1:15" ht="15" customHeight="1">
      <c r="A94" s="1114"/>
      <c r="B94" s="1114"/>
      <c r="C94" s="1071" t="s">
        <v>18</v>
      </c>
      <c r="D94" s="934" t="s">
        <v>1196</v>
      </c>
      <c r="E94" s="981"/>
      <c r="F94" s="1080"/>
      <c r="G94" s="1078">
        <v>2481</v>
      </c>
      <c r="H94" s="1078">
        <v>0</v>
      </c>
      <c r="I94" s="1078">
        <v>2481</v>
      </c>
      <c r="J94" s="1078"/>
      <c r="K94" s="1078"/>
      <c r="L94" s="1078">
        <f t="shared" si="14"/>
        <v>0</v>
      </c>
      <c r="M94" s="1078">
        <f t="shared" si="15"/>
        <v>2481</v>
      </c>
      <c r="N94" s="1078">
        <f t="shared" si="16"/>
        <v>0</v>
      </c>
      <c r="O94" s="1078">
        <f t="shared" si="17"/>
        <v>2481</v>
      </c>
    </row>
    <row r="95" spans="1:15" ht="15" customHeight="1">
      <c r="A95" s="1114"/>
      <c r="B95" s="1114"/>
      <c r="C95" s="1071" t="s">
        <v>19</v>
      </c>
      <c r="D95" s="934" t="s">
        <v>1197</v>
      </c>
      <c r="E95" s="981"/>
      <c r="F95" s="1080"/>
      <c r="G95" s="1078">
        <v>1257</v>
      </c>
      <c r="H95" s="1078">
        <v>0</v>
      </c>
      <c r="I95" s="1078">
        <v>1257</v>
      </c>
      <c r="J95" s="1078"/>
      <c r="K95" s="1078"/>
      <c r="L95" s="1078">
        <f t="shared" si="14"/>
        <v>0</v>
      </c>
      <c r="M95" s="1078">
        <f t="shared" si="15"/>
        <v>1257</v>
      </c>
      <c r="N95" s="1078">
        <f t="shared" si="16"/>
        <v>0</v>
      </c>
      <c r="O95" s="1078">
        <f t="shared" si="17"/>
        <v>1257</v>
      </c>
    </row>
    <row r="96" spans="1:15" ht="15" customHeight="1">
      <c r="A96" s="1114"/>
      <c r="B96" s="1114"/>
      <c r="C96" s="1071" t="s">
        <v>20</v>
      </c>
      <c r="D96" s="934" t="s">
        <v>1414</v>
      </c>
      <c r="E96" s="981"/>
      <c r="F96" s="1080"/>
      <c r="G96" s="1078">
        <v>6415</v>
      </c>
      <c r="H96" s="1078">
        <v>0</v>
      </c>
      <c r="I96" s="1078">
        <v>6415</v>
      </c>
      <c r="J96" s="1078"/>
      <c r="K96" s="1078"/>
      <c r="L96" s="1078">
        <f t="shared" si="14"/>
        <v>0</v>
      </c>
      <c r="M96" s="1078">
        <f t="shared" si="15"/>
        <v>6415</v>
      </c>
      <c r="N96" s="1078">
        <f t="shared" si="16"/>
        <v>0</v>
      </c>
      <c r="O96" s="1078">
        <f t="shared" si="17"/>
        <v>6415</v>
      </c>
    </row>
    <row r="97" spans="1:15" ht="15" customHeight="1">
      <c r="A97" s="1114"/>
      <c r="B97" s="1114"/>
      <c r="C97" s="1071" t="s">
        <v>21</v>
      </c>
      <c r="D97" s="934" t="s">
        <v>1580</v>
      </c>
      <c r="E97" s="981"/>
      <c r="F97" s="1080"/>
      <c r="G97" s="1078">
        <v>8323</v>
      </c>
      <c r="H97" s="1078">
        <v>0</v>
      </c>
      <c r="I97" s="1078">
        <v>8323</v>
      </c>
      <c r="J97" s="1078"/>
      <c r="K97" s="1078"/>
      <c r="L97" s="1078">
        <f t="shared" si="14"/>
        <v>0</v>
      </c>
      <c r="M97" s="1078">
        <f t="shared" si="15"/>
        <v>8323</v>
      </c>
      <c r="N97" s="1078">
        <f t="shared" si="16"/>
        <v>0</v>
      </c>
      <c r="O97" s="1078">
        <f t="shared" si="17"/>
        <v>8323</v>
      </c>
    </row>
    <row r="98" spans="1:15" ht="15" customHeight="1">
      <c r="A98" s="1114"/>
      <c r="B98" s="1114"/>
      <c r="C98" s="1071" t="s">
        <v>22</v>
      </c>
      <c r="D98" s="934" t="s">
        <v>1198</v>
      </c>
      <c r="E98" s="981"/>
      <c r="F98" s="1080"/>
      <c r="G98" s="1078">
        <v>2500</v>
      </c>
      <c r="H98" s="1078">
        <v>0</v>
      </c>
      <c r="I98" s="1078">
        <v>2500</v>
      </c>
      <c r="J98" s="1078"/>
      <c r="K98" s="1078"/>
      <c r="L98" s="1078">
        <f aca="true" t="shared" si="18" ref="L98:L129">SUM(J98:K98)</f>
        <v>0</v>
      </c>
      <c r="M98" s="1078">
        <f aca="true" t="shared" si="19" ref="M98:M125">SUM(G98+J98)</f>
        <v>2500</v>
      </c>
      <c r="N98" s="1078">
        <f aca="true" t="shared" si="20" ref="N98:N125">SUM(H98+K98)</f>
        <v>0</v>
      </c>
      <c r="O98" s="1078">
        <f aca="true" t="shared" si="21" ref="O98:O129">SUM(M98:N98)</f>
        <v>2500</v>
      </c>
    </row>
    <row r="99" spans="1:15" ht="15" customHeight="1">
      <c r="A99" s="1114"/>
      <c r="B99" s="1114"/>
      <c r="C99" s="1071" t="s">
        <v>23</v>
      </c>
      <c r="D99" s="934" t="s">
        <v>1200</v>
      </c>
      <c r="E99" s="981"/>
      <c r="F99" s="1080"/>
      <c r="G99" s="1078">
        <v>700</v>
      </c>
      <c r="H99" s="1078">
        <v>0</v>
      </c>
      <c r="I99" s="1078">
        <v>700</v>
      </c>
      <c r="J99" s="1078"/>
      <c r="K99" s="1078"/>
      <c r="L99" s="1078">
        <f t="shared" si="18"/>
        <v>0</v>
      </c>
      <c r="M99" s="1078">
        <f t="shared" si="19"/>
        <v>700</v>
      </c>
      <c r="N99" s="1078">
        <f t="shared" si="20"/>
        <v>0</v>
      </c>
      <c r="O99" s="1078">
        <f t="shared" si="21"/>
        <v>700</v>
      </c>
    </row>
    <row r="100" spans="1:15" ht="15" customHeight="1">
      <c r="A100" s="1114"/>
      <c r="B100" s="1114"/>
      <c r="C100" s="1071" t="s">
        <v>24</v>
      </c>
      <c r="D100" s="934" t="s">
        <v>1201</v>
      </c>
      <c r="E100" s="981"/>
      <c r="F100" s="1080"/>
      <c r="G100" s="1078">
        <v>0</v>
      </c>
      <c r="H100" s="1078">
        <v>0</v>
      </c>
      <c r="I100" s="1078">
        <v>0</v>
      </c>
      <c r="J100" s="1078"/>
      <c r="K100" s="1078"/>
      <c r="L100" s="1078">
        <f t="shared" si="18"/>
        <v>0</v>
      </c>
      <c r="M100" s="1078">
        <f t="shared" si="19"/>
        <v>0</v>
      </c>
      <c r="N100" s="1078">
        <f t="shared" si="20"/>
        <v>0</v>
      </c>
      <c r="O100" s="1078">
        <f t="shared" si="21"/>
        <v>0</v>
      </c>
    </row>
    <row r="101" spans="1:15" ht="15" customHeight="1">
      <c r="A101" s="1114"/>
      <c r="B101" s="1114"/>
      <c r="C101" s="1071" t="s">
        <v>25</v>
      </c>
      <c r="D101" s="934" t="s">
        <v>1415</v>
      </c>
      <c r="E101" s="981"/>
      <c r="F101" s="1080"/>
      <c r="G101" s="1078">
        <v>0</v>
      </c>
      <c r="H101" s="1078">
        <v>0</v>
      </c>
      <c r="I101" s="1078">
        <v>0</v>
      </c>
      <c r="J101" s="1078"/>
      <c r="K101" s="1078"/>
      <c r="L101" s="1078">
        <f t="shared" si="18"/>
        <v>0</v>
      </c>
      <c r="M101" s="1078">
        <f t="shared" si="19"/>
        <v>0</v>
      </c>
      <c r="N101" s="1078">
        <f t="shared" si="20"/>
        <v>0</v>
      </c>
      <c r="O101" s="1078">
        <f t="shared" si="21"/>
        <v>0</v>
      </c>
    </row>
    <row r="102" spans="1:15" ht="15" customHeight="1">
      <c r="A102" s="1114"/>
      <c r="B102" s="1114"/>
      <c r="C102" s="1071" t="s">
        <v>26</v>
      </c>
      <c r="D102" s="934" t="s">
        <v>1202</v>
      </c>
      <c r="E102" s="981"/>
      <c r="F102" s="1080"/>
      <c r="G102" s="1078">
        <v>3000</v>
      </c>
      <c r="H102" s="1078">
        <v>0</v>
      </c>
      <c r="I102" s="1078">
        <v>3000</v>
      </c>
      <c r="J102" s="1078"/>
      <c r="K102" s="1078"/>
      <c r="L102" s="1078">
        <f t="shared" si="18"/>
        <v>0</v>
      </c>
      <c r="M102" s="1078">
        <f t="shared" si="19"/>
        <v>3000</v>
      </c>
      <c r="N102" s="1078">
        <f t="shared" si="20"/>
        <v>0</v>
      </c>
      <c r="O102" s="1078">
        <f t="shared" si="21"/>
        <v>3000</v>
      </c>
    </row>
    <row r="103" spans="1:15" ht="15" customHeight="1">
      <c r="A103" s="1114"/>
      <c r="B103" s="1114"/>
      <c r="C103" s="1071" t="s">
        <v>27</v>
      </c>
      <c r="D103" s="934" t="s">
        <v>1203</v>
      </c>
      <c r="E103" s="981"/>
      <c r="F103" s="1080"/>
      <c r="G103" s="1078">
        <v>2000</v>
      </c>
      <c r="H103" s="1078">
        <v>0</v>
      </c>
      <c r="I103" s="1078">
        <v>2000</v>
      </c>
      <c r="J103" s="1078"/>
      <c r="K103" s="1078"/>
      <c r="L103" s="1078">
        <f t="shared" si="18"/>
        <v>0</v>
      </c>
      <c r="M103" s="1078">
        <f t="shared" si="19"/>
        <v>2000</v>
      </c>
      <c r="N103" s="1078">
        <f t="shared" si="20"/>
        <v>0</v>
      </c>
      <c r="O103" s="1078">
        <f t="shared" si="21"/>
        <v>2000</v>
      </c>
    </row>
    <row r="104" spans="1:15" ht="15" customHeight="1">
      <c r="A104" s="1114"/>
      <c r="B104" s="1114"/>
      <c r="C104" s="1071" t="s">
        <v>28</v>
      </c>
      <c r="D104" s="934" t="s">
        <v>1204</v>
      </c>
      <c r="E104" s="981"/>
      <c r="F104" s="1080"/>
      <c r="G104" s="1078">
        <v>1500</v>
      </c>
      <c r="H104" s="1078">
        <v>0</v>
      </c>
      <c r="I104" s="1078">
        <v>1500</v>
      </c>
      <c r="J104" s="1078"/>
      <c r="K104" s="1078"/>
      <c r="L104" s="1078">
        <f t="shared" si="18"/>
        <v>0</v>
      </c>
      <c r="M104" s="1078">
        <f t="shared" si="19"/>
        <v>1500</v>
      </c>
      <c r="N104" s="1078">
        <f t="shared" si="20"/>
        <v>0</v>
      </c>
      <c r="O104" s="1078">
        <f t="shared" si="21"/>
        <v>1500</v>
      </c>
    </row>
    <row r="105" spans="1:15" ht="24.75" customHeight="1">
      <c r="A105" s="1114"/>
      <c r="B105" s="1114"/>
      <c r="C105" s="1071" t="s">
        <v>501</v>
      </c>
      <c r="D105" s="934" t="s">
        <v>1205</v>
      </c>
      <c r="E105" s="981"/>
      <c r="F105" s="1080"/>
      <c r="G105" s="1078">
        <v>0</v>
      </c>
      <c r="H105" s="1078">
        <v>0</v>
      </c>
      <c r="I105" s="1078">
        <v>0</v>
      </c>
      <c r="J105" s="1078"/>
      <c r="K105" s="1078"/>
      <c r="L105" s="1078">
        <f t="shared" si="18"/>
        <v>0</v>
      </c>
      <c r="M105" s="1078">
        <f t="shared" si="19"/>
        <v>0</v>
      </c>
      <c r="N105" s="1078">
        <f t="shared" si="20"/>
        <v>0</v>
      </c>
      <c r="O105" s="1078">
        <f t="shared" si="21"/>
        <v>0</v>
      </c>
    </row>
    <row r="106" spans="1:15" ht="15" customHeight="1">
      <c r="A106" s="1114"/>
      <c r="B106" s="1114"/>
      <c r="C106" s="1071" t="s">
        <v>1206</v>
      </c>
      <c r="D106" s="947" t="s">
        <v>1212</v>
      </c>
      <c r="E106" s="981"/>
      <c r="F106" s="1080"/>
      <c r="G106" s="1078">
        <v>1000</v>
      </c>
      <c r="H106" s="1078">
        <v>0</v>
      </c>
      <c r="I106" s="1078">
        <v>1000</v>
      </c>
      <c r="J106" s="1078"/>
      <c r="K106" s="1078"/>
      <c r="L106" s="1078">
        <f t="shared" si="18"/>
        <v>0</v>
      </c>
      <c r="M106" s="1078">
        <f t="shared" si="19"/>
        <v>1000</v>
      </c>
      <c r="N106" s="1078">
        <f t="shared" si="20"/>
        <v>0</v>
      </c>
      <c r="O106" s="1078">
        <f t="shared" si="21"/>
        <v>1000</v>
      </c>
    </row>
    <row r="107" spans="1:15" ht="15" customHeight="1">
      <c r="A107" s="1114"/>
      <c r="B107" s="1114"/>
      <c r="C107" s="1071" t="s">
        <v>1207</v>
      </c>
      <c r="D107" s="947" t="s">
        <v>1581</v>
      </c>
      <c r="E107" s="981"/>
      <c r="F107" s="1080"/>
      <c r="G107" s="1078">
        <v>11692</v>
      </c>
      <c r="H107" s="1078">
        <v>0</v>
      </c>
      <c r="I107" s="1078">
        <v>11692</v>
      </c>
      <c r="J107" s="1078"/>
      <c r="K107" s="1078"/>
      <c r="L107" s="1078">
        <f t="shared" si="18"/>
        <v>0</v>
      </c>
      <c r="M107" s="1078">
        <f t="shared" si="19"/>
        <v>11692</v>
      </c>
      <c r="N107" s="1078">
        <f t="shared" si="20"/>
        <v>0</v>
      </c>
      <c r="O107" s="1078">
        <f t="shared" si="21"/>
        <v>11692</v>
      </c>
    </row>
    <row r="108" spans="1:15" ht="23.25" customHeight="1">
      <c r="A108" s="1114"/>
      <c r="B108" s="1114"/>
      <c r="C108" s="1071" t="s">
        <v>1208</v>
      </c>
      <c r="D108" s="1125" t="s">
        <v>1148</v>
      </c>
      <c r="E108" s="981"/>
      <c r="F108" s="1080"/>
      <c r="G108" s="1078">
        <v>13640</v>
      </c>
      <c r="H108" s="1078">
        <v>0</v>
      </c>
      <c r="I108" s="1078">
        <v>13640</v>
      </c>
      <c r="J108" s="1078"/>
      <c r="K108" s="1078"/>
      <c r="L108" s="1078">
        <f t="shared" si="18"/>
        <v>0</v>
      </c>
      <c r="M108" s="1078">
        <f t="shared" si="19"/>
        <v>13640</v>
      </c>
      <c r="N108" s="1078">
        <f t="shared" si="20"/>
        <v>0</v>
      </c>
      <c r="O108" s="1078">
        <f t="shared" si="21"/>
        <v>13640</v>
      </c>
    </row>
    <row r="109" spans="1:15" ht="15" customHeight="1">
      <c r="A109" s="1114"/>
      <c r="B109" s="1114"/>
      <c r="C109" s="1071" t="s">
        <v>1209</v>
      </c>
      <c r="D109" s="947" t="s">
        <v>1215</v>
      </c>
      <c r="E109" s="981"/>
      <c r="F109" s="1080"/>
      <c r="G109" s="1078">
        <v>3000</v>
      </c>
      <c r="H109" s="1078">
        <v>0</v>
      </c>
      <c r="I109" s="1078">
        <v>3000</v>
      </c>
      <c r="J109" s="1078"/>
      <c r="K109" s="1078"/>
      <c r="L109" s="1078">
        <f t="shared" si="18"/>
        <v>0</v>
      </c>
      <c r="M109" s="1078">
        <f t="shared" si="19"/>
        <v>3000</v>
      </c>
      <c r="N109" s="1078">
        <f t="shared" si="20"/>
        <v>0</v>
      </c>
      <c r="O109" s="1078">
        <f t="shared" si="21"/>
        <v>3000</v>
      </c>
    </row>
    <row r="110" spans="1:15" ht="15" customHeight="1">
      <c r="A110" s="1114"/>
      <c r="B110" s="1114"/>
      <c r="C110" s="1071" t="s">
        <v>1210</v>
      </c>
      <c r="D110" s="947" t="s">
        <v>1216</v>
      </c>
      <c r="E110" s="981"/>
      <c r="F110" s="1080"/>
      <c r="G110" s="1078">
        <v>6702</v>
      </c>
      <c r="H110" s="1078">
        <v>0</v>
      </c>
      <c r="I110" s="1078">
        <v>6702</v>
      </c>
      <c r="J110" s="1078"/>
      <c r="K110" s="1078"/>
      <c r="L110" s="1078">
        <f t="shared" si="18"/>
        <v>0</v>
      </c>
      <c r="M110" s="1078">
        <f t="shared" si="19"/>
        <v>6702</v>
      </c>
      <c r="N110" s="1078">
        <f t="shared" si="20"/>
        <v>0</v>
      </c>
      <c r="O110" s="1078">
        <f t="shared" si="21"/>
        <v>6702</v>
      </c>
    </row>
    <row r="111" spans="1:15" ht="15" customHeight="1">
      <c r="A111" s="1114"/>
      <c r="B111" s="1114"/>
      <c r="C111" s="1071" t="s">
        <v>1211</v>
      </c>
      <c r="D111" s="947" t="s">
        <v>1217</v>
      </c>
      <c r="E111" s="981"/>
      <c r="F111" s="1080"/>
      <c r="G111" s="1078">
        <v>997</v>
      </c>
      <c r="H111" s="1078">
        <v>0</v>
      </c>
      <c r="I111" s="1078">
        <v>997</v>
      </c>
      <c r="J111" s="1078"/>
      <c r="K111" s="1078"/>
      <c r="L111" s="1078">
        <f t="shared" si="18"/>
        <v>0</v>
      </c>
      <c r="M111" s="1078">
        <f t="shared" si="19"/>
        <v>997</v>
      </c>
      <c r="N111" s="1078">
        <f t="shared" si="20"/>
        <v>0</v>
      </c>
      <c r="O111" s="1078">
        <f t="shared" si="21"/>
        <v>997</v>
      </c>
    </row>
    <row r="112" spans="1:15" ht="15" customHeight="1">
      <c r="A112" s="1114"/>
      <c r="B112" s="1114"/>
      <c r="C112" s="1071" t="s">
        <v>95</v>
      </c>
      <c r="D112" s="947" t="s">
        <v>1218</v>
      </c>
      <c r="E112" s="981"/>
      <c r="F112" s="1080"/>
      <c r="G112" s="1078">
        <v>3114</v>
      </c>
      <c r="H112" s="1078">
        <v>0</v>
      </c>
      <c r="I112" s="1078">
        <v>3114</v>
      </c>
      <c r="J112" s="1078"/>
      <c r="K112" s="1078"/>
      <c r="L112" s="1078">
        <f t="shared" si="18"/>
        <v>0</v>
      </c>
      <c r="M112" s="1078">
        <f t="shared" si="19"/>
        <v>3114</v>
      </c>
      <c r="N112" s="1078">
        <f t="shared" si="20"/>
        <v>0</v>
      </c>
      <c r="O112" s="1078">
        <f t="shared" si="21"/>
        <v>3114</v>
      </c>
    </row>
    <row r="113" spans="1:15" ht="12.75" customHeight="1">
      <c r="A113" s="1114"/>
      <c r="B113" s="1114"/>
      <c r="C113" s="1071" t="s">
        <v>96</v>
      </c>
      <c r="D113" s="947" t="s">
        <v>88</v>
      </c>
      <c r="E113" s="981"/>
      <c r="F113" s="1080"/>
      <c r="G113" s="1078">
        <v>3086</v>
      </c>
      <c r="H113" s="1078">
        <v>0</v>
      </c>
      <c r="I113" s="1078">
        <v>3086</v>
      </c>
      <c r="J113" s="1078"/>
      <c r="K113" s="1078"/>
      <c r="L113" s="1078">
        <f t="shared" si="18"/>
        <v>0</v>
      </c>
      <c r="M113" s="1078">
        <f t="shared" si="19"/>
        <v>3086</v>
      </c>
      <c r="N113" s="1078">
        <f t="shared" si="20"/>
        <v>0</v>
      </c>
      <c r="O113" s="1078">
        <f t="shared" si="21"/>
        <v>3086</v>
      </c>
    </row>
    <row r="114" spans="1:15" ht="24.75" customHeight="1">
      <c r="A114" s="1114"/>
      <c r="B114" s="1114"/>
      <c r="C114" s="1071" t="s">
        <v>97</v>
      </c>
      <c r="D114" s="947" t="s">
        <v>1626</v>
      </c>
      <c r="E114" s="981"/>
      <c r="F114" s="1080"/>
      <c r="G114" s="1078">
        <v>6605</v>
      </c>
      <c r="H114" s="1078">
        <v>0</v>
      </c>
      <c r="I114" s="1078">
        <v>6605</v>
      </c>
      <c r="J114" s="1078"/>
      <c r="K114" s="1078"/>
      <c r="L114" s="1078">
        <f t="shared" si="18"/>
        <v>0</v>
      </c>
      <c r="M114" s="1078">
        <f t="shared" si="19"/>
        <v>6605</v>
      </c>
      <c r="N114" s="1078">
        <f t="shared" si="20"/>
        <v>0</v>
      </c>
      <c r="O114" s="1078">
        <f t="shared" si="21"/>
        <v>6605</v>
      </c>
    </row>
    <row r="115" spans="1:15" ht="15" customHeight="1">
      <c r="A115" s="1114"/>
      <c r="B115" s="1114"/>
      <c r="C115" s="1071" t="s">
        <v>711</v>
      </c>
      <c r="D115" s="947" t="s">
        <v>1582</v>
      </c>
      <c r="E115" s="981"/>
      <c r="F115" s="1080"/>
      <c r="G115" s="1078">
        <v>2540</v>
      </c>
      <c r="H115" s="1078">
        <v>0</v>
      </c>
      <c r="I115" s="1078">
        <v>2540</v>
      </c>
      <c r="J115" s="1078"/>
      <c r="K115" s="1078"/>
      <c r="L115" s="1078">
        <f t="shared" si="18"/>
        <v>0</v>
      </c>
      <c r="M115" s="1078">
        <f t="shared" si="19"/>
        <v>2540</v>
      </c>
      <c r="N115" s="1078">
        <f t="shared" si="20"/>
        <v>0</v>
      </c>
      <c r="O115" s="1078">
        <f t="shared" si="21"/>
        <v>2540</v>
      </c>
    </row>
    <row r="116" spans="1:15" ht="12.75" customHeight="1">
      <c r="A116" s="1114"/>
      <c r="B116" s="1114"/>
      <c r="C116" s="1071" t="s">
        <v>712</v>
      </c>
      <c r="D116" s="1126" t="s">
        <v>1219</v>
      </c>
      <c r="E116" s="981"/>
      <c r="F116" s="1080"/>
      <c r="G116" s="1078">
        <v>0</v>
      </c>
      <c r="H116" s="1078">
        <v>0</v>
      </c>
      <c r="I116" s="1078">
        <v>0</v>
      </c>
      <c r="J116" s="1078"/>
      <c r="K116" s="1078"/>
      <c r="L116" s="1078">
        <f t="shared" si="18"/>
        <v>0</v>
      </c>
      <c r="M116" s="1078">
        <f t="shared" si="19"/>
        <v>0</v>
      </c>
      <c r="N116" s="1078">
        <f t="shared" si="20"/>
        <v>0</v>
      </c>
      <c r="O116" s="1078">
        <f t="shared" si="21"/>
        <v>0</v>
      </c>
    </row>
    <row r="117" spans="1:15" ht="12.75" customHeight="1">
      <c r="A117" s="1114"/>
      <c r="B117" s="1114"/>
      <c r="C117" s="1071" t="s">
        <v>713</v>
      </c>
      <c r="D117" s="1126" t="s">
        <v>1220</v>
      </c>
      <c r="E117" s="981"/>
      <c r="F117" s="1080"/>
      <c r="G117" s="1078">
        <v>1746</v>
      </c>
      <c r="H117" s="1078">
        <v>0</v>
      </c>
      <c r="I117" s="1078">
        <v>1746</v>
      </c>
      <c r="J117" s="1078"/>
      <c r="K117" s="1078"/>
      <c r="L117" s="1078">
        <f t="shared" si="18"/>
        <v>0</v>
      </c>
      <c r="M117" s="1078">
        <f t="shared" si="19"/>
        <v>1746</v>
      </c>
      <c r="N117" s="1078">
        <f t="shared" si="20"/>
        <v>0</v>
      </c>
      <c r="O117" s="1078">
        <f t="shared" si="21"/>
        <v>1746</v>
      </c>
    </row>
    <row r="118" spans="1:15" ht="15" customHeight="1">
      <c r="A118" s="1114"/>
      <c r="B118" s="1114"/>
      <c r="C118" s="1071" t="s">
        <v>714</v>
      </c>
      <c r="D118" s="1125" t="s">
        <v>87</v>
      </c>
      <c r="E118" s="980"/>
      <c r="F118" s="1080"/>
      <c r="G118" s="1078">
        <v>11426</v>
      </c>
      <c r="H118" s="1078">
        <v>0</v>
      </c>
      <c r="I118" s="1078">
        <v>11426</v>
      </c>
      <c r="J118" s="1078"/>
      <c r="K118" s="1078"/>
      <c r="L118" s="1078">
        <f t="shared" si="18"/>
        <v>0</v>
      </c>
      <c r="M118" s="1078">
        <f t="shared" si="19"/>
        <v>11426</v>
      </c>
      <c r="N118" s="1078">
        <f t="shared" si="20"/>
        <v>0</v>
      </c>
      <c r="O118" s="1078">
        <f t="shared" si="21"/>
        <v>11426</v>
      </c>
    </row>
    <row r="119" spans="1:15" ht="24.75" customHeight="1">
      <c r="A119" s="1114"/>
      <c r="B119" s="1114"/>
      <c r="C119" s="1071" t="s">
        <v>715</v>
      </c>
      <c r="D119" s="947" t="s">
        <v>89</v>
      </c>
      <c r="E119" s="980"/>
      <c r="F119" s="1080"/>
      <c r="G119" s="1078">
        <v>2000</v>
      </c>
      <c r="H119" s="1078">
        <v>0</v>
      </c>
      <c r="I119" s="1078">
        <v>2000</v>
      </c>
      <c r="J119" s="1078"/>
      <c r="K119" s="1078"/>
      <c r="L119" s="1078">
        <f t="shared" si="18"/>
        <v>0</v>
      </c>
      <c r="M119" s="1078">
        <f t="shared" si="19"/>
        <v>2000</v>
      </c>
      <c r="N119" s="1078">
        <f t="shared" si="20"/>
        <v>0</v>
      </c>
      <c r="O119" s="1078">
        <f t="shared" si="21"/>
        <v>2000</v>
      </c>
    </row>
    <row r="120" spans="1:15" ht="15" customHeight="1">
      <c r="A120" s="1114"/>
      <c r="B120" s="1114"/>
      <c r="C120" s="1071" t="s">
        <v>716</v>
      </c>
      <c r="D120" s="947" t="s">
        <v>90</v>
      </c>
      <c r="E120" s="980"/>
      <c r="F120" s="1080"/>
      <c r="G120" s="1078">
        <v>5726</v>
      </c>
      <c r="H120" s="1078">
        <v>0</v>
      </c>
      <c r="I120" s="1078">
        <v>5726</v>
      </c>
      <c r="J120" s="1078"/>
      <c r="K120" s="1078"/>
      <c r="L120" s="1078">
        <f t="shared" si="18"/>
        <v>0</v>
      </c>
      <c r="M120" s="1078">
        <f t="shared" si="19"/>
        <v>5726</v>
      </c>
      <c r="N120" s="1078">
        <f t="shared" si="20"/>
        <v>0</v>
      </c>
      <c r="O120" s="1078">
        <f t="shared" si="21"/>
        <v>5726</v>
      </c>
    </row>
    <row r="121" spans="1:15" ht="15" customHeight="1">
      <c r="A121" s="1114"/>
      <c r="B121" s="1114"/>
      <c r="C121" s="1071" t="s">
        <v>717</v>
      </c>
      <c r="D121" s="947" t="s">
        <v>91</v>
      </c>
      <c r="E121" s="980"/>
      <c r="F121" s="1080"/>
      <c r="G121" s="1078">
        <v>0</v>
      </c>
      <c r="H121" s="1078">
        <v>0</v>
      </c>
      <c r="I121" s="1078">
        <v>0</v>
      </c>
      <c r="J121" s="1078"/>
      <c r="K121" s="1078"/>
      <c r="L121" s="1078">
        <f t="shared" si="18"/>
        <v>0</v>
      </c>
      <c r="M121" s="1078">
        <f t="shared" si="19"/>
        <v>0</v>
      </c>
      <c r="N121" s="1078">
        <f t="shared" si="20"/>
        <v>0</v>
      </c>
      <c r="O121" s="1078">
        <f t="shared" si="21"/>
        <v>0</v>
      </c>
    </row>
    <row r="122" spans="1:15" ht="15" customHeight="1">
      <c r="A122" s="1114"/>
      <c r="B122" s="1114"/>
      <c r="C122" s="1071" t="s">
        <v>718</v>
      </c>
      <c r="D122" s="947" t="s">
        <v>92</v>
      </c>
      <c r="E122" s="980"/>
      <c r="F122" s="1080"/>
      <c r="G122" s="1078">
        <v>18</v>
      </c>
      <c r="H122" s="1078">
        <v>0</v>
      </c>
      <c r="I122" s="1078">
        <v>18</v>
      </c>
      <c r="J122" s="1078"/>
      <c r="K122" s="1078"/>
      <c r="L122" s="1078">
        <f t="shared" si="18"/>
        <v>0</v>
      </c>
      <c r="M122" s="1078">
        <f t="shared" si="19"/>
        <v>18</v>
      </c>
      <c r="N122" s="1078">
        <f t="shared" si="20"/>
        <v>0</v>
      </c>
      <c r="O122" s="1078">
        <f t="shared" si="21"/>
        <v>18</v>
      </c>
    </row>
    <row r="123" spans="1:15" ht="15" customHeight="1">
      <c r="A123" s="1114"/>
      <c r="B123" s="1114"/>
      <c r="C123" s="1071" t="s">
        <v>719</v>
      </c>
      <c r="D123" s="947" t="s">
        <v>93</v>
      </c>
      <c r="E123" s="980"/>
      <c r="F123" s="1080"/>
      <c r="G123" s="1078">
        <v>3000</v>
      </c>
      <c r="H123" s="1078">
        <v>0</v>
      </c>
      <c r="I123" s="1078">
        <v>3000</v>
      </c>
      <c r="J123" s="1078"/>
      <c r="K123" s="1078"/>
      <c r="L123" s="1078">
        <f t="shared" si="18"/>
        <v>0</v>
      </c>
      <c r="M123" s="1078">
        <f t="shared" si="19"/>
        <v>3000</v>
      </c>
      <c r="N123" s="1078">
        <f t="shared" si="20"/>
        <v>0</v>
      </c>
      <c r="O123" s="1078">
        <f t="shared" si="21"/>
        <v>3000</v>
      </c>
    </row>
    <row r="124" spans="1:15" ht="15" customHeight="1">
      <c r="A124" s="1114"/>
      <c r="B124" s="1114"/>
      <c r="C124" s="1071" t="s">
        <v>720</v>
      </c>
      <c r="D124" s="947" t="s">
        <v>1573</v>
      </c>
      <c r="E124" s="980"/>
      <c r="F124" s="1080"/>
      <c r="G124" s="1078">
        <v>2369</v>
      </c>
      <c r="H124" s="1078">
        <v>0</v>
      </c>
      <c r="I124" s="1078">
        <v>2369</v>
      </c>
      <c r="J124" s="1078"/>
      <c r="K124" s="1078"/>
      <c r="L124" s="1078">
        <f t="shared" si="18"/>
        <v>0</v>
      </c>
      <c r="M124" s="1078">
        <f t="shared" si="19"/>
        <v>2369</v>
      </c>
      <c r="N124" s="1078">
        <f t="shared" si="20"/>
        <v>0</v>
      </c>
      <c r="O124" s="1078">
        <f t="shared" si="21"/>
        <v>2369</v>
      </c>
    </row>
    <row r="125" spans="1:15" ht="15" customHeight="1">
      <c r="A125" s="1114"/>
      <c r="B125" s="1114"/>
      <c r="C125" s="1071" t="s">
        <v>721</v>
      </c>
      <c r="D125" s="1127" t="s">
        <v>94</v>
      </c>
      <c r="E125" s="980"/>
      <c r="F125" s="1080"/>
      <c r="G125" s="1078">
        <v>1052</v>
      </c>
      <c r="H125" s="1078">
        <v>0</v>
      </c>
      <c r="I125" s="1078">
        <v>1052</v>
      </c>
      <c r="J125" s="1078"/>
      <c r="K125" s="1078"/>
      <c r="L125" s="1078">
        <f t="shared" si="18"/>
        <v>0</v>
      </c>
      <c r="M125" s="1078">
        <f t="shared" si="19"/>
        <v>1052</v>
      </c>
      <c r="N125" s="1078">
        <f t="shared" si="20"/>
        <v>0</v>
      </c>
      <c r="O125" s="1078">
        <f t="shared" si="21"/>
        <v>1052</v>
      </c>
    </row>
    <row r="126" spans="1:15" ht="15" customHeight="1">
      <c r="A126" s="1114"/>
      <c r="B126" s="1114"/>
      <c r="C126" s="1071" t="s">
        <v>641</v>
      </c>
      <c r="D126" s="1127" t="s">
        <v>642</v>
      </c>
      <c r="E126" s="980"/>
      <c r="F126" s="1080"/>
      <c r="G126" s="1078">
        <v>12346</v>
      </c>
      <c r="H126" s="1078"/>
      <c r="I126" s="1078">
        <v>12346</v>
      </c>
      <c r="J126" s="1078"/>
      <c r="K126" s="1078"/>
      <c r="L126" s="1078">
        <f t="shared" si="18"/>
        <v>0</v>
      </c>
      <c r="M126" s="1078">
        <f aca="true" t="shared" si="22" ref="M126:M147">SUM(G126+J126)</f>
        <v>12346</v>
      </c>
      <c r="N126" s="1078"/>
      <c r="O126" s="1078">
        <f t="shared" si="21"/>
        <v>12346</v>
      </c>
    </row>
    <row r="127" spans="1:15" ht="15" customHeight="1">
      <c r="A127" s="1114"/>
      <c r="B127" s="1114"/>
      <c r="C127" s="1071" t="s">
        <v>529</v>
      </c>
      <c r="D127" s="1128" t="s">
        <v>530</v>
      </c>
      <c r="E127" s="980"/>
      <c r="F127" s="1080"/>
      <c r="G127" s="1078">
        <v>1408</v>
      </c>
      <c r="H127" s="1078"/>
      <c r="I127" s="1078">
        <v>1408</v>
      </c>
      <c r="J127" s="1078"/>
      <c r="K127" s="1078"/>
      <c r="L127" s="1078">
        <f t="shared" si="18"/>
        <v>0</v>
      </c>
      <c r="M127" s="1078">
        <f t="shared" si="22"/>
        <v>1408</v>
      </c>
      <c r="N127" s="1078"/>
      <c r="O127" s="1078">
        <f t="shared" si="21"/>
        <v>1408</v>
      </c>
    </row>
    <row r="128" spans="1:15" ht="15" customHeight="1">
      <c r="A128" s="1114"/>
      <c r="B128" s="1114"/>
      <c r="C128" s="1071" t="s">
        <v>531</v>
      </c>
      <c r="D128" s="1128" t="s">
        <v>532</v>
      </c>
      <c r="E128" s="980"/>
      <c r="F128" s="1080"/>
      <c r="G128" s="1078">
        <v>0</v>
      </c>
      <c r="H128" s="1078"/>
      <c r="I128" s="1078">
        <v>0</v>
      </c>
      <c r="J128" s="1078"/>
      <c r="K128" s="1078"/>
      <c r="L128" s="1078">
        <f t="shared" si="18"/>
        <v>0</v>
      </c>
      <c r="M128" s="1078">
        <f t="shared" si="22"/>
        <v>0</v>
      </c>
      <c r="N128" s="1078"/>
      <c r="O128" s="1078">
        <f t="shared" si="21"/>
        <v>0</v>
      </c>
    </row>
    <row r="129" spans="1:15" ht="15" customHeight="1">
      <c r="A129" s="1114"/>
      <c r="B129" s="1114"/>
      <c r="C129" s="1071" t="s">
        <v>533</v>
      </c>
      <c r="D129" s="1128" t="s">
        <v>534</v>
      </c>
      <c r="E129" s="980"/>
      <c r="F129" s="1080"/>
      <c r="G129" s="1078">
        <v>1500</v>
      </c>
      <c r="H129" s="1078"/>
      <c r="I129" s="1078">
        <v>1500</v>
      </c>
      <c r="J129" s="1078"/>
      <c r="K129" s="1078"/>
      <c r="L129" s="1078">
        <f t="shared" si="18"/>
        <v>0</v>
      </c>
      <c r="M129" s="1078">
        <f t="shared" si="22"/>
        <v>1500</v>
      </c>
      <c r="N129" s="1078"/>
      <c r="O129" s="1078">
        <f t="shared" si="21"/>
        <v>1500</v>
      </c>
    </row>
    <row r="130" spans="1:15" ht="15" customHeight="1">
      <c r="A130" s="1114"/>
      <c r="B130" s="1114"/>
      <c r="C130" s="1071" t="s">
        <v>535</v>
      </c>
      <c r="D130" s="1128" t="s">
        <v>536</v>
      </c>
      <c r="E130" s="980"/>
      <c r="F130" s="1080"/>
      <c r="G130" s="1078">
        <v>1645</v>
      </c>
      <c r="H130" s="1078"/>
      <c r="I130" s="1078">
        <v>1645</v>
      </c>
      <c r="J130" s="1078"/>
      <c r="K130" s="1078"/>
      <c r="L130" s="1078">
        <f aca="true" t="shared" si="23" ref="L130:L161">SUM(J130:K130)</f>
        <v>0</v>
      </c>
      <c r="M130" s="1078">
        <f t="shared" si="22"/>
        <v>1645</v>
      </c>
      <c r="N130" s="1078"/>
      <c r="O130" s="1078">
        <f aca="true" t="shared" si="24" ref="O130:O161">SUM(M130:N130)</f>
        <v>1645</v>
      </c>
    </row>
    <row r="131" spans="1:15" ht="15" customHeight="1">
      <c r="A131" s="1114"/>
      <c r="B131" s="1114"/>
      <c r="C131" s="1071" t="s">
        <v>537</v>
      </c>
      <c r="D131" s="1128" t="s">
        <v>538</v>
      </c>
      <c r="E131" s="980"/>
      <c r="F131" s="1080"/>
      <c r="G131" s="1078">
        <v>4831</v>
      </c>
      <c r="H131" s="1078"/>
      <c r="I131" s="1078">
        <v>4831</v>
      </c>
      <c r="J131" s="1078"/>
      <c r="K131" s="1078"/>
      <c r="L131" s="1078">
        <f t="shared" si="23"/>
        <v>0</v>
      </c>
      <c r="M131" s="1078">
        <f t="shared" si="22"/>
        <v>4831</v>
      </c>
      <c r="N131" s="1078"/>
      <c r="O131" s="1078">
        <f t="shared" si="24"/>
        <v>4831</v>
      </c>
    </row>
    <row r="132" spans="1:15" ht="15" customHeight="1">
      <c r="A132" s="1114"/>
      <c r="B132" s="1114"/>
      <c r="C132" s="1071" t="s">
        <v>539</v>
      </c>
      <c r="D132" s="1128" t="s">
        <v>540</v>
      </c>
      <c r="E132" s="980"/>
      <c r="F132" s="1080"/>
      <c r="G132" s="1078">
        <v>13081</v>
      </c>
      <c r="H132" s="1078"/>
      <c r="I132" s="1078">
        <v>13081</v>
      </c>
      <c r="J132" s="1078"/>
      <c r="K132" s="1078"/>
      <c r="L132" s="1078">
        <f t="shared" si="23"/>
        <v>0</v>
      </c>
      <c r="M132" s="1078">
        <f t="shared" si="22"/>
        <v>13081</v>
      </c>
      <c r="N132" s="1078"/>
      <c r="O132" s="1078">
        <f t="shared" si="24"/>
        <v>13081</v>
      </c>
    </row>
    <row r="133" spans="1:15" ht="15" customHeight="1">
      <c r="A133" s="1114"/>
      <c r="B133" s="1114"/>
      <c r="C133" s="1071" t="s">
        <v>1033</v>
      </c>
      <c r="D133" s="1128" t="s">
        <v>1034</v>
      </c>
      <c r="E133" s="980"/>
      <c r="F133" s="1080"/>
      <c r="G133" s="1078">
        <v>2000</v>
      </c>
      <c r="H133" s="1078"/>
      <c r="I133" s="1078">
        <v>2000</v>
      </c>
      <c r="J133" s="1078"/>
      <c r="K133" s="1078"/>
      <c r="L133" s="1078">
        <f t="shared" si="23"/>
        <v>0</v>
      </c>
      <c r="M133" s="1078">
        <f t="shared" si="22"/>
        <v>2000</v>
      </c>
      <c r="N133" s="1078"/>
      <c r="O133" s="1078">
        <f t="shared" si="24"/>
        <v>2000</v>
      </c>
    </row>
    <row r="134" spans="1:15" ht="15" customHeight="1">
      <c r="A134" s="1114"/>
      <c r="B134" s="1114"/>
      <c r="C134" s="1071" t="s">
        <v>1035</v>
      </c>
      <c r="D134" s="947" t="s">
        <v>1788</v>
      </c>
      <c r="E134" s="980"/>
      <c r="F134" s="1080"/>
      <c r="G134" s="1078">
        <v>3023</v>
      </c>
      <c r="H134" s="1078"/>
      <c r="I134" s="1078">
        <v>3023</v>
      </c>
      <c r="J134" s="1078"/>
      <c r="K134" s="1078"/>
      <c r="L134" s="1078">
        <f t="shared" si="23"/>
        <v>0</v>
      </c>
      <c r="M134" s="1078">
        <f t="shared" si="22"/>
        <v>3023</v>
      </c>
      <c r="N134" s="1078"/>
      <c r="O134" s="1078">
        <f t="shared" si="24"/>
        <v>3023</v>
      </c>
    </row>
    <row r="135" spans="1:15" ht="12.75" customHeight="1">
      <c r="A135" s="1114"/>
      <c r="B135" s="1114"/>
      <c r="C135" s="1114"/>
      <c r="D135" s="1129" t="s">
        <v>1717</v>
      </c>
      <c r="E135" s="980"/>
      <c r="F135" s="1080"/>
      <c r="G135" s="1078">
        <v>0</v>
      </c>
      <c r="H135" s="1078">
        <v>0</v>
      </c>
      <c r="I135" s="1078">
        <v>0</v>
      </c>
      <c r="J135" s="1078"/>
      <c r="K135" s="1078"/>
      <c r="L135" s="1078">
        <f t="shared" si="23"/>
        <v>0</v>
      </c>
      <c r="M135" s="1078">
        <f t="shared" si="22"/>
        <v>0</v>
      </c>
      <c r="N135" s="1078">
        <f aca="true" t="shared" si="25" ref="N135:N147">SUM(H135+K135)</f>
        <v>0</v>
      </c>
      <c r="O135" s="1078">
        <f t="shared" si="24"/>
        <v>0</v>
      </c>
    </row>
    <row r="136" spans="1:15" ht="12.75" customHeight="1">
      <c r="A136" s="1114"/>
      <c r="B136" s="1114"/>
      <c r="C136" s="1071" t="s">
        <v>32</v>
      </c>
      <c r="D136" s="1125" t="s">
        <v>1836</v>
      </c>
      <c r="E136" s="980"/>
      <c r="F136" s="1080"/>
      <c r="G136" s="1078">
        <v>0</v>
      </c>
      <c r="H136" s="1078">
        <v>0</v>
      </c>
      <c r="I136" s="1078">
        <v>0</v>
      </c>
      <c r="J136" s="1078"/>
      <c r="K136" s="1078"/>
      <c r="L136" s="1078">
        <f t="shared" si="23"/>
        <v>0</v>
      </c>
      <c r="M136" s="1078">
        <f t="shared" si="22"/>
        <v>0</v>
      </c>
      <c r="N136" s="1078">
        <f t="shared" si="25"/>
        <v>0</v>
      </c>
      <c r="O136" s="1078">
        <f t="shared" si="24"/>
        <v>0</v>
      </c>
    </row>
    <row r="137" spans="1:15" ht="12.75" customHeight="1">
      <c r="A137" s="1114"/>
      <c r="B137" s="1114"/>
      <c r="C137" s="1071" t="s">
        <v>33</v>
      </c>
      <c r="D137" s="1125" t="s">
        <v>1627</v>
      </c>
      <c r="E137" s="980"/>
      <c r="F137" s="1080"/>
      <c r="G137" s="1078">
        <v>0</v>
      </c>
      <c r="H137" s="1078">
        <v>0</v>
      </c>
      <c r="I137" s="1078">
        <v>0</v>
      </c>
      <c r="J137" s="1078"/>
      <c r="K137" s="1078"/>
      <c r="L137" s="1078">
        <f t="shared" si="23"/>
        <v>0</v>
      </c>
      <c r="M137" s="1078">
        <f t="shared" si="22"/>
        <v>0</v>
      </c>
      <c r="N137" s="1078">
        <f t="shared" si="25"/>
        <v>0</v>
      </c>
      <c r="O137" s="1078">
        <f t="shared" si="24"/>
        <v>0</v>
      </c>
    </row>
    <row r="138" spans="1:15" ht="15" customHeight="1">
      <c r="A138" s="1114"/>
      <c r="B138" s="1114"/>
      <c r="C138" s="1071" t="s">
        <v>34</v>
      </c>
      <c r="D138" s="1125" t="s">
        <v>1837</v>
      </c>
      <c r="E138" s="980"/>
      <c r="F138" s="1080"/>
      <c r="G138" s="1078">
        <v>3925</v>
      </c>
      <c r="H138" s="1078">
        <v>0</v>
      </c>
      <c r="I138" s="1078">
        <v>3925</v>
      </c>
      <c r="J138" s="1078"/>
      <c r="K138" s="1078"/>
      <c r="L138" s="1078">
        <f t="shared" si="23"/>
        <v>0</v>
      </c>
      <c r="M138" s="1078">
        <f t="shared" si="22"/>
        <v>3925</v>
      </c>
      <c r="N138" s="1078">
        <f t="shared" si="25"/>
        <v>0</v>
      </c>
      <c r="O138" s="1078">
        <f t="shared" si="24"/>
        <v>3925</v>
      </c>
    </row>
    <row r="139" spans="1:15" ht="12.75" customHeight="1">
      <c r="A139" s="1114"/>
      <c r="B139" s="1114"/>
      <c r="C139" s="1071" t="s">
        <v>1525</v>
      </c>
      <c r="D139" s="1130" t="s">
        <v>1838</v>
      </c>
      <c r="E139" s="980"/>
      <c r="F139" s="1080"/>
      <c r="G139" s="1078">
        <v>19228</v>
      </c>
      <c r="H139" s="1078">
        <v>0</v>
      </c>
      <c r="I139" s="1078">
        <v>19228</v>
      </c>
      <c r="J139" s="1078"/>
      <c r="K139" s="1078"/>
      <c r="L139" s="1078">
        <f t="shared" si="23"/>
        <v>0</v>
      </c>
      <c r="M139" s="1078">
        <f t="shared" si="22"/>
        <v>19228</v>
      </c>
      <c r="N139" s="1078">
        <f t="shared" si="25"/>
        <v>0</v>
      </c>
      <c r="O139" s="1078">
        <f t="shared" si="24"/>
        <v>19228</v>
      </c>
    </row>
    <row r="140" spans="1:15" ht="24.75" customHeight="1">
      <c r="A140" s="1114"/>
      <c r="B140" s="1114"/>
      <c r="C140" s="1071" t="s">
        <v>1526</v>
      </c>
      <c r="D140" s="1131" t="s">
        <v>1839</v>
      </c>
      <c r="E140" s="980"/>
      <c r="F140" s="1080"/>
      <c r="G140" s="1078">
        <v>629</v>
      </c>
      <c r="H140" s="1078">
        <v>0</v>
      </c>
      <c r="I140" s="1078">
        <v>629</v>
      </c>
      <c r="J140" s="1078"/>
      <c r="K140" s="1078"/>
      <c r="L140" s="1078">
        <f t="shared" si="23"/>
        <v>0</v>
      </c>
      <c r="M140" s="1078">
        <f t="shared" si="22"/>
        <v>629</v>
      </c>
      <c r="N140" s="1078">
        <f t="shared" si="25"/>
        <v>0</v>
      </c>
      <c r="O140" s="1078">
        <f t="shared" si="24"/>
        <v>629</v>
      </c>
    </row>
    <row r="141" spans="1:15" ht="12.75" customHeight="1">
      <c r="A141" s="1114"/>
      <c r="B141" s="1114"/>
      <c r="C141" s="1071" t="s">
        <v>1527</v>
      </c>
      <c r="D141" s="1132" t="s">
        <v>1840</v>
      </c>
      <c r="E141" s="980"/>
      <c r="F141" s="1080"/>
      <c r="G141" s="1078">
        <v>11281</v>
      </c>
      <c r="H141" s="1078">
        <v>0</v>
      </c>
      <c r="I141" s="1078">
        <v>11281</v>
      </c>
      <c r="J141" s="1078"/>
      <c r="K141" s="1078"/>
      <c r="L141" s="1078">
        <f t="shared" si="23"/>
        <v>0</v>
      </c>
      <c r="M141" s="1078">
        <f t="shared" si="22"/>
        <v>11281</v>
      </c>
      <c r="N141" s="1078">
        <f t="shared" si="25"/>
        <v>0</v>
      </c>
      <c r="O141" s="1078">
        <f t="shared" si="24"/>
        <v>11281</v>
      </c>
    </row>
    <row r="142" spans="1:15" ht="12.75" customHeight="1">
      <c r="A142" s="1114"/>
      <c r="B142" s="1114"/>
      <c r="C142" s="1071" t="s">
        <v>1536</v>
      </c>
      <c r="D142" s="1125" t="s">
        <v>1149</v>
      </c>
      <c r="E142" s="980"/>
      <c r="F142" s="1080"/>
      <c r="G142" s="1078">
        <v>387</v>
      </c>
      <c r="H142" s="1078">
        <v>0</v>
      </c>
      <c r="I142" s="1078">
        <v>387</v>
      </c>
      <c r="J142" s="1078"/>
      <c r="K142" s="1078"/>
      <c r="L142" s="1078">
        <f t="shared" si="23"/>
        <v>0</v>
      </c>
      <c r="M142" s="1078">
        <f t="shared" si="22"/>
        <v>387</v>
      </c>
      <c r="N142" s="1078">
        <f t="shared" si="25"/>
        <v>0</v>
      </c>
      <c r="O142" s="1078">
        <f t="shared" si="24"/>
        <v>387</v>
      </c>
    </row>
    <row r="143" spans="1:15" ht="12.75" customHeight="1">
      <c r="A143" s="1114"/>
      <c r="B143" s="1114"/>
      <c r="C143" s="1071" t="s">
        <v>1537</v>
      </c>
      <c r="D143" s="1125" t="s">
        <v>1841</v>
      </c>
      <c r="E143" s="980"/>
      <c r="F143" s="1080"/>
      <c r="G143" s="1078">
        <v>2000</v>
      </c>
      <c r="H143" s="1078">
        <v>0</v>
      </c>
      <c r="I143" s="1078">
        <v>2000</v>
      </c>
      <c r="J143" s="1078"/>
      <c r="K143" s="1078"/>
      <c r="L143" s="1078">
        <f t="shared" si="23"/>
        <v>0</v>
      </c>
      <c r="M143" s="1078">
        <f t="shared" si="22"/>
        <v>2000</v>
      </c>
      <c r="N143" s="1078">
        <f t="shared" si="25"/>
        <v>0</v>
      </c>
      <c r="O143" s="1078">
        <f t="shared" si="24"/>
        <v>2000</v>
      </c>
    </row>
    <row r="144" spans="1:15" ht="12.75" customHeight="1">
      <c r="A144" s="1114"/>
      <c r="B144" s="1114"/>
      <c r="C144" s="1071" t="s">
        <v>1538</v>
      </c>
      <c r="D144" s="1125" t="s">
        <v>1842</v>
      </c>
      <c r="E144" s="980"/>
      <c r="F144" s="1080"/>
      <c r="G144" s="1078">
        <v>1317</v>
      </c>
      <c r="H144" s="1078">
        <v>0</v>
      </c>
      <c r="I144" s="1078">
        <v>1317</v>
      </c>
      <c r="J144" s="1078"/>
      <c r="K144" s="1078"/>
      <c r="L144" s="1078">
        <f t="shared" si="23"/>
        <v>0</v>
      </c>
      <c r="M144" s="1078">
        <f t="shared" si="22"/>
        <v>1317</v>
      </c>
      <c r="N144" s="1078">
        <f t="shared" si="25"/>
        <v>0</v>
      </c>
      <c r="O144" s="1078">
        <f t="shared" si="24"/>
        <v>1317</v>
      </c>
    </row>
    <row r="145" spans="1:15" ht="15" customHeight="1">
      <c r="A145" s="1114"/>
      <c r="B145" s="1114"/>
      <c r="C145" s="1071" t="s">
        <v>1539</v>
      </c>
      <c r="D145" s="1133" t="s">
        <v>1843</v>
      </c>
      <c r="E145" s="980"/>
      <c r="F145" s="1080"/>
      <c r="G145" s="1078">
        <v>0</v>
      </c>
      <c r="H145" s="1078">
        <v>0</v>
      </c>
      <c r="I145" s="1078">
        <v>0</v>
      </c>
      <c r="J145" s="1078"/>
      <c r="K145" s="1078"/>
      <c r="L145" s="1078">
        <f t="shared" si="23"/>
        <v>0</v>
      </c>
      <c r="M145" s="1078">
        <f t="shared" si="22"/>
        <v>0</v>
      </c>
      <c r="N145" s="1078">
        <f t="shared" si="25"/>
        <v>0</v>
      </c>
      <c r="O145" s="1078">
        <f t="shared" si="24"/>
        <v>0</v>
      </c>
    </row>
    <row r="146" spans="1:15" ht="24.75" customHeight="1">
      <c r="A146" s="1114"/>
      <c r="B146" s="1114"/>
      <c r="C146" s="1071" t="s">
        <v>1540</v>
      </c>
      <c r="D146" s="1134" t="s">
        <v>1416</v>
      </c>
      <c r="E146" s="980"/>
      <c r="F146" s="1080"/>
      <c r="G146" s="1078">
        <v>0</v>
      </c>
      <c r="H146" s="1078">
        <v>0</v>
      </c>
      <c r="I146" s="1078">
        <v>0</v>
      </c>
      <c r="J146" s="1078"/>
      <c r="K146" s="1078"/>
      <c r="L146" s="1078">
        <f t="shared" si="23"/>
        <v>0</v>
      </c>
      <c r="M146" s="1078">
        <f t="shared" si="22"/>
        <v>0</v>
      </c>
      <c r="N146" s="1078">
        <f t="shared" si="25"/>
        <v>0</v>
      </c>
      <c r="O146" s="1078">
        <f t="shared" si="24"/>
        <v>0</v>
      </c>
    </row>
    <row r="147" spans="1:15" ht="12.75" customHeight="1">
      <c r="A147" s="1114"/>
      <c r="B147" s="1114"/>
      <c r="C147" s="1071" t="s">
        <v>1541</v>
      </c>
      <c r="D147" s="1134" t="s">
        <v>1844</v>
      </c>
      <c r="E147" s="980"/>
      <c r="F147" s="1080"/>
      <c r="G147" s="1078">
        <v>0</v>
      </c>
      <c r="H147" s="1078">
        <v>0</v>
      </c>
      <c r="I147" s="1078">
        <v>0</v>
      </c>
      <c r="J147" s="1078"/>
      <c r="K147" s="1078"/>
      <c r="L147" s="1078">
        <f t="shared" si="23"/>
        <v>0</v>
      </c>
      <c r="M147" s="1078">
        <f t="shared" si="22"/>
        <v>0</v>
      </c>
      <c r="N147" s="1078">
        <f t="shared" si="25"/>
        <v>0</v>
      </c>
      <c r="O147" s="1078">
        <f t="shared" si="24"/>
        <v>0</v>
      </c>
    </row>
    <row r="148" spans="1:15" ht="12.75" customHeight="1">
      <c r="A148" s="1114"/>
      <c r="B148" s="1114"/>
      <c r="C148" s="937" t="s">
        <v>1387</v>
      </c>
      <c r="D148" s="938" t="s">
        <v>43</v>
      </c>
      <c r="E148" s="1135"/>
      <c r="F148" s="962"/>
      <c r="G148" s="1078"/>
      <c r="H148" s="1078"/>
      <c r="I148" s="1078"/>
      <c r="J148" s="1078"/>
      <c r="K148" s="1078"/>
      <c r="L148" s="1078"/>
      <c r="M148" s="1078"/>
      <c r="N148" s="1078"/>
      <c r="O148" s="1078"/>
    </row>
    <row r="149" spans="1:15" ht="12.75" customHeight="1">
      <c r="A149" s="1114"/>
      <c r="B149" s="1114"/>
      <c r="C149" s="944" t="s">
        <v>1384</v>
      </c>
      <c r="D149" s="979" t="s">
        <v>218</v>
      </c>
      <c r="E149" s="1135"/>
      <c r="F149" s="962"/>
      <c r="G149" s="1078">
        <v>0</v>
      </c>
      <c r="H149" s="1078">
        <v>0</v>
      </c>
      <c r="I149" s="1078">
        <v>0</v>
      </c>
      <c r="J149" s="1078"/>
      <c r="K149" s="1078"/>
      <c r="L149" s="1078">
        <f aca="true" t="shared" si="26" ref="L149:L158">SUM(J149:K149)</f>
        <v>0</v>
      </c>
      <c r="M149" s="1078">
        <f aca="true" t="shared" si="27" ref="M149:M158">SUM(G149+J149)</f>
        <v>0</v>
      </c>
      <c r="N149" s="1078">
        <f aca="true" t="shared" si="28" ref="N149:N158">SUM(H149+K149)</f>
        <v>0</v>
      </c>
      <c r="O149" s="1078">
        <f aca="true" t="shared" si="29" ref="O149:O158">SUM(M149:N149)</f>
        <v>0</v>
      </c>
    </row>
    <row r="150" spans="1:15" ht="12.75" customHeight="1">
      <c r="A150" s="1114"/>
      <c r="B150" s="1114"/>
      <c r="C150" s="944" t="s">
        <v>29</v>
      </c>
      <c r="D150" s="979" t="s">
        <v>225</v>
      </c>
      <c r="E150" s="1135"/>
      <c r="F150" s="962"/>
      <c r="G150" s="1078">
        <v>0</v>
      </c>
      <c r="H150" s="1078">
        <v>0</v>
      </c>
      <c r="I150" s="1078">
        <v>0</v>
      </c>
      <c r="J150" s="1078"/>
      <c r="K150" s="1078"/>
      <c r="L150" s="1078">
        <f t="shared" si="26"/>
        <v>0</v>
      </c>
      <c r="M150" s="1078">
        <f t="shared" si="27"/>
        <v>0</v>
      </c>
      <c r="N150" s="1078">
        <f t="shared" si="28"/>
        <v>0</v>
      </c>
      <c r="O150" s="1078">
        <f t="shared" si="29"/>
        <v>0</v>
      </c>
    </row>
    <row r="151" spans="1:15" ht="12.75" customHeight="1">
      <c r="A151" s="1114"/>
      <c r="B151" s="1114"/>
      <c r="C151" s="944" t="s">
        <v>30</v>
      </c>
      <c r="D151" s="979" t="s">
        <v>221</v>
      </c>
      <c r="E151" s="1135"/>
      <c r="F151" s="962" t="s">
        <v>606</v>
      </c>
      <c r="G151" s="1078">
        <v>455</v>
      </c>
      <c r="H151" s="1078">
        <v>0</v>
      </c>
      <c r="I151" s="1078">
        <v>455</v>
      </c>
      <c r="J151" s="1078">
        <v>-95</v>
      </c>
      <c r="K151" s="1078"/>
      <c r="L151" s="1078">
        <f t="shared" si="26"/>
        <v>-95</v>
      </c>
      <c r="M151" s="1078">
        <f t="shared" si="27"/>
        <v>360</v>
      </c>
      <c r="N151" s="1078">
        <f t="shared" si="28"/>
        <v>0</v>
      </c>
      <c r="O151" s="1078">
        <f t="shared" si="29"/>
        <v>360</v>
      </c>
    </row>
    <row r="152" spans="1:15" ht="12.75" customHeight="1">
      <c r="A152" s="1114"/>
      <c r="B152" s="1114"/>
      <c r="C152" s="944" t="s">
        <v>31</v>
      </c>
      <c r="D152" s="926" t="s">
        <v>222</v>
      </c>
      <c r="E152" s="1135"/>
      <c r="F152" s="962"/>
      <c r="G152" s="1078">
        <v>0</v>
      </c>
      <c r="H152" s="1078">
        <v>0</v>
      </c>
      <c r="I152" s="1078">
        <v>0</v>
      </c>
      <c r="J152" s="1078"/>
      <c r="K152" s="1078"/>
      <c r="L152" s="1078">
        <f t="shared" si="26"/>
        <v>0</v>
      </c>
      <c r="M152" s="1078">
        <f t="shared" si="27"/>
        <v>0</v>
      </c>
      <c r="N152" s="1078">
        <f t="shared" si="28"/>
        <v>0</v>
      </c>
      <c r="O152" s="1078">
        <f t="shared" si="29"/>
        <v>0</v>
      </c>
    </row>
    <row r="153" spans="1:15" ht="12.75" customHeight="1">
      <c r="A153" s="1114"/>
      <c r="B153" s="1114"/>
      <c r="C153" s="944" t="s">
        <v>852</v>
      </c>
      <c r="D153" s="926" t="s">
        <v>224</v>
      </c>
      <c r="E153" s="1135"/>
      <c r="F153" s="962" t="s">
        <v>606</v>
      </c>
      <c r="G153" s="1078">
        <v>500</v>
      </c>
      <c r="H153" s="1078">
        <v>0</v>
      </c>
      <c r="I153" s="1078">
        <v>500</v>
      </c>
      <c r="J153" s="1078">
        <v>-250</v>
      </c>
      <c r="K153" s="1078"/>
      <c r="L153" s="1078">
        <f t="shared" si="26"/>
        <v>-250</v>
      </c>
      <c r="M153" s="1078">
        <f t="shared" si="27"/>
        <v>250</v>
      </c>
      <c r="N153" s="1078">
        <f t="shared" si="28"/>
        <v>0</v>
      </c>
      <c r="O153" s="1078">
        <f t="shared" si="29"/>
        <v>250</v>
      </c>
    </row>
    <row r="154" spans="1:15" ht="12.75" customHeight="1">
      <c r="A154" s="1114"/>
      <c r="B154" s="1114"/>
      <c r="C154" s="944" t="s">
        <v>853</v>
      </c>
      <c r="D154" s="952" t="s">
        <v>228</v>
      </c>
      <c r="E154" s="1135"/>
      <c r="F154" s="962"/>
      <c r="G154" s="1078">
        <v>985</v>
      </c>
      <c r="H154" s="1078">
        <v>0</v>
      </c>
      <c r="I154" s="1078">
        <v>985</v>
      </c>
      <c r="J154" s="1078"/>
      <c r="K154" s="1078"/>
      <c r="L154" s="1078">
        <f t="shared" si="26"/>
        <v>0</v>
      </c>
      <c r="M154" s="1078">
        <f t="shared" si="27"/>
        <v>985</v>
      </c>
      <c r="N154" s="1078">
        <f t="shared" si="28"/>
        <v>0</v>
      </c>
      <c r="O154" s="1078">
        <f t="shared" si="29"/>
        <v>985</v>
      </c>
    </row>
    <row r="155" spans="1:15" ht="12.75" customHeight="1">
      <c r="A155" s="1114"/>
      <c r="B155" s="1114"/>
      <c r="C155" s="944" t="s">
        <v>854</v>
      </c>
      <c r="D155" s="952" t="s">
        <v>229</v>
      </c>
      <c r="E155" s="1135"/>
      <c r="F155" s="962"/>
      <c r="G155" s="1078">
        <v>600</v>
      </c>
      <c r="H155" s="1078">
        <v>0</v>
      </c>
      <c r="I155" s="1078">
        <v>600</v>
      </c>
      <c r="J155" s="1078"/>
      <c r="K155" s="1078"/>
      <c r="L155" s="1078">
        <f t="shared" si="26"/>
        <v>0</v>
      </c>
      <c r="M155" s="1078">
        <f t="shared" si="27"/>
        <v>600</v>
      </c>
      <c r="N155" s="1078">
        <f t="shared" si="28"/>
        <v>0</v>
      </c>
      <c r="O155" s="1078">
        <f t="shared" si="29"/>
        <v>600</v>
      </c>
    </row>
    <row r="156" spans="1:15" ht="12.75" customHeight="1">
      <c r="A156" s="1114"/>
      <c r="B156" s="1114"/>
      <c r="C156" s="944" t="s">
        <v>856</v>
      </c>
      <c r="D156" s="1136" t="s">
        <v>1868</v>
      </c>
      <c r="E156" s="1135"/>
      <c r="F156" s="962" t="s">
        <v>606</v>
      </c>
      <c r="G156" s="1078">
        <v>7531</v>
      </c>
      <c r="H156" s="1078">
        <v>0</v>
      </c>
      <c r="I156" s="1078">
        <v>7531</v>
      </c>
      <c r="J156" s="1078">
        <v>-355</v>
      </c>
      <c r="K156" s="1078"/>
      <c r="L156" s="1078">
        <f t="shared" si="26"/>
        <v>-355</v>
      </c>
      <c r="M156" s="1078">
        <f t="shared" si="27"/>
        <v>7176</v>
      </c>
      <c r="N156" s="1078">
        <f t="shared" si="28"/>
        <v>0</v>
      </c>
      <c r="O156" s="1078">
        <f t="shared" si="29"/>
        <v>7176</v>
      </c>
    </row>
    <row r="157" spans="1:15" ht="12.75" customHeight="1">
      <c r="A157" s="1114"/>
      <c r="B157" s="1114"/>
      <c r="C157" s="944"/>
      <c r="D157" s="1129" t="s">
        <v>1717</v>
      </c>
      <c r="E157" s="1135"/>
      <c r="F157" s="962"/>
      <c r="G157" s="1078">
        <v>0</v>
      </c>
      <c r="H157" s="1078">
        <v>0</v>
      </c>
      <c r="I157" s="1078">
        <v>0</v>
      </c>
      <c r="J157" s="1078"/>
      <c r="K157" s="1078"/>
      <c r="L157" s="1078">
        <f t="shared" si="26"/>
        <v>0</v>
      </c>
      <c r="M157" s="1078">
        <f t="shared" si="27"/>
        <v>0</v>
      </c>
      <c r="N157" s="1078">
        <f t="shared" si="28"/>
        <v>0</v>
      </c>
      <c r="O157" s="1078">
        <f t="shared" si="29"/>
        <v>0</v>
      </c>
    </row>
    <row r="158" spans="1:15" ht="15" customHeight="1">
      <c r="A158" s="1114"/>
      <c r="B158" s="1114"/>
      <c r="C158" s="944" t="s">
        <v>1845</v>
      </c>
      <c r="D158" s="1137" t="s">
        <v>502</v>
      </c>
      <c r="E158" s="1135"/>
      <c r="F158" s="962"/>
      <c r="G158" s="1078">
        <v>750</v>
      </c>
      <c r="H158" s="1078">
        <v>1000</v>
      </c>
      <c r="I158" s="1078">
        <v>1750</v>
      </c>
      <c r="J158" s="1078"/>
      <c r="K158" s="1078"/>
      <c r="L158" s="1078">
        <f t="shared" si="26"/>
        <v>0</v>
      </c>
      <c r="M158" s="1078">
        <f t="shared" si="27"/>
        <v>750</v>
      </c>
      <c r="N158" s="1078">
        <f t="shared" si="28"/>
        <v>1000</v>
      </c>
      <c r="O158" s="1078">
        <f t="shared" si="29"/>
        <v>1750</v>
      </c>
    </row>
    <row r="159" spans="1:15" ht="12.75" customHeight="1">
      <c r="A159" s="1114"/>
      <c r="B159" s="1114"/>
      <c r="C159" s="1118" t="s">
        <v>1392</v>
      </c>
      <c r="D159" s="1138" t="s">
        <v>1393</v>
      </c>
      <c r="E159" s="980"/>
      <c r="F159" s="1080"/>
      <c r="G159" s="1078"/>
      <c r="H159" s="1078"/>
      <c r="I159" s="1078"/>
      <c r="J159" s="1078"/>
      <c r="K159" s="1078"/>
      <c r="L159" s="1078"/>
      <c r="M159" s="1078"/>
      <c r="N159" s="1078"/>
      <c r="O159" s="1078"/>
    </row>
    <row r="160" spans="1:15" ht="12.75" customHeight="1">
      <c r="A160" s="1114"/>
      <c r="B160" s="1114"/>
      <c r="C160" s="1118" t="s">
        <v>886</v>
      </c>
      <c r="D160" s="894" t="s">
        <v>868</v>
      </c>
      <c r="E160" s="980"/>
      <c r="F160" s="1080"/>
      <c r="G160" s="1078">
        <v>1000</v>
      </c>
      <c r="H160" s="1078">
        <v>0</v>
      </c>
      <c r="I160" s="1078">
        <v>1000</v>
      </c>
      <c r="J160" s="1078"/>
      <c r="K160" s="1078"/>
      <c r="L160" s="1078">
        <f aca="true" t="shared" si="30" ref="L160:L165">SUM(J160:K160)</f>
        <v>0</v>
      </c>
      <c r="M160" s="1078">
        <f aca="true" t="shared" si="31" ref="M160:N165">SUM(G160+J160)</f>
        <v>1000</v>
      </c>
      <c r="N160" s="1078">
        <f t="shared" si="31"/>
        <v>0</v>
      </c>
      <c r="O160" s="1078">
        <f aca="true" t="shared" si="32" ref="O160:O165">SUM(M160:N160)</f>
        <v>1000</v>
      </c>
    </row>
    <row r="161" spans="1:15" ht="12.75" customHeight="1">
      <c r="A161" s="1114"/>
      <c r="B161" s="1114"/>
      <c r="C161" s="1118" t="s">
        <v>887</v>
      </c>
      <c r="D161" s="1139" t="s">
        <v>869</v>
      </c>
      <c r="E161" s="980"/>
      <c r="F161" s="1080"/>
      <c r="G161" s="1078">
        <v>3000</v>
      </c>
      <c r="H161" s="1078">
        <v>0</v>
      </c>
      <c r="I161" s="1078">
        <v>3000</v>
      </c>
      <c r="J161" s="1078"/>
      <c r="K161" s="1078"/>
      <c r="L161" s="1078">
        <f t="shared" si="30"/>
        <v>0</v>
      </c>
      <c r="M161" s="1078">
        <f t="shared" si="31"/>
        <v>3000</v>
      </c>
      <c r="N161" s="1078">
        <f t="shared" si="31"/>
        <v>0</v>
      </c>
      <c r="O161" s="1078">
        <f t="shared" si="32"/>
        <v>3000</v>
      </c>
    </row>
    <row r="162" spans="1:15" ht="12.75" customHeight="1">
      <c r="A162" s="1114"/>
      <c r="B162" s="1114"/>
      <c r="C162" s="1118" t="s">
        <v>1578</v>
      </c>
      <c r="D162" s="979" t="s">
        <v>870</v>
      </c>
      <c r="E162" s="980"/>
      <c r="F162" s="1080"/>
      <c r="G162" s="1078">
        <v>1500</v>
      </c>
      <c r="H162" s="1078">
        <v>0</v>
      </c>
      <c r="I162" s="1078">
        <v>1500</v>
      </c>
      <c r="J162" s="1078"/>
      <c r="K162" s="1078"/>
      <c r="L162" s="1078">
        <f t="shared" si="30"/>
        <v>0</v>
      </c>
      <c r="M162" s="1078">
        <f t="shared" si="31"/>
        <v>1500</v>
      </c>
      <c r="N162" s="1078">
        <f t="shared" si="31"/>
        <v>0</v>
      </c>
      <c r="O162" s="1078">
        <f t="shared" si="32"/>
        <v>1500</v>
      </c>
    </row>
    <row r="163" spans="1:15" ht="12.75" customHeight="1">
      <c r="A163" s="1114"/>
      <c r="B163" s="1114"/>
      <c r="C163" s="1118" t="s">
        <v>1579</v>
      </c>
      <c r="D163" s="979" t="s">
        <v>383</v>
      </c>
      <c r="E163" s="980"/>
      <c r="F163" s="1080"/>
      <c r="G163" s="1078">
        <v>0</v>
      </c>
      <c r="H163" s="1078">
        <v>0</v>
      </c>
      <c r="I163" s="1078">
        <v>0</v>
      </c>
      <c r="J163" s="1078"/>
      <c r="K163" s="1078"/>
      <c r="L163" s="1078">
        <f t="shared" si="30"/>
        <v>0</v>
      </c>
      <c r="M163" s="1078">
        <f t="shared" si="31"/>
        <v>0</v>
      </c>
      <c r="N163" s="1078">
        <f t="shared" si="31"/>
        <v>0</v>
      </c>
      <c r="O163" s="1078">
        <f t="shared" si="32"/>
        <v>0</v>
      </c>
    </row>
    <row r="164" spans="1:15" ht="12.75" customHeight="1">
      <c r="A164" s="1114"/>
      <c r="B164" s="1114"/>
      <c r="C164" s="1118" t="s">
        <v>227</v>
      </c>
      <c r="D164" s="979" t="s">
        <v>215</v>
      </c>
      <c r="E164" s="980"/>
      <c r="F164" s="1080"/>
      <c r="G164" s="1078">
        <v>1557</v>
      </c>
      <c r="H164" s="1078">
        <v>0</v>
      </c>
      <c r="I164" s="1078">
        <v>1557</v>
      </c>
      <c r="J164" s="1078"/>
      <c r="K164" s="1078"/>
      <c r="L164" s="1078">
        <f t="shared" si="30"/>
        <v>0</v>
      </c>
      <c r="M164" s="1078">
        <f t="shared" si="31"/>
        <v>1557</v>
      </c>
      <c r="N164" s="1078">
        <f t="shared" si="31"/>
        <v>0</v>
      </c>
      <c r="O164" s="1078">
        <f t="shared" si="32"/>
        <v>1557</v>
      </c>
    </row>
    <row r="165" spans="1:15" ht="12.75" customHeight="1">
      <c r="A165" s="1114"/>
      <c r="B165" s="1114"/>
      <c r="C165" s="1118" t="s">
        <v>382</v>
      </c>
      <c r="D165" s="952" t="s">
        <v>226</v>
      </c>
      <c r="E165" s="980"/>
      <c r="F165" s="1080"/>
      <c r="G165" s="1078">
        <v>0</v>
      </c>
      <c r="H165" s="1078">
        <v>0</v>
      </c>
      <c r="I165" s="1078">
        <v>0</v>
      </c>
      <c r="J165" s="1078"/>
      <c r="K165" s="1078"/>
      <c r="L165" s="1078">
        <f t="shared" si="30"/>
        <v>0</v>
      </c>
      <c r="M165" s="1078">
        <f t="shared" si="31"/>
        <v>0</v>
      </c>
      <c r="N165" s="1078">
        <f t="shared" si="31"/>
        <v>0</v>
      </c>
      <c r="O165" s="1078">
        <f t="shared" si="32"/>
        <v>0</v>
      </c>
    </row>
    <row r="166" spans="1:15" ht="12.75" customHeight="1">
      <c r="A166" s="1114"/>
      <c r="B166" s="1114"/>
      <c r="C166" s="944" t="s">
        <v>1394</v>
      </c>
      <c r="D166" s="946" t="s">
        <v>1399</v>
      </c>
      <c r="E166" s="980"/>
      <c r="F166" s="1080"/>
      <c r="G166" s="1078"/>
      <c r="H166" s="1078"/>
      <c r="I166" s="1078"/>
      <c r="J166" s="1078"/>
      <c r="K166" s="1078"/>
      <c r="L166" s="1078"/>
      <c r="M166" s="1078"/>
      <c r="N166" s="1078"/>
      <c r="O166" s="1078"/>
    </row>
    <row r="167" spans="1:15" ht="12.75" customHeight="1">
      <c r="A167" s="1114"/>
      <c r="B167" s="1114"/>
      <c r="C167" s="1071" t="s">
        <v>1395</v>
      </c>
      <c r="D167" s="1081" t="s">
        <v>1870</v>
      </c>
      <c r="E167" s="980"/>
      <c r="F167" s="1080"/>
      <c r="G167" s="1078">
        <v>3850</v>
      </c>
      <c r="H167" s="1078">
        <v>0</v>
      </c>
      <c r="I167" s="1078">
        <v>3850</v>
      </c>
      <c r="J167" s="1078"/>
      <c r="K167" s="1078"/>
      <c r="L167" s="1078">
        <f aca="true" t="shared" si="33" ref="L167:L177">SUM(J167:K167)</f>
        <v>0</v>
      </c>
      <c r="M167" s="1078">
        <f aca="true" t="shared" si="34" ref="M167:N170">SUM(G167+J167)</f>
        <v>3850</v>
      </c>
      <c r="N167" s="1078">
        <f t="shared" si="34"/>
        <v>0</v>
      </c>
      <c r="O167" s="1078">
        <f aca="true" t="shared" si="35" ref="O167:O172">SUM(M167:N167)</f>
        <v>3850</v>
      </c>
    </row>
    <row r="168" spans="1:15" ht="12.75" customHeight="1">
      <c r="A168" s="1114"/>
      <c r="B168" s="1114"/>
      <c r="C168" s="1071" t="s">
        <v>1396</v>
      </c>
      <c r="D168" s="1081" t="s">
        <v>1869</v>
      </c>
      <c r="E168" s="980"/>
      <c r="F168" s="1080"/>
      <c r="G168" s="1078">
        <v>0</v>
      </c>
      <c r="H168" s="1078">
        <v>500</v>
      </c>
      <c r="I168" s="1078">
        <v>500</v>
      </c>
      <c r="J168" s="1078"/>
      <c r="K168" s="1078"/>
      <c r="L168" s="1078">
        <f t="shared" si="33"/>
        <v>0</v>
      </c>
      <c r="M168" s="1078">
        <f t="shared" si="34"/>
        <v>0</v>
      </c>
      <c r="N168" s="1078">
        <f t="shared" si="34"/>
        <v>500</v>
      </c>
      <c r="O168" s="1078">
        <f t="shared" si="35"/>
        <v>500</v>
      </c>
    </row>
    <row r="169" spans="1:15" ht="12.75" customHeight="1">
      <c r="A169" s="1114"/>
      <c r="B169" s="1114"/>
      <c r="C169" s="1071" t="s">
        <v>1397</v>
      </c>
      <c r="D169" s="1082" t="s">
        <v>1405</v>
      </c>
      <c r="E169" s="980"/>
      <c r="F169" s="1080"/>
      <c r="G169" s="1078">
        <v>0</v>
      </c>
      <c r="H169" s="1078">
        <v>3800</v>
      </c>
      <c r="I169" s="1078">
        <v>3800</v>
      </c>
      <c r="J169" s="1078"/>
      <c r="K169" s="1078"/>
      <c r="L169" s="1078">
        <f t="shared" si="33"/>
        <v>0</v>
      </c>
      <c r="M169" s="1078">
        <f t="shared" si="34"/>
        <v>0</v>
      </c>
      <c r="N169" s="1078">
        <f t="shared" si="34"/>
        <v>3800</v>
      </c>
      <c r="O169" s="1078">
        <f t="shared" si="35"/>
        <v>3800</v>
      </c>
    </row>
    <row r="170" spans="1:15" ht="12.75" customHeight="1">
      <c r="A170" s="1114"/>
      <c r="B170" s="1114"/>
      <c r="C170" s="1071" t="s">
        <v>1400</v>
      </c>
      <c r="D170" s="1140" t="s">
        <v>1628</v>
      </c>
      <c r="E170" s="980"/>
      <c r="F170" s="1080"/>
      <c r="G170" s="1078">
        <v>0</v>
      </c>
      <c r="H170" s="1078">
        <v>1000</v>
      </c>
      <c r="I170" s="1078">
        <v>1000</v>
      </c>
      <c r="J170" s="1078"/>
      <c r="K170" s="1078"/>
      <c r="L170" s="1078">
        <f t="shared" si="33"/>
        <v>0</v>
      </c>
      <c r="M170" s="1078">
        <f t="shared" si="34"/>
        <v>0</v>
      </c>
      <c r="N170" s="1078">
        <f t="shared" si="34"/>
        <v>1000</v>
      </c>
      <c r="O170" s="1078">
        <f t="shared" si="35"/>
        <v>1000</v>
      </c>
    </row>
    <row r="171" spans="1:15" ht="24.75" customHeight="1">
      <c r="A171" s="1114"/>
      <c r="B171" s="1114"/>
      <c r="C171" s="1071" t="s">
        <v>1104</v>
      </c>
      <c r="D171" s="1141" t="s">
        <v>541</v>
      </c>
      <c r="E171" s="980"/>
      <c r="F171" s="1080"/>
      <c r="G171" s="1078">
        <v>994</v>
      </c>
      <c r="H171" s="1078"/>
      <c r="I171" s="1078">
        <v>994</v>
      </c>
      <c r="J171" s="1078"/>
      <c r="K171" s="1078"/>
      <c r="L171" s="1078">
        <f t="shared" si="33"/>
        <v>0</v>
      </c>
      <c r="M171" s="1078">
        <f>SUM(G171+J171)</f>
        <v>994</v>
      </c>
      <c r="N171" s="1078"/>
      <c r="O171" s="1078">
        <f t="shared" si="35"/>
        <v>994</v>
      </c>
    </row>
    <row r="172" spans="1:15" ht="12.75" customHeight="1">
      <c r="A172" s="1114"/>
      <c r="B172" s="1114"/>
      <c r="C172" s="1071" t="s">
        <v>434</v>
      </c>
      <c r="D172" s="1141" t="s">
        <v>542</v>
      </c>
      <c r="E172" s="980"/>
      <c r="F172" s="1080"/>
      <c r="G172" s="1078">
        <v>800</v>
      </c>
      <c r="H172" s="1078"/>
      <c r="I172" s="1078">
        <v>800</v>
      </c>
      <c r="J172" s="1078"/>
      <c r="K172" s="1078"/>
      <c r="L172" s="1078">
        <f t="shared" si="33"/>
        <v>0</v>
      </c>
      <c r="M172" s="1078">
        <f>SUM(G172+J172)</f>
        <v>800</v>
      </c>
      <c r="N172" s="1078"/>
      <c r="O172" s="1078">
        <f t="shared" si="35"/>
        <v>800</v>
      </c>
    </row>
    <row r="173" spans="1:15" ht="24.75" customHeight="1">
      <c r="A173" s="1114"/>
      <c r="B173" s="1114"/>
      <c r="C173" s="1071" t="s">
        <v>631</v>
      </c>
      <c r="D173" s="936" t="s">
        <v>543</v>
      </c>
      <c r="E173" s="980"/>
      <c r="F173" s="1080"/>
      <c r="G173" s="1078"/>
      <c r="H173" s="1078">
        <v>4000</v>
      </c>
      <c r="I173" s="1078">
        <v>4000</v>
      </c>
      <c r="J173" s="1078"/>
      <c r="K173" s="1078"/>
      <c r="L173" s="1078">
        <f t="shared" si="33"/>
        <v>0</v>
      </c>
      <c r="M173" s="1078">
        <f>SUM(G173+J173)</f>
        <v>0</v>
      </c>
      <c r="N173" s="1078">
        <f>SUM(H173+K173)</f>
        <v>4000</v>
      </c>
      <c r="O173" s="1078">
        <v>4000</v>
      </c>
    </row>
    <row r="174" spans="1:15" ht="15" customHeight="1">
      <c r="A174" s="1114"/>
      <c r="B174" s="1114"/>
      <c r="C174" s="1071" t="s">
        <v>633</v>
      </c>
      <c r="D174" s="936" t="s">
        <v>544</v>
      </c>
      <c r="E174" s="980"/>
      <c r="F174" s="1080"/>
      <c r="G174" s="1078"/>
      <c r="H174" s="1078">
        <v>1400</v>
      </c>
      <c r="I174" s="1078">
        <v>1400</v>
      </c>
      <c r="J174" s="1078"/>
      <c r="K174" s="1078"/>
      <c r="L174" s="1078">
        <f t="shared" si="33"/>
        <v>0</v>
      </c>
      <c r="M174" s="1078"/>
      <c r="N174" s="1078">
        <v>1400</v>
      </c>
      <c r="O174" s="1078">
        <v>1400</v>
      </c>
    </row>
    <row r="175" spans="1:15" ht="27" customHeight="1">
      <c r="A175" s="1114"/>
      <c r="B175" s="1114"/>
      <c r="C175" s="1071" t="s">
        <v>635</v>
      </c>
      <c r="D175" s="963" t="s">
        <v>769</v>
      </c>
      <c r="E175" s="980"/>
      <c r="F175" s="1080" t="s">
        <v>606</v>
      </c>
      <c r="G175" s="1078"/>
      <c r="H175" s="1078"/>
      <c r="I175" s="1078"/>
      <c r="J175" s="1078">
        <v>2921</v>
      </c>
      <c r="K175" s="1078"/>
      <c r="L175" s="1078">
        <f t="shared" si="33"/>
        <v>2921</v>
      </c>
      <c r="M175" s="1078">
        <f>SUM(G175+J175)</f>
        <v>2921</v>
      </c>
      <c r="N175" s="1078"/>
      <c r="O175" s="1078">
        <f>SUM(M175:N175)</f>
        <v>2921</v>
      </c>
    </row>
    <row r="176" spans="1:15" ht="12.75" customHeight="1">
      <c r="A176" s="1114"/>
      <c r="B176" s="1114"/>
      <c r="C176" s="1071"/>
      <c r="D176" s="1099" t="s">
        <v>1717</v>
      </c>
      <c r="E176" s="980"/>
      <c r="F176" s="1080"/>
      <c r="G176" s="1078"/>
      <c r="H176" s="1078"/>
      <c r="I176" s="1078"/>
      <c r="J176" s="1078"/>
      <c r="K176" s="1078"/>
      <c r="L176" s="1078">
        <f t="shared" si="33"/>
        <v>0</v>
      </c>
      <c r="M176" s="1078"/>
      <c r="N176" s="1078"/>
      <c r="O176" s="1078"/>
    </row>
    <row r="177" spans="1:15" ht="12.75" customHeight="1">
      <c r="A177" s="1114"/>
      <c r="B177" s="1114"/>
      <c r="C177" s="1071" t="s">
        <v>1679</v>
      </c>
      <c r="D177" s="1142" t="s">
        <v>1846</v>
      </c>
      <c r="E177" s="980"/>
      <c r="F177" s="1080"/>
      <c r="G177" s="1078">
        <v>5167</v>
      </c>
      <c r="H177" s="1078">
        <v>0</v>
      </c>
      <c r="I177" s="1078">
        <v>5167</v>
      </c>
      <c r="J177" s="1078"/>
      <c r="K177" s="1078"/>
      <c r="L177" s="1078">
        <f t="shared" si="33"/>
        <v>0</v>
      </c>
      <c r="M177" s="1078">
        <f>SUM(G177+J177)</f>
        <v>5167</v>
      </c>
      <c r="N177" s="1078">
        <f>SUM(H177+K177)</f>
        <v>0</v>
      </c>
      <c r="O177" s="1078">
        <f>SUM(M177:N177)</f>
        <v>5167</v>
      </c>
    </row>
    <row r="178" spans="1:15" ht="12.75" customHeight="1">
      <c r="A178" s="1143"/>
      <c r="B178" s="1143"/>
      <c r="C178" s="1143"/>
      <c r="D178" s="970" t="s">
        <v>1674</v>
      </c>
      <c r="E178" s="1111"/>
      <c r="F178" s="1112"/>
      <c r="G178" s="1113">
        <f aca="true" t="shared" si="36" ref="G178:O178">SUM(G54:G177)</f>
        <v>656159</v>
      </c>
      <c r="H178" s="1113">
        <f t="shared" si="36"/>
        <v>218214</v>
      </c>
      <c r="I178" s="1113">
        <f t="shared" si="36"/>
        <v>874373</v>
      </c>
      <c r="J178" s="1113">
        <f t="shared" si="36"/>
        <v>2221</v>
      </c>
      <c r="K178" s="1113">
        <f t="shared" si="36"/>
        <v>0</v>
      </c>
      <c r="L178" s="1113">
        <f t="shared" si="36"/>
        <v>2221</v>
      </c>
      <c r="M178" s="1113">
        <f t="shared" si="36"/>
        <v>658380</v>
      </c>
      <c r="N178" s="1113">
        <f t="shared" si="36"/>
        <v>218214</v>
      </c>
      <c r="O178" s="1113">
        <f t="shared" si="36"/>
        <v>876594</v>
      </c>
    </row>
    <row r="179" spans="1:15" ht="12.75" customHeight="1">
      <c r="A179" s="1122">
        <v>1</v>
      </c>
      <c r="B179" s="1122">
        <v>16</v>
      </c>
      <c r="C179" s="1122"/>
      <c r="D179" s="1144" t="s">
        <v>1402</v>
      </c>
      <c r="E179" s="1145"/>
      <c r="F179" s="1146"/>
      <c r="G179" s="1078"/>
      <c r="H179" s="1078"/>
      <c r="I179" s="1147"/>
      <c r="J179" s="1078"/>
      <c r="K179" s="1078"/>
      <c r="L179" s="1078"/>
      <c r="M179" s="1078"/>
      <c r="N179" s="1078"/>
      <c r="O179" s="1078"/>
    </row>
    <row r="180" spans="1:15" ht="12.75" customHeight="1">
      <c r="A180" s="1122"/>
      <c r="B180" s="1122"/>
      <c r="C180" s="937" t="s">
        <v>905</v>
      </c>
      <c r="D180" s="938" t="s">
        <v>466</v>
      </c>
      <c r="E180" s="1145"/>
      <c r="F180" s="1146"/>
      <c r="G180" s="1078"/>
      <c r="H180" s="1078"/>
      <c r="I180" s="1147"/>
      <c r="J180" s="1078"/>
      <c r="K180" s="1078"/>
      <c r="L180" s="1078"/>
      <c r="M180" s="1078"/>
      <c r="N180" s="1078"/>
      <c r="O180" s="1078"/>
    </row>
    <row r="181" spans="1:15" ht="12.75" customHeight="1">
      <c r="A181" s="1122"/>
      <c r="B181" s="1122"/>
      <c r="C181" s="1122" t="s">
        <v>907</v>
      </c>
      <c r="D181" s="934" t="s">
        <v>1199</v>
      </c>
      <c r="E181" s="981"/>
      <c r="F181" s="1080"/>
      <c r="G181" s="1078">
        <v>0</v>
      </c>
      <c r="H181" s="1078">
        <v>0</v>
      </c>
      <c r="I181" s="1078">
        <v>0</v>
      </c>
      <c r="J181" s="1078"/>
      <c r="K181" s="1078"/>
      <c r="L181" s="1078">
        <f>SUM(J181:K181)</f>
        <v>0</v>
      </c>
      <c r="M181" s="1078">
        <f aca="true" t="shared" si="37" ref="M181:N183">SUM(G181+J181)</f>
        <v>0</v>
      </c>
      <c r="N181" s="1078">
        <f t="shared" si="37"/>
        <v>0</v>
      </c>
      <c r="O181" s="1078">
        <f>SUM(M181:N181)</f>
        <v>0</v>
      </c>
    </row>
    <row r="182" spans="1:15" ht="12.75" customHeight="1">
      <c r="A182" s="1122"/>
      <c r="B182" s="1122"/>
      <c r="C182" s="1122" t="s">
        <v>210</v>
      </c>
      <c r="D182" s="947" t="s">
        <v>1213</v>
      </c>
      <c r="E182" s="981"/>
      <c r="F182" s="1080"/>
      <c r="G182" s="1078">
        <v>1500</v>
      </c>
      <c r="H182" s="1078">
        <v>0</v>
      </c>
      <c r="I182" s="1078">
        <v>1500</v>
      </c>
      <c r="J182" s="1078"/>
      <c r="K182" s="1078"/>
      <c r="L182" s="1078">
        <f>SUM(J182:K182)</f>
        <v>0</v>
      </c>
      <c r="M182" s="1078">
        <f t="shared" si="37"/>
        <v>1500</v>
      </c>
      <c r="N182" s="1078">
        <f t="shared" si="37"/>
        <v>0</v>
      </c>
      <c r="O182" s="1078">
        <f>SUM(M182:N182)</f>
        <v>1500</v>
      </c>
    </row>
    <row r="183" spans="1:15" ht="12.75" customHeight="1">
      <c r="A183" s="1122"/>
      <c r="B183" s="1122"/>
      <c r="C183" s="1122" t="s">
        <v>211</v>
      </c>
      <c r="D183" s="947" t="s">
        <v>1214</v>
      </c>
      <c r="E183" s="981"/>
      <c r="F183" s="1080"/>
      <c r="G183" s="1078">
        <v>2000</v>
      </c>
      <c r="H183" s="1078">
        <v>0</v>
      </c>
      <c r="I183" s="1078">
        <v>2000</v>
      </c>
      <c r="J183" s="1078"/>
      <c r="K183" s="1078"/>
      <c r="L183" s="1078">
        <f>SUM(J183:K183)</f>
        <v>0</v>
      </c>
      <c r="M183" s="1078">
        <f t="shared" si="37"/>
        <v>2000</v>
      </c>
      <c r="N183" s="1078">
        <f t="shared" si="37"/>
        <v>0</v>
      </c>
      <c r="O183" s="1078">
        <f>SUM(M183:N183)</f>
        <v>2000</v>
      </c>
    </row>
    <row r="184" spans="1:15" ht="12.75" customHeight="1">
      <c r="A184" s="1122"/>
      <c r="B184" s="1122"/>
      <c r="C184" s="1122"/>
      <c r="D184" s="1129" t="s">
        <v>1717</v>
      </c>
      <c r="E184" s="981"/>
      <c r="F184" s="1080"/>
      <c r="G184" s="1078"/>
      <c r="H184" s="1078"/>
      <c r="I184" s="1078"/>
      <c r="J184" s="1078"/>
      <c r="K184" s="1078"/>
      <c r="L184" s="1078"/>
      <c r="M184" s="1078"/>
      <c r="N184" s="1078"/>
      <c r="O184" s="1078"/>
    </row>
    <row r="185" spans="1:15" ht="12.75" customHeight="1">
      <c r="A185" s="1122"/>
      <c r="B185" s="1122"/>
      <c r="C185" s="1122" t="s">
        <v>644</v>
      </c>
      <c r="D185" s="1148" t="s">
        <v>645</v>
      </c>
      <c r="E185" s="981"/>
      <c r="F185" s="1080"/>
      <c r="G185" s="1078">
        <v>292</v>
      </c>
      <c r="H185" s="1078"/>
      <c r="I185" s="1078">
        <v>292</v>
      </c>
      <c r="J185" s="1078"/>
      <c r="K185" s="1078"/>
      <c r="L185" s="1078">
        <f>SUM(J185:K185)</f>
        <v>0</v>
      </c>
      <c r="M185" s="1078">
        <f>SUM(G185+J185)</f>
        <v>292</v>
      </c>
      <c r="N185" s="1078"/>
      <c r="O185" s="1078">
        <f>SUM(M185:N185)</f>
        <v>292</v>
      </c>
    </row>
    <row r="186" spans="1:15" ht="12.75" customHeight="1">
      <c r="A186" s="1122"/>
      <c r="B186" s="1122"/>
      <c r="C186" s="937" t="s">
        <v>1387</v>
      </c>
      <c r="D186" s="946" t="s">
        <v>43</v>
      </c>
      <c r="E186" s="1145"/>
      <c r="F186" s="1146"/>
      <c r="G186" s="1078"/>
      <c r="H186" s="1078"/>
      <c r="I186" s="1078"/>
      <c r="J186" s="1078"/>
      <c r="K186" s="1078"/>
      <c r="L186" s="1078"/>
      <c r="M186" s="1078"/>
      <c r="N186" s="1078"/>
      <c r="O186" s="1078"/>
    </row>
    <row r="187" spans="1:15" ht="24.75" customHeight="1">
      <c r="A187" s="1122"/>
      <c r="B187" s="1122"/>
      <c r="C187" s="1122" t="s">
        <v>1576</v>
      </c>
      <c r="D187" s="926" t="s">
        <v>223</v>
      </c>
      <c r="E187" s="1135"/>
      <c r="F187" s="962"/>
      <c r="G187" s="1078">
        <v>3000</v>
      </c>
      <c r="H187" s="1078">
        <v>0</v>
      </c>
      <c r="I187" s="1078">
        <v>3000</v>
      </c>
      <c r="J187" s="1078"/>
      <c r="K187" s="1078"/>
      <c r="L187" s="1078">
        <f>SUM(J187:K187)</f>
        <v>0</v>
      </c>
      <c r="M187" s="1078">
        <f aca="true" t="shared" si="38" ref="M187:N189">SUM(G187+J187)</f>
        <v>3000</v>
      </c>
      <c r="N187" s="1078">
        <f t="shared" si="38"/>
        <v>0</v>
      </c>
      <c r="O187" s="1078">
        <f>SUM(M187:N187)</f>
        <v>3000</v>
      </c>
    </row>
    <row r="188" spans="1:15" ht="12.75" customHeight="1">
      <c r="A188" s="1122"/>
      <c r="B188" s="1122"/>
      <c r="C188" s="1122"/>
      <c r="D188" s="1099" t="s">
        <v>1717</v>
      </c>
      <c r="E188" s="1135"/>
      <c r="F188" s="962"/>
      <c r="G188" s="1078">
        <v>0</v>
      </c>
      <c r="H188" s="1078">
        <v>0</v>
      </c>
      <c r="I188" s="1078">
        <v>0</v>
      </c>
      <c r="J188" s="1078"/>
      <c r="K188" s="1078"/>
      <c r="L188" s="1078">
        <f>SUM(J188:K188)</f>
        <v>0</v>
      </c>
      <c r="M188" s="1078">
        <f t="shared" si="38"/>
        <v>0</v>
      </c>
      <c r="N188" s="1078">
        <f t="shared" si="38"/>
        <v>0</v>
      </c>
      <c r="O188" s="1078">
        <f>SUM(M188:N188)</f>
        <v>0</v>
      </c>
    </row>
    <row r="189" spans="1:15" ht="12.75" customHeight="1">
      <c r="A189" s="1122"/>
      <c r="B189" s="1122"/>
      <c r="C189" s="1122" t="s">
        <v>1845</v>
      </c>
      <c r="D189" s="1142" t="s">
        <v>1847</v>
      </c>
      <c r="E189" s="1135"/>
      <c r="F189" s="962"/>
      <c r="G189" s="1078">
        <v>0</v>
      </c>
      <c r="H189" s="1078">
        <v>0</v>
      </c>
      <c r="I189" s="1078">
        <v>0</v>
      </c>
      <c r="J189" s="1078"/>
      <c r="K189" s="1078"/>
      <c r="L189" s="1078">
        <f>SUM(J189:K189)</f>
        <v>0</v>
      </c>
      <c r="M189" s="1078">
        <f t="shared" si="38"/>
        <v>0</v>
      </c>
      <c r="N189" s="1078">
        <f t="shared" si="38"/>
        <v>0</v>
      </c>
      <c r="O189" s="1078">
        <f>SUM(M189:N189)</f>
        <v>0</v>
      </c>
    </row>
    <row r="190" spans="1:15" ht="12.75" customHeight="1">
      <c r="A190" s="1122"/>
      <c r="B190" s="1122"/>
      <c r="C190" s="937" t="s">
        <v>1385</v>
      </c>
      <c r="D190" s="938" t="s">
        <v>44</v>
      </c>
      <c r="E190" s="1145"/>
      <c r="F190" s="1146"/>
      <c r="G190" s="1078"/>
      <c r="H190" s="1078">
        <v>0</v>
      </c>
      <c r="I190" s="1078"/>
      <c r="J190" s="1078"/>
      <c r="K190" s="1078"/>
      <c r="L190" s="1078"/>
      <c r="M190" s="1078"/>
      <c r="N190" s="1078">
        <f>SUM(H190+K190)</f>
        <v>0</v>
      </c>
      <c r="O190" s="1078"/>
    </row>
    <row r="191" spans="1:15" ht="12.75" customHeight="1">
      <c r="A191" s="1122"/>
      <c r="B191" s="1122"/>
      <c r="C191" s="944" t="s">
        <v>646</v>
      </c>
      <c r="D191" s="1019" t="s">
        <v>647</v>
      </c>
      <c r="E191" s="1145"/>
      <c r="F191" s="1146"/>
      <c r="G191" s="1078">
        <v>11813</v>
      </c>
      <c r="H191" s="1078">
        <v>0</v>
      </c>
      <c r="I191" s="1078">
        <v>11813</v>
      </c>
      <c r="J191" s="1078"/>
      <c r="K191" s="1078"/>
      <c r="L191" s="1078">
        <f>SUM(J191:K191)</f>
        <v>0</v>
      </c>
      <c r="M191" s="1078">
        <f>SUM(G191+J191)</f>
        <v>11813</v>
      </c>
      <c r="N191" s="1078">
        <f>SUM(H191+K191)</f>
        <v>0</v>
      </c>
      <c r="O191" s="1078">
        <f>SUM(M191:N191)</f>
        <v>11813</v>
      </c>
    </row>
    <row r="192" spans="1:15" ht="12.75" customHeight="1">
      <c r="A192" s="1122"/>
      <c r="B192" s="1122"/>
      <c r="C192" s="849" t="s">
        <v>545</v>
      </c>
      <c r="D192" s="1019" t="s">
        <v>546</v>
      </c>
      <c r="E192" s="1145"/>
      <c r="F192" s="1146"/>
      <c r="G192" s="1078">
        <v>4479</v>
      </c>
      <c r="H192" s="1078">
        <v>0</v>
      </c>
      <c r="I192" s="1078">
        <v>4479</v>
      </c>
      <c r="J192" s="1078"/>
      <c r="K192" s="1078"/>
      <c r="L192" s="1078">
        <f>SUM(J192:K192)</f>
        <v>0</v>
      </c>
      <c r="M192" s="1078">
        <f>SUM(G192+J192)</f>
        <v>4479</v>
      </c>
      <c r="N192" s="1078">
        <f>SUM(H192+K192)</f>
        <v>0</v>
      </c>
      <c r="O192" s="1078">
        <f>SUM(M192:N192)</f>
        <v>4479</v>
      </c>
    </row>
    <row r="193" spans="1:15" ht="24.75" customHeight="1">
      <c r="A193" s="1122"/>
      <c r="B193" s="1122"/>
      <c r="C193" s="849" t="s">
        <v>547</v>
      </c>
      <c r="D193" s="1016" t="s">
        <v>1298</v>
      </c>
      <c r="E193" s="1145"/>
      <c r="F193" s="1146"/>
      <c r="G193" s="1078">
        <v>75700</v>
      </c>
      <c r="H193" s="1078">
        <v>0</v>
      </c>
      <c r="I193" s="1078">
        <v>75700</v>
      </c>
      <c r="J193" s="1078"/>
      <c r="K193" s="1078"/>
      <c r="L193" s="1078">
        <f>SUM(J193:K193)</f>
        <v>0</v>
      </c>
      <c r="M193" s="1078">
        <f>SUM(G193+J193)</f>
        <v>75700</v>
      </c>
      <c r="N193" s="1078">
        <f>SUM(H193+K193)</f>
        <v>0</v>
      </c>
      <c r="O193" s="1078">
        <f>SUM(M193:N193)</f>
        <v>75700</v>
      </c>
    </row>
    <row r="194" spans="1:15" ht="15" customHeight="1">
      <c r="A194" s="1122"/>
      <c r="B194" s="1122"/>
      <c r="C194" s="849" t="s">
        <v>548</v>
      </c>
      <c r="D194" s="1016" t="s">
        <v>549</v>
      </c>
      <c r="E194" s="1145"/>
      <c r="F194" s="1146"/>
      <c r="G194" s="1078">
        <v>0</v>
      </c>
      <c r="H194" s="1078">
        <v>3000</v>
      </c>
      <c r="I194" s="1078">
        <v>3000</v>
      </c>
      <c r="J194" s="1078"/>
      <c r="K194" s="1078"/>
      <c r="L194" s="1078">
        <f>SUM(J194:K194)</f>
        <v>0</v>
      </c>
      <c r="M194" s="1078">
        <f>SUM(G194+J194)</f>
        <v>0</v>
      </c>
      <c r="N194" s="1078">
        <f>SUM(H194+K194)</f>
        <v>3000</v>
      </c>
      <c r="O194" s="1078">
        <f>SUM(M194:N194)</f>
        <v>3000</v>
      </c>
    </row>
    <row r="195" spans="1:15" ht="15" customHeight="1">
      <c r="A195" s="1122"/>
      <c r="B195" s="1122"/>
      <c r="C195" s="849" t="s">
        <v>1036</v>
      </c>
      <c r="D195" s="1013" t="s">
        <v>235</v>
      </c>
      <c r="E195" s="1145"/>
      <c r="F195" s="1146"/>
      <c r="G195" s="1078">
        <v>222192</v>
      </c>
      <c r="H195" s="1078"/>
      <c r="I195" s="1078">
        <v>222192</v>
      </c>
      <c r="J195" s="1078"/>
      <c r="K195" s="1078"/>
      <c r="L195" s="1078">
        <f>SUM(J195:K195)</f>
        <v>0</v>
      </c>
      <c r="M195" s="1078">
        <f>SUM(G195+J195)</f>
        <v>222192</v>
      </c>
      <c r="N195" s="1078"/>
      <c r="O195" s="1078">
        <f>SUM(M195:N195)</f>
        <v>222192</v>
      </c>
    </row>
    <row r="196" spans="1:15" ht="12.75" customHeight="1">
      <c r="A196" s="1122"/>
      <c r="B196" s="1122"/>
      <c r="C196" s="937" t="s">
        <v>1394</v>
      </c>
      <c r="D196" s="938" t="s">
        <v>1399</v>
      </c>
      <c r="E196" s="1145"/>
      <c r="F196" s="1146"/>
      <c r="G196" s="1078"/>
      <c r="H196" s="1078"/>
      <c r="I196" s="1078"/>
      <c r="J196" s="1078"/>
      <c r="K196" s="1078"/>
      <c r="L196" s="1078"/>
      <c r="M196" s="1078"/>
      <c r="N196" s="1078"/>
      <c r="O196" s="1078"/>
    </row>
    <row r="197" spans="1:15" ht="12.75" customHeight="1">
      <c r="A197" s="1122"/>
      <c r="B197" s="1122"/>
      <c r="C197" s="944" t="s">
        <v>1395</v>
      </c>
      <c r="D197" s="1003" t="s">
        <v>749</v>
      </c>
      <c r="E197" s="1145"/>
      <c r="F197" s="1146"/>
      <c r="G197" s="1078">
        <v>0</v>
      </c>
      <c r="H197" s="1078">
        <v>8000</v>
      </c>
      <c r="I197" s="1078">
        <v>8000</v>
      </c>
      <c r="J197" s="1078"/>
      <c r="K197" s="1078"/>
      <c r="L197" s="1078">
        <f>SUM(J197:K197)</f>
        <v>0</v>
      </c>
      <c r="M197" s="1078">
        <f aca="true" t="shared" si="39" ref="M197:N199">SUM(G197+J197)</f>
        <v>0</v>
      </c>
      <c r="N197" s="1078">
        <f t="shared" si="39"/>
        <v>8000</v>
      </c>
      <c r="O197" s="1078">
        <f>SUM(M197:N197)</f>
        <v>8000</v>
      </c>
    </row>
    <row r="198" spans="1:15" ht="12.75" customHeight="1">
      <c r="A198" s="1122"/>
      <c r="B198" s="1122"/>
      <c r="C198" s="944" t="s">
        <v>1396</v>
      </c>
      <c r="D198" s="1149" t="s">
        <v>360</v>
      </c>
      <c r="E198" s="980"/>
      <c r="F198" s="1080"/>
      <c r="G198" s="1078">
        <v>2000</v>
      </c>
      <c r="H198" s="1078">
        <v>0</v>
      </c>
      <c r="I198" s="1078">
        <v>2000</v>
      </c>
      <c r="J198" s="1078"/>
      <c r="K198" s="1078"/>
      <c r="L198" s="1078">
        <f>SUM(J198:K198)</f>
        <v>0</v>
      </c>
      <c r="M198" s="1078">
        <f t="shared" si="39"/>
        <v>2000</v>
      </c>
      <c r="N198" s="1078">
        <f t="shared" si="39"/>
        <v>0</v>
      </c>
      <c r="O198" s="1078">
        <f>SUM(M198:N198)</f>
        <v>2000</v>
      </c>
    </row>
    <row r="199" spans="1:15" ht="12.75" customHeight="1">
      <c r="A199" s="1122"/>
      <c r="B199" s="1122"/>
      <c r="C199" s="944" t="s">
        <v>1397</v>
      </c>
      <c r="D199" s="1142" t="s">
        <v>433</v>
      </c>
      <c r="E199" s="1023"/>
      <c r="F199" s="1150" t="s">
        <v>606</v>
      </c>
      <c r="G199" s="1078">
        <v>3287</v>
      </c>
      <c r="H199" s="1078">
        <v>0</v>
      </c>
      <c r="I199" s="1078">
        <v>3287</v>
      </c>
      <c r="J199" s="1078">
        <v>-221</v>
      </c>
      <c r="K199" s="1078"/>
      <c r="L199" s="1078">
        <f>SUM(J199:K199)</f>
        <v>-221</v>
      </c>
      <c r="M199" s="1078">
        <f t="shared" si="39"/>
        <v>3066</v>
      </c>
      <c r="N199" s="1078">
        <f t="shared" si="39"/>
        <v>0</v>
      </c>
      <c r="O199" s="1078">
        <f>SUM(M199:N199)</f>
        <v>3066</v>
      </c>
    </row>
    <row r="200" spans="1:15" ht="12.75" customHeight="1">
      <c r="A200" s="1122"/>
      <c r="B200" s="1122"/>
      <c r="C200" s="849" t="s">
        <v>1037</v>
      </c>
      <c r="D200" s="1142" t="s">
        <v>1038</v>
      </c>
      <c r="E200" s="1023"/>
      <c r="F200" s="1150"/>
      <c r="G200" s="1078">
        <v>7535</v>
      </c>
      <c r="H200" s="1078"/>
      <c r="I200" s="1078">
        <v>7535</v>
      </c>
      <c r="J200" s="1078"/>
      <c r="K200" s="1078"/>
      <c r="L200" s="1078">
        <f>SUM(J200:K200)</f>
        <v>0</v>
      </c>
      <c r="M200" s="1078">
        <f>SUM(G200+J200)</f>
        <v>7535</v>
      </c>
      <c r="N200" s="1078"/>
      <c r="O200" s="1078">
        <f>SUM(M200:N200)</f>
        <v>7535</v>
      </c>
    </row>
    <row r="201" spans="1:15" ht="12.75" customHeight="1">
      <c r="A201" s="1122"/>
      <c r="B201" s="1122"/>
      <c r="C201" s="937"/>
      <c r="D201" s="1129" t="s">
        <v>1717</v>
      </c>
      <c r="E201" s="1145"/>
      <c r="F201" s="1146"/>
      <c r="G201" s="1078"/>
      <c r="H201" s="1078"/>
      <c r="I201" s="1078"/>
      <c r="J201" s="1078"/>
      <c r="K201" s="1078"/>
      <c r="L201" s="1078"/>
      <c r="M201" s="1078"/>
      <c r="N201" s="1078"/>
      <c r="O201" s="1078"/>
    </row>
    <row r="202" spans="1:15" ht="12.75" customHeight="1">
      <c r="A202" s="1122"/>
      <c r="B202" s="1122"/>
      <c r="C202" s="944" t="s">
        <v>1679</v>
      </c>
      <c r="D202" s="1151" t="s">
        <v>1848</v>
      </c>
      <c r="E202" s="1145"/>
      <c r="F202" s="1146"/>
      <c r="G202" s="1078">
        <v>162</v>
      </c>
      <c r="H202" s="1078">
        <v>412</v>
      </c>
      <c r="I202" s="1078">
        <v>574</v>
      </c>
      <c r="J202" s="1078"/>
      <c r="K202" s="1078"/>
      <c r="L202" s="1078">
        <f>SUM(J202:K202)</f>
        <v>0</v>
      </c>
      <c r="M202" s="1078">
        <f>SUM(G202+J202)</f>
        <v>162</v>
      </c>
      <c r="N202" s="1078">
        <f>SUM(H202+K202)</f>
        <v>412</v>
      </c>
      <c r="O202" s="1078">
        <f>SUM(M202:N202)</f>
        <v>574</v>
      </c>
    </row>
    <row r="203" spans="1:15" ht="12.75" customHeight="1">
      <c r="A203" s="1143"/>
      <c r="B203" s="1143"/>
      <c r="C203" s="1152"/>
      <c r="D203" s="1153" t="s">
        <v>1496</v>
      </c>
      <c r="E203" s="1154"/>
      <c r="F203" s="1155"/>
      <c r="G203" s="1156">
        <f aca="true" t="shared" si="40" ref="G203:O203">SUM(G180:G202)</f>
        <v>333960</v>
      </c>
      <c r="H203" s="1156">
        <f t="shared" si="40"/>
        <v>11412</v>
      </c>
      <c r="I203" s="1156">
        <f t="shared" si="40"/>
        <v>345372</v>
      </c>
      <c r="J203" s="1156">
        <f t="shared" si="40"/>
        <v>-221</v>
      </c>
      <c r="K203" s="1156">
        <f t="shared" si="40"/>
        <v>0</v>
      </c>
      <c r="L203" s="1156">
        <f t="shared" si="40"/>
        <v>-221</v>
      </c>
      <c r="M203" s="1156">
        <f t="shared" si="40"/>
        <v>333739</v>
      </c>
      <c r="N203" s="1156">
        <f t="shared" si="40"/>
        <v>11412</v>
      </c>
      <c r="O203" s="1156">
        <f t="shared" si="40"/>
        <v>345151</v>
      </c>
    </row>
    <row r="204" spans="1:15" ht="12.75" customHeight="1">
      <c r="A204" s="1114">
        <v>1</v>
      </c>
      <c r="B204" s="1114">
        <v>17</v>
      </c>
      <c r="C204" s="1157"/>
      <c r="D204" s="1138" t="s">
        <v>52</v>
      </c>
      <c r="E204" s="1158"/>
      <c r="F204" s="1159"/>
      <c r="G204" s="1078"/>
      <c r="H204" s="1078"/>
      <c r="I204" s="1160"/>
      <c r="J204" s="1078"/>
      <c r="K204" s="1078"/>
      <c r="L204" s="1078"/>
      <c r="M204" s="1078"/>
      <c r="N204" s="1078"/>
      <c r="O204" s="1078"/>
    </row>
    <row r="205" spans="1:15" ht="12.75" customHeight="1">
      <c r="A205" s="1114"/>
      <c r="B205" s="1114"/>
      <c r="C205" s="1157"/>
      <c r="D205" s="1138" t="s">
        <v>1505</v>
      </c>
      <c r="E205" s="1158"/>
      <c r="F205" s="1159"/>
      <c r="G205" s="1078"/>
      <c r="H205" s="1078"/>
      <c r="I205" s="1160"/>
      <c r="J205" s="1078"/>
      <c r="K205" s="1078"/>
      <c r="L205" s="1078"/>
      <c r="M205" s="1078"/>
      <c r="N205" s="1078"/>
      <c r="O205" s="1078"/>
    </row>
    <row r="206" spans="1:15" ht="24.75" customHeight="1">
      <c r="A206" s="1114"/>
      <c r="B206" s="1114"/>
      <c r="C206" s="1161" t="s">
        <v>902</v>
      </c>
      <c r="D206" s="1162" t="s">
        <v>432</v>
      </c>
      <c r="E206" s="1163"/>
      <c r="F206" s="1159"/>
      <c r="G206" s="1078">
        <v>31564</v>
      </c>
      <c r="H206" s="1078">
        <v>0</v>
      </c>
      <c r="I206" s="1078">
        <v>31564</v>
      </c>
      <c r="J206" s="1078"/>
      <c r="K206" s="1078"/>
      <c r="L206" s="1078">
        <f>SUM(J206:K206)</f>
        <v>0</v>
      </c>
      <c r="M206" s="1078">
        <f aca="true" t="shared" si="41" ref="M206:N209">SUM(G206+J206)</f>
        <v>31564</v>
      </c>
      <c r="N206" s="1078">
        <f t="shared" si="41"/>
        <v>0</v>
      </c>
      <c r="O206" s="1078">
        <f>SUM(M206:N206)</f>
        <v>31564</v>
      </c>
    </row>
    <row r="207" spans="1:15" ht="36" customHeight="1">
      <c r="A207" s="1114"/>
      <c r="B207" s="1114"/>
      <c r="C207" s="1161" t="s">
        <v>898</v>
      </c>
      <c r="D207" s="1162" t="s">
        <v>1511</v>
      </c>
      <c r="E207" s="1163"/>
      <c r="F207" s="1159"/>
      <c r="G207" s="1078">
        <v>0</v>
      </c>
      <c r="H207" s="1078">
        <v>11131</v>
      </c>
      <c r="I207" s="1078">
        <v>11131</v>
      </c>
      <c r="J207" s="1078"/>
      <c r="K207" s="1078"/>
      <c r="L207" s="1078">
        <f>SUM(J207:K207)</f>
        <v>0</v>
      </c>
      <c r="M207" s="1078">
        <f t="shared" si="41"/>
        <v>0</v>
      </c>
      <c r="N207" s="1078">
        <f t="shared" si="41"/>
        <v>11131</v>
      </c>
      <c r="O207" s="1078">
        <f>SUM(M207:N207)</f>
        <v>11131</v>
      </c>
    </row>
    <row r="208" spans="1:15" ht="15" customHeight="1">
      <c r="A208" s="1114"/>
      <c r="B208" s="1114"/>
      <c r="C208" s="1161" t="s">
        <v>903</v>
      </c>
      <c r="D208" s="1162" t="s">
        <v>550</v>
      </c>
      <c r="E208" s="1163"/>
      <c r="F208" s="1159"/>
      <c r="G208" s="1078">
        <v>0</v>
      </c>
      <c r="H208" s="1078">
        <v>11723</v>
      </c>
      <c r="I208" s="1078">
        <v>11723</v>
      </c>
      <c r="J208" s="1078"/>
      <c r="K208" s="1078"/>
      <c r="L208" s="1078">
        <f>SUM(J208:K208)</f>
        <v>0</v>
      </c>
      <c r="M208" s="1078">
        <f t="shared" si="41"/>
        <v>0</v>
      </c>
      <c r="N208" s="1078">
        <f t="shared" si="41"/>
        <v>11723</v>
      </c>
      <c r="O208" s="1078">
        <f>SUM(M208:N208)</f>
        <v>11723</v>
      </c>
    </row>
    <row r="209" spans="1:15" ht="25.5" customHeight="1">
      <c r="A209" s="1114"/>
      <c r="B209" s="1114"/>
      <c r="C209" s="1161" t="s">
        <v>905</v>
      </c>
      <c r="D209" s="1573" t="s">
        <v>1039</v>
      </c>
      <c r="E209" s="1163"/>
      <c r="F209" s="1159"/>
      <c r="G209" s="1078">
        <v>0</v>
      </c>
      <c r="H209" s="1078">
        <v>5595</v>
      </c>
      <c r="I209" s="1078">
        <v>5595</v>
      </c>
      <c r="J209" s="1078"/>
      <c r="K209" s="1078"/>
      <c r="L209" s="1078">
        <f>SUM(J209:K209)</f>
        <v>0</v>
      </c>
      <c r="M209" s="1078">
        <f t="shared" si="41"/>
        <v>0</v>
      </c>
      <c r="N209" s="1078">
        <f t="shared" si="41"/>
        <v>5595</v>
      </c>
      <c r="O209" s="1078">
        <f>SUM(M209:N209)</f>
        <v>5595</v>
      </c>
    </row>
    <row r="210" spans="1:15" ht="15" customHeight="1">
      <c r="A210" s="1114"/>
      <c r="B210" s="1114"/>
      <c r="C210" s="1161" t="s">
        <v>1387</v>
      </c>
      <c r="D210" s="1574" t="s">
        <v>1040</v>
      </c>
      <c r="E210" s="1163"/>
      <c r="F210" s="1159"/>
      <c r="G210" s="1078">
        <v>373</v>
      </c>
      <c r="H210" s="1078"/>
      <c r="I210" s="1078">
        <v>373</v>
      </c>
      <c r="J210" s="1078"/>
      <c r="K210" s="1078"/>
      <c r="L210" s="1078">
        <v>373</v>
      </c>
      <c r="M210" s="1078">
        <f>SUM(G210+J210)</f>
        <v>373</v>
      </c>
      <c r="N210" s="1078"/>
      <c r="O210" s="1078">
        <v>373</v>
      </c>
    </row>
    <row r="211" spans="1:15" ht="15.75" customHeight="1">
      <c r="A211" s="1114"/>
      <c r="B211" s="1114"/>
      <c r="C211" s="1161" t="s">
        <v>1385</v>
      </c>
      <c r="D211" s="1227" t="s">
        <v>1041</v>
      </c>
      <c r="E211" s="1163"/>
      <c r="F211" s="1159"/>
      <c r="G211" s="1078"/>
      <c r="H211" s="1078">
        <v>520</v>
      </c>
      <c r="I211" s="1078">
        <v>520</v>
      </c>
      <c r="J211" s="1078"/>
      <c r="K211" s="1078"/>
      <c r="L211" s="1078">
        <v>520</v>
      </c>
      <c r="M211" s="1078"/>
      <c r="N211" s="1078">
        <f>SUM(H211+K211)</f>
        <v>520</v>
      </c>
      <c r="O211" s="1078">
        <f>SUM(M211:N211)</f>
        <v>520</v>
      </c>
    </row>
    <row r="212" spans="1:15" ht="12.75" customHeight="1">
      <c r="A212" s="1143"/>
      <c r="B212" s="1143"/>
      <c r="C212" s="1152"/>
      <c r="D212" s="1153" t="s">
        <v>1672</v>
      </c>
      <c r="E212" s="1154"/>
      <c r="F212" s="1155"/>
      <c r="G212" s="1156">
        <f aca="true" t="shared" si="42" ref="G212:O212">SUM(G206:G211)</f>
        <v>31937</v>
      </c>
      <c r="H212" s="1156">
        <f t="shared" si="42"/>
        <v>28969</v>
      </c>
      <c r="I212" s="1156">
        <f t="shared" si="42"/>
        <v>60906</v>
      </c>
      <c r="J212" s="1156">
        <f t="shared" si="42"/>
        <v>0</v>
      </c>
      <c r="K212" s="1156">
        <f t="shared" si="42"/>
        <v>0</v>
      </c>
      <c r="L212" s="1156">
        <f t="shared" si="42"/>
        <v>893</v>
      </c>
      <c r="M212" s="1156">
        <f t="shared" si="42"/>
        <v>31937</v>
      </c>
      <c r="N212" s="1156">
        <f t="shared" si="42"/>
        <v>28969</v>
      </c>
      <c r="O212" s="1156">
        <f t="shared" si="42"/>
        <v>60906</v>
      </c>
    </row>
    <row r="213" spans="1:15" ht="12.75" customHeight="1">
      <c r="A213" s="1114">
        <v>1</v>
      </c>
      <c r="B213" s="1114">
        <v>19</v>
      </c>
      <c r="C213" s="1157"/>
      <c r="D213" s="1164" t="s">
        <v>893</v>
      </c>
      <c r="E213" s="1158"/>
      <c r="F213" s="1159"/>
      <c r="G213" s="1078"/>
      <c r="H213" s="1078"/>
      <c r="I213" s="1078"/>
      <c r="J213" s="1078"/>
      <c r="K213" s="1078"/>
      <c r="L213" s="1078"/>
      <c r="M213" s="1078"/>
      <c r="N213" s="1078"/>
      <c r="O213" s="1078"/>
    </row>
    <row r="214" spans="1:15" ht="12.75" customHeight="1">
      <c r="A214" s="1114"/>
      <c r="B214" s="1114"/>
      <c r="C214" s="1157"/>
      <c r="D214" s="1129" t="s">
        <v>1717</v>
      </c>
      <c r="E214" s="1158"/>
      <c r="F214" s="1159"/>
      <c r="G214" s="1078"/>
      <c r="H214" s="1078"/>
      <c r="I214" s="1078"/>
      <c r="J214" s="1078"/>
      <c r="K214" s="1078"/>
      <c r="L214" s="1078"/>
      <c r="M214" s="1078"/>
      <c r="N214" s="1078"/>
      <c r="O214" s="1078"/>
    </row>
    <row r="215" spans="1:15" ht="12.75" customHeight="1">
      <c r="A215" s="1114"/>
      <c r="B215" s="1114"/>
      <c r="C215" s="1161" t="s">
        <v>1680</v>
      </c>
      <c r="D215" s="1165" t="s">
        <v>361</v>
      </c>
      <c r="E215" s="1158"/>
      <c r="F215" s="1159"/>
      <c r="G215" s="1078">
        <v>0</v>
      </c>
      <c r="H215" s="1078">
        <v>2000</v>
      </c>
      <c r="I215" s="1078">
        <f>SUM(G215:H215)</f>
        <v>2000</v>
      </c>
      <c r="J215" s="1078"/>
      <c r="K215" s="1078"/>
      <c r="L215" s="1078">
        <f>SUM(J215:K215)</f>
        <v>0</v>
      </c>
      <c r="M215" s="1078">
        <f>SUM(G215+J215)</f>
        <v>0</v>
      </c>
      <c r="N215" s="1078">
        <f>SUM(H215+K215)</f>
        <v>2000</v>
      </c>
      <c r="O215" s="1078">
        <f>SUM(M215:N215)</f>
        <v>2000</v>
      </c>
    </row>
    <row r="216" spans="1:15" ht="12.75" customHeight="1">
      <c r="A216" s="1143"/>
      <c r="B216" s="1143"/>
      <c r="C216" s="1152"/>
      <c r="D216" s="1153" t="s">
        <v>895</v>
      </c>
      <c r="E216" s="1154"/>
      <c r="F216" s="1155"/>
      <c r="G216" s="1156">
        <f aca="true" t="shared" si="43" ref="G216:O216">SUM(G214:G215)</f>
        <v>0</v>
      </c>
      <c r="H216" s="1156">
        <f t="shared" si="43"/>
        <v>2000</v>
      </c>
      <c r="I216" s="1156">
        <f t="shared" si="43"/>
        <v>2000</v>
      </c>
      <c r="J216" s="1156">
        <f t="shared" si="43"/>
        <v>0</v>
      </c>
      <c r="K216" s="1156">
        <f t="shared" si="43"/>
        <v>0</v>
      </c>
      <c r="L216" s="1156">
        <f t="shared" si="43"/>
        <v>0</v>
      </c>
      <c r="M216" s="1156">
        <f t="shared" si="43"/>
        <v>0</v>
      </c>
      <c r="N216" s="1156">
        <f t="shared" si="43"/>
        <v>2000</v>
      </c>
      <c r="O216" s="1156">
        <f t="shared" si="43"/>
        <v>2000</v>
      </c>
    </row>
    <row r="217" spans="1:15" ht="12.75" customHeight="1">
      <c r="A217" s="1067">
        <v>1</v>
      </c>
      <c r="B217" s="1067">
        <v>30</v>
      </c>
      <c r="C217" s="1067"/>
      <c r="D217" s="1068" t="s">
        <v>1887</v>
      </c>
      <c r="E217" s="1166"/>
      <c r="F217" s="1167"/>
      <c r="G217" s="1078"/>
      <c r="H217" s="1078"/>
      <c r="I217" s="1078"/>
      <c r="J217" s="1078"/>
      <c r="K217" s="1078"/>
      <c r="L217" s="1078"/>
      <c r="M217" s="1078"/>
      <c r="N217" s="1078"/>
      <c r="O217" s="1078"/>
    </row>
    <row r="218" spans="1:15" ht="12.75" customHeight="1">
      <c r="A218" s="1067"/>
      <c r="B218" s="1067"/>
      <c r="C218" s="1067" t="s">
        <v>902</v>
      </c>
      <c r="D218" s="1168" t="s">
        <v>122</v>
      </c>
      <c r="E218" s="1169"/>
      <c r="F218" s="1167" t="s">
        <v>624</v>
      </c>
      <c r="G218" s="1078">
        <v>7751</v>
      </c>
      <c r="H218" s="1078">
        <v>0</v>
      </c>
      <c r="I218" s="1078">
        <f>SUM(G218:H218)</f>
        <v>7751</v>
      </c>
      <c r="J218" s="1078">
        <v>-1522</v>
      </c>
      <c r="K218" s="1078"/>
      <c r="L218" s="1078">
        <f>SUM(J218:K218)</f>
        <v>-1522</v>
      </c>
      <c r="M218" s="1078">
        <f>SUM(G218+J218)</f>
        <v>6229</v>
      </c>
      <c r="N218" s="1078">
        <f>SUM(H218+K218)</f>
        <v>0</v>
      </c>
      <c r="O218" s="1078">
        <f>SUM(M218:N218)</f>
        <v>6229</v>
      </c>
    </row>
    <row r="219" spans="1:15" ht="12.75" customHeight="1">
      <c r="A219" s="1170"/>
      <c r="B219" s="1170"/>
      <c r="C219" s="1170"/>
      <c r="D219" s="1171" t="s">
        <v>1888</v>
      </c>
      <c r="E219" s="1172"/>
      <c r="F219" s="1173"/>
      <c r="G219" s="1174">
        <f>SUM(G218:G218)</f>
        <v>7751</v>
      </c>
      <c r="H219" s="1174">
        <f>SUM(H218:H218)</f>
        <v>0</v>
      </c>
      <c r="I219" s="1174">
        <f>SUM(I218:I218)</f>
        <v>7751</v>
      </c>
      <c r="J219" s="1175">
        <f>SUM(J218)</f>
        <v>-1522</v>
      </c>
      <c r="K219" s="1175"/>
      <c r="L219" s="1175">
        <f>SUM(J219:K219)</f>
        <v>-1522</v>
      </c>
      <c r="M219" s="1175">
        <f>SUM(G219+J219)</f>
        <v>6229</v>
      </c>
      <c r="N219" s="1175">
        <f>SUM(H219+K219)</f>
        <v>0</v>
      </c>
      <c r="O219" s="1175">
        <f>SUM(M219:N219)</f>
        <v>6229</v>
      </c>
    </row>
    <row r="220" spans="1:15" ht="12.75" customHeight="1">
      <c r="A220" s="1170"/>
      <c r="B220" s="1170"/>
      <c r="C220" s="1170"/>
      <c r="D220" s="1052" t="s">
        <v>978</v>
      </c>
      <c r="E220" s="1172"/>
      <c r="F220" s="1173"/>
      <c r="G220" s="1174">
        <f>SUM(G52+G178+G203+G212+G216+G219)</f>
        <v>1231370</v>
      </c>
      <c r="H220" s="1174">
        <f>SUM(H52+H178+H203+H212+H216+H219)</f>
        <v>303662</v>
      </c>
      <c r="I220" s="1174">
        <f>SUM(G220:H220)</f>
        <v>1535032</v>
      </c>
      <c r="J220" s="1174">
        <f>SUM(J52+J178+J203+J212+J216+J219)</f>
        <v>2000</v>
      </c>
      <c r="K220" s="1174">
        <f>SUM(K52+K178+K203+K212+K216+K219)</f>
        <v>0</v>
      </c>
      <c r="L220" s="1174">
        <f>SUM(J220:K220)</f>
        <v>2000</v>
      </c>
      <c r="M220" s="1174">
        <f>SUM(M52+M178+M203+M212+M216+M219)</f>
        <v>1233370</v>
      </c>
      <c r="N220" s="1174">
        <f>SUM(N52+N178+N203+N212+N216+N219)</f>
        <v>303662</v>
      </c>
      <c r="O220" s="1174">
        <f>SUM(M220:N220)</f>
        <v>1537032</v>
      </c>
    </row>
    <row r="221" spans="1:15" ht="12.75" customHeight="1">
      <c r="A221" s="1176">
        <v>2</v>
      </c>
      <c r="B221" s="1177"/>
      <c r="C221" s="1177"/>
      <c r="D221" s="857" t="s">
        <v>398</v>
      </c>
      <c r="E221" s="1178"/>
      <c r="F221" s="1179"/>
      <c r="G221" s="1078">
        <v>125808</v>
      </c>
      <c r="H221" s="1078">
        <v>0</v>
      </c>
      <c r="I221" s="1180">
        <v>125808</v>
      </c>
      <c r="J221" s="1078"/>
      <c r="K221" s="1078"/>
      <c r="L221" s="1078">
        <f>SUM(J221:K221)</f>
        <v>0</v>
      </c>
      <c r="M221" s="1078">
        <f>SUM(G221+J221)</f>
        <v>125808</v>
      </c>
      <c r="N221" s="1078">
        <f>SUM(H221+K221)</f>
        <v>0</v>
      </c>
      <c r="O221" s="1078">
        <f>SUM(M221:N221)</f>
        <v>125808</v>
      </c>
    </row>
    <row r="222" spans="1:15" ht="12.75" customHeight="1">
      <c r="A222" s="1181"/>
      <c r="B222" s="1181"/>
      <c r="C222" s="1181"/>
      <c r="D222" s="1171" t="s">
        <v>376</v>
      </c>
      <c r="E222" s="1172"/>
      <c r="F222" s="1173"/>
      <c r="G222" s="1174">
        <f>SUM(G220+G221)</f>
        <v>1357178</v>
      </c>
      <c r="H222" s="1174">
        <f>SUM(H220+H221)</f>
        <v>303662</v>
      </c>
      <c r="I222" s="1174">
        <f>SUM(G222:H222)</f>
        <v>1660840</v>
      </c>
      <c r="J222" s="1174">
        <f>SUM(J220:J221)</f>
        <v>2000</v>
      </c>
      <c r="K222" s="1174">
        <f>SUM(K220:K221)</f>
        <v>0</v>
      </c>
      <c r="L222" s="1174">
        <f>SUM(J222:K222)</f>
        <v>2000</v>
      </c>
      <c r="M222" s="1174">
        <f>SUM(G222+J222)</f>
        <v>1359178</v>
      </c>
      <c r="N222" s="1174">
        <f>SUM(H222+K222)</f>
        <v>303662</v>
      </c>
      <c r="O222" s="1174">
        <f>SUM(M222:N222)</f>
        <v>1662840</v>
      </c>
    </row>
    <row r="223" spans="1:12" ht="13.5" customHeight="1">
      <c r="A223" s="300" t="s">
        <v>1401</v>
      </c>
      <c r="B223" s="300"/>
      <c r="C223" s="300"/>
      <c r="D223" s="300"/>
      <c r="E223" s="300"/>
      <c r="F223" s="300"/>
      <c r="G223" s="300"/>
      <c r="H223" s="300"/>
      <c r="I223" s="300"/>
      <c r="L223" s="574"/>
    </row>
    <row r="224" spans="1:9" ht="13.5" customHeight="1">
      <c r="A224" s="301"/>
      <c r="B224" s="301"/>
      <c r="C224" s="301"/>
      <c r="D224" s="302"/>
      <c r="E224" s="302"/>
      <c r="F224" s="302"/>
      <c r="G224" s="303"/>
      <c r="H224" s="304"/>
      <c r="I224" s="304"/>
    </row>
    <row r="225" spans="1:3" ht="12">
      <c r="A225" s="305"/>
      <c r="B225" s="306"/>
      <c r="C225" s="306"/>
    </row>
    <row r="226" spans="1:3" ht="12">
      <c r="A226" s="306"/>
      <c r="B226" s="306"/>
      <c r="C226" s="306"/>
    </row>
    <row r="227" spans="1:3" ht="12">
      <c r="A227" s="306"/>
      <c r="B227" s="306"/>
      <c r="C227" s="306"/>
    </row>
  </sheetData>
  <sheetProtection selectLockedCells="1" selectUnlockedCells="1"/>
  <mergeCells count="5">
    <mergeCell ref="M1:O1"/>
    <mergeCell ref="D37:E37"/>
    <mergeCell ref="G1:I1"/>
    <mergeCell ref="J1:L1"/>
    <mergeCell ref="F1:F2"/>
  </mergeCells>
  <printOptions horizontalCentered="1" verticalCentered="1"/>
  <pageMargins left="0.03958333333333333" right="0.03958333333333333" top="0.8270833333333333" bottom="0.39375" header="0.31527777777777777" footer="0.2361111111111111"/>
  <pageSetup horizontalDpi="300" verticalDpi="300" orientation="landscape" paperSize="9" scale="86" r:id="rId1"/>
  <headerFooter alignWithMargins="0">
    <oddHeader>&amp;C&amp;"Times New Roman,Félkövér dőlt"Zalaegerszeg Megyei Jogú Város Önkormányzatának
2014. évi  felújítási kiadásai célonként&amp;R&amp;"Times New Roman,Félkövér dőlt"8.  melléklet
Adatok  ezer Ft-ban</oddHeader>
    <oddFooter>&amp;C&amp;P. oldal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O63"/>
  <sheetViews>
    <sheetView workbookViewId="0" topLeftCell="A7">
      <selection activeCell="E20" sqref="E20:J20"/>
    </sheetView>
  </sheetViews>
  <sheetFormatPr defaultColWidth="9.00390625" defaultRowHeight="12.75"/>
  <cols>
    <col min="1" max="1" width="3.00390625" style="454" customWidth="1"/>
    <col min="2" max="2" width="35.00390625" style="451" customWidth="1"/>
    <col min="3" max="4" width="11.375" style="451" customWidth="1"/>
    <col min="5" max="6" width="11.875" style="451" customWidth="1"/>
    <col min="7" max="7" width="10.50390625" style="451" customWidth="1"/>
    <col min="8" max="8" width="12.00390625" style="451" customWidth="1"/>
    <col min="9" max="9" width="11.50390625" style="451" customWidth="1"/>
    <col min="10" max="10" width="11.625" style="451" customWidth="1"/>
    <col min="11" max="11" width="11.375" style="451" customWidth="1"/>
    <col min="12" max="12" width="12.875" style="451" customWidth="1"/>
    <col min="13" max="13" width="13.125" style="451" customWidth="1"/>
    <col min="14" max="14" width="9.50390625" style="451" customWidth="1"/>
    <col min="15" max="15" width="13.125" style="451" customWidth="1"/>
    <col min="16" max="16384" width="9.375" style="451" customWidth="1"/>
  </cols>
  <sheetData>
    <row r="1" spans="1:15" ht="14.25" customHeight="1">
      <c r="A1" s="1535" t="s">
        <v>600</v>
      </c>
      <c r="B1" s="1535" t="s">
        <v>648</v>
      </c>
      <c r="C1" s="1538" t="s">
        <v>649</v>
      </c>
      <c r="D1" s="1538" t="s">
        <v>1003</v>
      </c>
      <c r="E1" s="1535" t="s">
        <v>61</v>
      </c>
      <c r="F1" s="1373"/>
      <c r="G1" s="1373"/>
      <c r="H1" s="1373"/>
      <c r="I1" s="1373"/>
      <c r="J1" s="1373"/>
      <c r="K1" s="1373"/>
      <c r="L1" s="1537" t="s">
        <v>990</v>
      </c>
      <c r="M1" s="1373"/>
      <c r="N1" s="1373"/>
      <c r="O1" s="1535" t="s">
        <v>650</v>
      </c>
    </row>
    <row r="2" spans="1:15" ht="81.75" customHeight="1">
      <c r="A2" s="1536"/>
      <c r="B2" s="1536"/>
      <c r="C2" s="1539"/>
      <c r="D2" s="1539"/>
      <c r="E2" s="1182" t="s">
        <v>436</v>
      </c>
      <c r="F2" s="1182" t="s">
        <v>437</v>
      </c>
      <c r="G2" s="1182" t="s">
        <v>438</v>
      </c>
      <c r="H2" s="1182" t="s">
        <v>443</v>
      </c>
      <c r="I2" s="1182" t="s">
        <v>444</v>
      </c>
      <c r="J2" s="1182" t="s">
        <v>445</v>
      </c>
      <c r="K2" s="1182" t="s">
        <v>446</v>
      </c>
      <c r="L2" s="1182" t="s">
        <v>63</v>
      </c>
      <c r="M2" s="1182" t="s">
        <v>918</v>
      </c>
      <c r="N2" s="1182" t="s">
        <v>65</v>
      </c>
      <c r="O2" s="1535"/>
    </row>
    <row r="3" spans="1:15" ht="15" customHeight="1">
      <c r="A3" s="1183">
        <v>2</v>
      </c>
      <c r="B3" s="1184" t="s">
        <v>50</v>
      </c>
      <c r="C3" s="762">
        <v>1237075</v>
      </c>
      <c r="D3" s="762">
        <f>80429+'[5]táj.1.'!M3</f>
        <v>80429</v>
      </c>
      <c r="E3" s="1185">
        <f>30832+'[5]táj.1.'!C3</f>
        <v>30832</v>
      </c>
      <c r="F3" s="1185">
        <f>0+'[5]táj.1.'!D3</f>
        <v>0</v>
      </c>
      <c r="G3" s="1185">
        <f>0+'[5]táj.1.'!E3</f>
        <v>0</v>
      </c>
      <c r="H3" s="1186">
        <f>15400+'[5]táj.1.'!F3</f>
        <v>15400</v>
      </c>
      <c r="I3" s="1186">
        <f>264+'[5]táj.1.'!G3</f>
        <v>264</v>
      </c>
      <c r="J3" s="1186">
        <f>0+'[5]táj.1.'!H3</f>
        <v>0</v>
      </c>
      <c r="K3" s="1186">
        <f>0+'[5]táj.1.'!I3</f>
        <v>0</v>
      </c>
      <c r="L3" s="1186">
        <f>151729+'[5]táj.1.'!J3</f>
        <v>151729</v>
      </c>
      <c r="M3" s="1186">
        <f>1119279+'[5]táj.1.'!K3</f>
        <v>1119279</v>
      </c>
      <c r="N3" s="1186">
        <f>0+'[5]táj.1.'!L3</f>
        <v>0</v>
      </c>
      <c r="O3" s="1186">
        <f aca="true" t="shared" si="0" ref="O3:O19">SUM(E3:N3)</f>
        <v>1317504</v>
      </c>
    </row>
    <row r="4" spans="1:15" s="452" customFormat="1" ht="28.5" customHeight="1">
      <c r="A4" s="1183">
        <v>3</v>
      </c>
      <c r="B4" s="1184" t="s">
        <v>1445</v>
      </c>
      <c r="C4" s="762">
        <v>1361767</v>
      </c>
      <c r="D4" s="762">
        <f>49624+'[5]táj.1.'!M4</f>
        <v>49624</v>
      </c>
      <c r="E4" s="1185">
        <f>8004+'[5]táj.1.'!C4</f>
        <v>8004</v>
      </c>
      <c r="F4" s="1185">
        <f>11100+'[5]táj.1.'!D4</f>
        <v>11100</v>
      </c>
      <c r="G4" s="1185">
        <f>0+'[5]táj.1.'!E4</f>
        <v>0</v>
      </c>
      <c r="H4" s="1186">
        <f>411358+'[5]táj.1.'!F4</f>
        <v>411358</v>
      </c>
      <c r="I4" s="1186">
        <f>0+'[5]táj.1.'!G4</f>
        <v>0</v>
      </c>
      <c r="J4" s="1186">
        <f>0+'[5]táj.1.'!H4</f>
        <v>0</v>
      </c>
      <c r="K4" s="1186">
        <f>0+'[5]táj.1.'!I4</f>
        <v>0</v>
      </c>
      <c r="L4" s="1186">
        <f>41560+'[5]táj.1.'!J4</f>
        <v>41560</v>
      </c>
      <c r="M4" s="1186">
        <f>939369+'[5]táj.1.'!K4</f>
        <v>939369</v>
      </c>
      <c r="N4" s="1186">
        <f>0+'[5]táj.1.'!L4</f>
        <v>0</v>
      </c>
      <c r="O4" s="1186">
        <f t="shared" si="0"/>
        <v>1411391</v>
      </c>
    </row>
    <row r="5" spans="1:15" s="452" customFormat="1" ht="19.5" customHeight="1">
      <c r="A5" s="1183">
        <v>4</v>
      </c>
      <c r="B5" s="1184" t="s">
        <v>957</v>
      </c>
      <c r="C5" s="762">
        <v>362804</v>
      </c>
      <c r="D5" s="762">
        <f>50305+'[5]táj.1.'!M5</f>
        <v>52805</v>
      </c>
      <c r="E5" s="1185">
        <f>9857+'[5]táj.1.'!C5</f>
        <v>9857</v>
      </c>
      <c r="F5" s="1185">
        <f>15682+'[5]táj.1.'!D5</f>
        <v>15773</v>
      </c>
      <c r="G5" s="1185">
        <f>0+'[5]táj.1.'!E5</f>
        <v>0</v>
      </c>
      <c r="H5" s="1186">
        <f>107376+'[5]táj.1.'!F5</f>
        <v>109785</v>
      </c>
      <c r="I5" s="1186">
        <f>0+'[5]táj.1.'!G5</f>
        <v>0</v>
      </c>
      <c r="J5" s="1186">
        <f>0+'[5]táj.1.'!H5</f>
        <v>0</v>
      </c>
      <c r="K5" s="1186">
        <f>0+'[5]táj.1.'!I5</f>
        <v>0</v>
      </c>
      <c r="L5" s="1186">
        <f>859+'[5]táj.1.'!J5</f>
        <v>859</v>
      </c>
      <c r="M5" s="1186">
        <f>279335+'[5]táj.1.'!K5</f>
        <v>279335</v>
      </c>
      <c r="N5" s="1186">
        <f>0+'[5]táj.1.'!L5</f>
        <v>0</v>
      </c>
      <c r="O5" s="1186">
        <f t="shared" si="0"/>
        <v>415609</v>
      </c>
    </row>
    <row r="6" spans="1:15" s="452" customFormat="1" ht="32.25" customHeight="1">
      <c r="A6" s="1183">
        <v>5</v>
      </c>
      <c r="B6" s="234" t="s">
        <v>958</v>
      </c>
      <c r="C6" s="56">
        <v>316218</v>
      </c>
      <c r="D6" s="762">
        <f>99013+'[5]táj.1.'!M6</f>
        <v>99013</v>
      </c>
      <c r="E6" s="1185">
        <f>289942+'[5]táj.1.'!C6</f>
        <v>289942</v>
      </c>
      <c r="F6" s="1185">
        <f>1000+'[5]táj.1.'!D6</f>
        <v>1000</v>
      </c>
      <c r="G6" s="1185">
        <f>0+'[5]táj.1.'!E6</f>
        <v>0</v>
      </c>
      <c r="H6" s="1186">
        <f>3000+'[5]táj.1.'!F6</f>
        <v>3000</v>
      </c>
      <c r="I6" s="1186">
        <f>0+'[5]táj.1.'!G6</f>
        <v>0</v>
      </c>
      <c r="J6" s="1186">
        <f>0+'[5]táj.1.'!H6</f>
        <v>0</v>
      </c>
      <c r="K6" s="1186">
        <f>0+'[5]táj.1.'!I6</f>
        <v>0</v>
      </c>
      <c r="L6" s="1186">
        <f>57550+'[5]táj.1.'!J6</f>
        <v>57550</v>
      </c>
      <c r="M6" s="1186">
        <f>63739+'[5]táj.1.'!K6</f>
        <v>63739</v>
      </c>
      <c r="N6" s="1186">
        <f>0+'[5]táj.1.'!L6</f>
        <v>0</v>
      </c>
      <c r="O6" s="1186">
        <f t="shared" si="0"/>
        <v>415231</v>
      </c>
    </row>
    <row r="7" spans="1:15" s="452" customFormat="1" ht="25.5">
      <c r="A7" s="1183">
        <v>6</v>
      </c>
      <c r="B7" s="234" t="s">
        <v>959</v>
      </c>
      <c r="C7" s="56">
        <v>310239</v>
      </c>
      <c r="D7" s="762">
        <f>12203+'[5]táj.1.'!M7</f>
        <v>12203</v>
      </c>
      <c r="E7" s="1185">
        <f>1517+'[5]táj.1.'!C7</f>
        <v>1517</v>
      </c>
      <c r="F7" s="1185">
        <f>600+'[5]táj.1.'!D7</f>
        <v>600</v>
      </c>
      <c r="G7" s="1185">
        <f>0+'[5]táj.1.'!E7</f>
        <v>0</v>
      </c>
      <c r="H7" s="1186">
        <f>36430+'[5]táj.1.'!F7</f>
        <v>36430</v>
      </c>
      <c r="I7" s="1186">
        <f>0+'[5]táj.1.'!G7</f>
        <v>0</v>
      </c>
      <c r="J7" s="1186">
        <f>0+'[5]táj.1.'!H7</f>
        <v>0</v>
      </c>
      <c r="K7" s="1186">
        <f>0+'[5]táj.1.'!I7</f>
        <v>0</v>
      </c>
      <c r="L7" s="1186">
        <f>870+'[5]táj.1.'!J7</f>
        <v>870</v>
      </c>
      <c r="M7" s="1186">
        <f>283025+'[5]táj.1.'!K7</f>
        <v>283025</v>
      </c>
      <c r="N7" s="1186">
        <f>0+'[5]táj.1.'!L7</f>
        <v>0</v>
      </c>
      <c r="O7" s="1186">
        <f t="shared" si="0"/>
        <v>322442</v>
      </c>
    </row>
    <row r="8" spans="1:15" s="452" customFormat="1" ht="26.25" customHeight="1">
      <c r="A8" s="1183">
        <v>7</v>
      </c>
      <c r="B8" s="234" t="s">
        <v>960</v>
      </c>
      <c r="C8" s="56">
        <v>288134</v>
      </c>
      <c r="D8" s="762">
        <f>-2006+'[5]táj.1.'!M8</f>
        <v>-2006</v>
      </c>
      <c r="E8" s="1185">
        <f>2028+'[5]táj.1.'!C8</f>
        <v>2028</v>
      </c>
      <c r="F8" s="1185">
        <f>0+'[5]táj.1.'!D8</f>
        <v>0</v>
      </c>
      <c r="G8" s="1185">
        <f>0+'[5]táj.1.'!E8</f>
        <v>0</v>
      </c>
      <c r="H8" s="1186">
        <f>32119+'[5]táj.1.'!F8</f>
        <v>32119</v>
      </c>
      <c r="I8" s="1186">
        <f>0+'[5]táj.1.'!G8</f>
        <v>0</v>
      </c>
      <c r="J8" s="1186">
        <f>0+'[5]táj.1.'!H8</f>
        <v>0</v>
      </c>
      <c r="K8" s="1186">
        <f>0+'[5]táj.1.'!I8</f>
        <v>0</v>
      </c>
      <c r="L8" s="1186">
        <f>1584+'[5]táj.1.'!J8</f>
        <v>1584</v>
      </c>
      <c r="M8" s="1186">
        <f>250397+'[5]táj.1.'!K8</f>
        <v>250397</v>
      </c>
      <c r="N8" s="1186">
        <f>0+'[5]táj.1.'!L8</f>
        <v>0</v>
      </c>
      <c r="O8" s="1186">
        <f t="shared" si="0"/>
        <v>286128</v>
      </c>
    </row>
    <row r="9" spans="1:15" s="452" customFormat="1" ht="15" customHeight="1">
      <c r="A9" s="1183">
        <v>8</v>
      </c>
      <c r="B9" s="234" t="s">
        <v>961</v>
      </c>
      <c r="C9" s="56">
        <v>283986</v>
      </c>
      <c r="D9" s="762">
        <f>10396+'[5]táj.1.'!M9</f>
        <v>10396</v>
      </c>
      <c r="E9" s="1185">
        <f>700+'[5]táj.1.'!C9</f>
        <v>700</v>
      </c>
      <c r="F9" s="1185">
        <f>0+'[5]táj.1.'!D9</f>
        <v>0</v>
      </c>
      <c r="G9" s="1185">
        <f>0+'[5]táj.1.'!E9</f>
        <v>0</v>
      </c>
      <c r="H9" s="1186">
        <f>27798+'[5]táj.1.'!F9</f>
        <v>27798</v>
      </c>
      <c r="I9" s="1186">
        <f>0+'[5]táj.1.'!G9</f>
        <v>0</v>
      </c>
      <c r="J9" s="1186">
        <f>0+'[5]táj.1.'!H9</f>
        <v>0</v>
      </c>
      <c r="K9" s="1186">
        <f>0+'[5]táj.1.'!I9</f>
        <v>0</v>
      </c>
      <c r="L9" s="1186">
        <f>757+'[5]táj.1.'!J9</f>
        <v>757</v>
      </c>
      <c r="M9" s="1186">
        <f>265127+'[5]táj.1.'!K9</f>
        <v>265127</v>
      </c>
      <c r="N9" s="1186">
        <f>0+'[5]táj.1.'!L9</f>
        <v>0</v>
      </c>
      <c r="O9" s="1186">
        <f t="shared" si="0"/>
        <v>294382</v>
      </c>
    </row>
    <row r="10" spans="1:15" s="452" customFormat="1" ht="19.5" customHeight="1">
      <c r="A10" s="1183">
        <v>9</v>
      </c>
      <c r="B10" s="234" t="s">
        <v>962</v>
      </c>
      <c r="C10" s="56">
        <v>287762</v>
      </c>
      <c r="D10" s="762">
        <f>-780+'[5]táj.1.'!M10</f>
        <v>-780</v>
      </c>
      <c r="E10" s="1185">
        <f>2369+'[5]táj.1.'!C10</f>
        <v>2369</v>
      </c>
      <c r="F10" s="1185">
        <f>0+'[5]táj.1.'!D10</f>
        <v>0</v>
      </c>
      <c r="G10" s="1185">
        <f>0+'[5]táj.1.'!E10</f>
        <v>0</v>
      </c>
      <c r="H10" s="1186">
        <f>25240+'[5]táj.1.'!F10</f>
        <v>25240</v>
      </c>
      <c r="I10" s="1186">
        <f>0+'[5]táj.1.'!G10</f>
        <v>0</v>
      </c>
      <c r="J10" s="1186">
        <f>0+'[5]táj.1.'!H10</f>
        <v>0</v>
      </c>
      <c r="K10" s="1186">
        <f>0+'[5]táj.1.'!I10</f>
        <v>0</v>
      </c>
      <c r="L10" s="1186">
        <f>519+'[5]táj.1.'!J10</f>
        <v>519</v>
      </c>
      <c r="M10" s="1186">
        <f>258854+'[5]táj.1.'!K10</f>
        <v>258854</v>
      </c>
      <c r="N10" s="1186">
        <f>0+'[5]táj.1.'!L10</f>
        <v>0</v>
      </c>
      <c r="O10" s="1186">
        <f t="shared" si="0"/>
        <v>286982</v>
      </c>
    </row>
    <row r="11" spans="1:15" s="452" customFormat="1" ht="27" customHeight="1">
      <c r="A11" s="1183">
        <v>10</v>
      </c>
      <c r="B11" s="234" t="s">
        <v>963</v>
      </c>
      <c r="C11" s="1187">
        <v>112025</v>
      </c>
      <c r="D11" s="762">
        <f>48048+'[5]táj.1.'!M11</f>
        <v>48048</v>
      </c>
      <c r="E11" s="1185">
        <f>33881+'[5]táj.1.'!C11</f>
        <v>33881</v>
      </c>
      <c r="F11" s="1185">
        <f>7400+'[5]táj.1.'!D11</f>
        <v>7400</v>
      </c>
      <c r="G11" s="1185">
        <f>0+'[5]táj.1.'!E11</f>
        <v>0</v>
      </c>
      <c r="H11" s="1186">
        <f>22560+'[5]táj.1.'!F11</f>
        <v>22560</v>
      </c>
      <c r="I11" s="1186">
        <f>0+'[5]táj.1.'!G11</f>
        <v>0</v>
      </c>
      <c r="J11" s="1186">
        <f>130+'[5]táj.1.'!H11</f>
        <v>130</v>
      </c>
      <c r="K11" s="1186">
        <f>0+'[5]táj.1.'!I11</f>
        <v>0</v>
      </c>
      <c r="L11" s="1186">
        <f>5278+'[5]táj.1.'!J11</f>
        <v>5278</v>
      </c>
      <c r="M11" s="1186">
        <f>90824+'[5]táj.1.'!K11</f>
        <v>90824</v>
      </c>
      <c r="N11" s="1186">
        <f>0+'[5]táj.1.'!L11</f>
        <v>0</v>
      </c>
      <c r="O11" s="1186">
        <f t="shared" si="0"/>
        <v>160073</v>
      </c>
    </row>
    <row r="12" spans="1:15" s="452" customFormat="1" ht="20.25" customHeight="1">
      <c r="A12" s="1183">
        <v>11</v>
      </c>
      <c r="B12" s="234" t="s">
        <v>1747</v>
      </c>
      <c r="C12" s="56">
        <v>188141</v>
      </c>
      <c r="D12" s="762">
        <f>69071+'[5]táj.1.'!M12</f>
        <v>69071</v>
      </c>
      <c r="E12" s="1185">
        <f>45548+'[5]táj.1.'!C12</f>
        <v>45548</v>
      </c>
      <c r="F12" s="1185">
        <f>14614+'[5]táj.1.'!D12</f>
        <v>14614</v>
      </c>
      <c r="G12" s="1185">
        <f>0+'[5]táj.1.'!E12</f>
        <v>0</v>
      </c>
      <c r="H12" s="1186">
        <f>45000+'[5]táj.1.'!F12</f>
        <v>45000</v>
      </c>
      <c r="I12" s="1186">
        <f>0+'[5]táj.1.'!G12</f>
        <v>0</v>
      </c>
      <c r="J12" s="1186">
        <f>3174+'[5]táj.1.'!H12</f>
        <v>3174</v>
      </c>
      <c r="K12" s="1186">
        <f>0+'[5]táj.1.'!I12</f>
        <v>0</v>
      </c>
      <c r="L12" s="1186">
        <f>2440+'[5]táj.1.'!J12</f>
        <v>2440</v>
      </c>
      <c r="M12" s="1186">
        <f>146436+'[5]táj.1.'!K12</f>
        <v>146436</v>
      </c>
      <c r="N12" s="1186">
        <f>0+'[5]táj.1.'!L12</f>
        <v>0</v>
      </c>
      <c r="O12" s="1186">
        <f t="shared" si="0"/>
        <v>257212</v>
      </c>
    </row>
    <row r="13" spans="1:15" s="452" customFormat="1" ht="30" customHeight="1">
      <c r="A13" s="1183">
        <v>12</v>
      </c>
      <c r="B13" s="234" t="s">
        <v>964</v>
      </c>
      <c r="C13" s="1187">
        <v>15555</v>
      </c>
      <c r="D13" s="762">
        <f>2698+'[5]táj.1.'!M13</f>
        <v>2698</v>
      </c>
      <c r="E13" s="1185">
        <f>1591+'[5]táj.1.'!C13</f>
        <v>1591</v>
      </c>
      <c r="F13" s="1185">
        <f>0+'[5]táj.1.'!D13</f>
        <v>0</v>
      </c>
      <c r="G13" s="1185">
        <f>0+'[5]táj.1.'!E13</f>
        <v>0</v>
      </c>
      <c r="H13" s="1186">
        <f>1286+'[5]táj.1.'!F13</f>
        <v>1286</v>
      </c>
      <c r="I13" s="1186">
        <f>0+'[5]táj.1.'!G13</f>
        <v>0</v>
      </c>
      <c r="J13" s="1186">
        <f>0+'[5]táj.1.'!H13</f>
        <v>0</v>
      </c>
      <c r="K13" s="1186">
        <f>0+'[5]táj.1.'!I13</f>
        <v>0</v>
      </c>
      <c r="L13" s="1186">
        <f>1600+'[5]táj.1.'!J13</f>
        <v>1600</v>
      </c>
      <c r="M13" s="1186">
        <f>13776+'[5]táj.1.'!K13</f>
        <v>13776</v>
      </c>
      <c r="N13" s="1186">
        <f>0+'[5]táj.1.'!L13</f>
        <v>0</v>
      </c>
      <c r="O13" s="1186">
        <f t="shared" si="0"/>
        <v>18253</v>
      </c>
    </row>
    <row r="14" spans="1:15" s="452" customFormat="1" ht="26.25" customHeight="1">
      <c r="A14" s="1183">
        <v>13</v>
      </c>
      <c r="B14" s="234" t="s">
        <v>955</v>
      </c>
      <c r="C14" s="56">
        <v>353704</v>
      </c>
      <c r="D14" s="762">
        <f>52260+'[5]táj.1.'!M14</f>
        <v>52260</v>
      </c>
      <c r="E14" s="1185">
        <f>44490+'[5]táj.1.'!C14</f>
        <v>44490</v>
      </c>
      <c r="F14" s="1185">
        <f>0+'[5]táj.1.'!D14</f>
        <v>0</v>
      </c>
      <c r="G14" s="1185">
        <f>0+'[5]táj.1.'!E14</f>
        <v>0</v>
      </c>
      <c r="H14" s="1186">
        <f>34200+'[5]táj.1.'!F14</f>
        <v>34200</v>
      </c>
      <c r="I14" s="1186">
        <f>0+'[5]táj.1.'!G14</f>
        <v>0</v>
      </c>
      <c r="J14" s="1186">
        <f>0+'[5]táj.1.'!H14</f>
        <v>0</v>
      </c>
      <c r="K14" s="1186">
        <f>0+'[5]táj.1.'!I14</f>
        <v>0</v>
      </c>
      <c r="L14" s="1186">
        <f>9540+'[5]táj.1.'!J14</f>
        <v>9540</v>
      </c>
      <c r="M14" s="1186">
        <f>317734+'[5]táj.1.'!K14</f>
        <v>317734</v>
      </c>
      <c r="N14" s="1186">
        <f>0+'[5]táj.1.'!L14</f>
        <v>0</v>
      </c>
      <c r="O14" s="1186">
        <f t="shared" si="0"/>
        <v>405964</v>
      </c>
    </row>
    <row r="15" spans="1:15" s="452" customFormat="1" ht="16.5" customHeight="1">
      <c r="A15" s="1183">
        <v>14</v>
      </c>
      <c r="B15" s="234" t="s">
        <v>956</v>
      </c>
      <c r="C15" s="56">
        <v>271692</v>
      </c>
      <c r="D15" s="762">
        <f>84569+'[5]táj.1.'!M15</f>
        <v>90157</v>
      </c>
      <c r="E15" s="1185">
        <f>37492+'[5]táj.1.'!C15</f>
        <v>37492</v>
      </c>
      <c r="F15" s="1185">
        <f>31380+'[5]táj.1.'!D15</f>
        <v>31380</v>
      </c>
      <c r="G15" s="1185">
        <f>0+'[5]táj.1.'!E15</f>
        <v>0</v>
      </c>
      <c r="H15" s="1186">
        <f>138142+'[5]táj.1.'!F15</f>
        <v>143730</v>
      </c>
      <c r="I15" s="1186">
        <f>400+'[5]táj.1.'!G15</f>
        <v>400</v>
      </c>
      <c r="J15" s="1186">
        <f>1224+'[5]táj.1.'!H15</f>
        <v>1224</v>
      </c>
      <c r="K15" s="1186">
        <f>0+'[5]táj.1.'!I15</f>
        <v>0</v>
      </c>
      <c r="L15" s="1186">
        <f>39956+'[5]táj.1.'!J15</f>
        <v>39956</v>
      </c>
      <c r="M15" s="1186">
        <f>107667+'[5]táj.1.'!K15</f>
        <v>107667</v>
      </c>
      <c r="N15" s="1186">
        <f>0+'[5]táj.1.'!L15</f>
        <v>0</v>
      </c>
      <c r="O15" s="1186">
        <f t="shared" si="0"/>
        <v>361849</v>
      </c>
    </row>
    <row r="16" spans="1:15" s="452" customFormat="1" ht="18" customHeight="1">
      <c r="A16" s="1183">
        <v>15</v>
      </c>
      <c r="B16" s="234" t="s">
        <v>965</v>
      </c>
      <c r="C16" s="56">
        <v>573476</v>
      </c>
      <c r="D16" s="762">
        <f>40297+'[5]táj.1.'!M16</f>
        <v>40297</v>
      </c>
      <c r="E16" s="1185">
        <f>1980+'[5]táj.1.'!C16</f>
        <v>1980</v>
      </c>
      <c r="F16" s="1185">
        <f>11300+'[5]táj.1.'!D16</f>
        <v>11300</v>
      </c>
      <c r="G16" s="1185">
        <f>0+'[5]táj.1.'!E16</f>
        <v>0</v>
      </c>
      <c r="H16" s="1186">
        <f>165680+'[5]táj.1.'!F16</f>
        <v>165680</v>
      </c>
      <c r="I16" s="1186">
        <f>0+'[5]táj.1.'!G16</f>
        <v>0</v>
      </c>
      <c r="J16" s="1186">
        <f>58367+'[5]táj.1.'!H16</f>
        <v>58367</v>
      </c>
      <c r="K16" s="1186">
        <f>0+'[5]táj.1.'!I16</f>
        <v>0</v>
      </c>
      <c r="L16" s="1186">
        <f>1843+'[5]táj.1.'!J16</f>
        <v>1843</v>
      </c>
      <c r="M16" s="1186">
        <f>374603+'[5]táj.1.'!K16</f>
        <v>374603</v>
      </c>
      <c r="N16" s="1186">
        <f>0+'[5]táj.1.'!L16</f>
        <v>0</v>
      </c>
      <c r="O16" s="1186">
        <f t="shared" si="0"/>
        <v>613773</v>
      </c>
    </row>
    <row r="17" spans="1:15" s="452" customFormat="1" ht="18.75" customHeight="1">
      <c r="A17" s="1183">
        <v>16</v>
      </c>
      <c r="B17" s="234" t="s">
        <v>966</v>
      </c>
      <c r="C17" s="56">
        <v>102360</v>
      </c>
      <c r="D17" s="762">
        <f>6400+'[5]táj.1.'!M17</f>
        <v>6400</v>
      </c>
      <c r="E17" s="1185">
        <f>1500+'[5]táj.1.'!C17</f>
        <v>1500</v>
      </c>
      <c r="F17" s="1185">
        <f>0+'[5]táj.1.'!D17</f>
        <v>0</v>
      </c>
      <c r="G17" s="1185">
        <f>0+'[5]táj.1.'!E17</f>
        <v>0</v>
      </c>
      <c r="H17" s="1186">
        <f>16805+'[5]táj.1.'!F17</f>
        <v>16805</v>
      </c>
      <c r="I17" s="1186">
        <f>0+'[5]táj.1.'!G17</f>
        <v>0</v>
      </c>
      <c r="J17" s="1186">
        <f>6670+'[5]táj.1.'!H17</f>
        <v>6670</v>
      </c>
      <c r="K17" s="1186">
        <f>0+'[5]táj.1.'!I17</f>
        <v>0</v>
      </c>
      <c r="L17" s="1186">
        <f>5039+'[5]táj.1.'!J17</f>
        <v>5039</v>
      </c>
      <c r="M17" s="1186">
        <f>78746+'[5]táj.1.'!K17</f>
        <v>78746</v>
      </c>
      <c r="N17" s="1186">
        <f>0+'[5]táj.1.'!L17</f>
        <v>0</v>
      </c>
      <c r="O17" s="1186">
        <f t="shared" si="0"/>
        <v>108760</v>
      </c>
    </row>
    <row r="18" spans="1:15" s="452" customFormat="1" ht="31.5" customHeight="1">
      <c r="A18" s="1183">
        <v>17</v>
      </c>
      <c r="B18" s="234" t="s">
        <v>967</v>
      </c>
      <c r="C18" s="56">
        <v>110370</v>
      </c>
      <c r="D18" s="762">
        <f>9748+'[5]táj.1.'!M18</f>
        <v>10068</v>
      </c>
      <c r="E18" s="1185">
        <f>0+'[5]táj.1.'!C18</f>
        <v>0</v>
      </c>
      <c r="F18" s="1185">
        <f>0+'[5]táj.1.'!D18</f>
        <v>0</v>
      </c>
      <c r="G18" s="1185">
        <f>0+'[5]táj.1.'!E18</f>
        <v>0</v>
      </c>
      <c r="H18" s="1186">
        <f>11731+'[5]táj.1.'!F18</f>
        <v>12051</v>
      </c>
      <c r="I18" s="1186">
        <f>0+'[5]táj.1.'!G18</f>
        <v>0</v>
      </c>
      <c r="J18" s="1186">
        <f>0+'[5]táj.1.'!H18</f>
        <v>0</v>
      </c>
      <c r="K18" s="1186">
        <f>0+'[5]táj.1.'!I18</f>
        <v>0</v>
      </c>
      <c r="L18" s="1186">
        <f>22611+'[5]táj.1.'!J18</f>
        <v>22611</v>
      </c>
      <c r="M18" s="1186">
        <f>85776+'[5]táj.1.'!K18</f>
        <v>85776</v>
      </c>
      <c r="N18" s="1186">
        <f>0+'[5]táj.1.'!L18</f>
        <v>0</v>
      </c>
      <c r="O18" s="1186">
        <f t="shared" si="0"/>
        <v>120438</v>
      </c>
    </row>
    <row r="19" spans="1:15" s="452" customFormat="1" ht="18.75" customHeight="1">
      <c r="A19" s="1183">
        <v>18</v>
      </c>
      <c r="B19" s="160" t="s">
        <v>421</v>
      </c>
      <c r="C19" s="1188">
        <v>90900</v>
      </c>
      <c r="D19" s="762">
        <f>29338+'[5]táj.1.'!M19</f>
        <v>29338</v>
      </c>
      <c r="E19" s="1185">
        <f>435+'[5]táj.1.'!C19</f>
        <v>435</v>
      </c>
      <c r="F19" s="1185">
        <f>2815+'[5]táj.1.'!D19</f>
        <v>2815</v>
      </c>
      <c r="G19" s="1185">
        <f>0+'[5]táj.1.'!E19</f>
        <v>0</v>
      </c>
      <c r="H19" s="1186">
        <f>104600+'[5]táj.1.'!F19</f>
        <v>104600</v>
      </c>
      <c r="I19" s="1186">
        <f>0+'[5]táj.1.'!G19</f>
        <v>0</v>
      </c>
      <c r="J19" s="1186">
        <f>0+'[5]táj.1.'!H19</f>
        <v>0</v>
      </c>
      <c r="K19" s="1186">
        <f>0+'[5]táj.1.'!I19</f>
        <v>0</v>
      </c>
      <c r="L19" s="1186">
        <f>12028+'[5]táj.1.'!J19</f>
        <v>12028</v>
      </c>
      <c r="M19" s="1186">
        <f>360+'[5]táj.1.'!K19</f>
        <v>360</v>
      </c>
      <c r="N19" s="1186">
        <f>0+'[5]táj.1.'!L19</f>
        <v>0</v>
      </c>
      <c r="O19" s="1186">
        <f t="shared" si="0"/>
        <v>120238</v>
      </c>
    </row>
    <row r="20" spans="1:15" s="452" customFormat="1" ht="24" customHeight="1">
      <c r="A20" s="1189"/>
      <c r="B20" s="1190" t="s">
        <v>968</v>
      </c>
      <c r="C20" s="1191">
        <f aca="true" t="shared" si="1" ref="C20:O20">SUM(C3:C19)</f>
        <v>6266208</v>
      </c>
      <c r="D20" s="1191">
        <f t="shared" si="1"/>
        <v>650021</v>
      </c>
      <c r="E20" s="1191">
        <f t="shared" si="1"/>
        <v>512166</v>
      </c>
      <c r="F20" s="1191">
        <f t="shared" si="1"/>
        <v>95982</v>
      </c>
      <c r="G20" s="1191">
        <f t="shared" si="1"/>
        <v>0</v>
      </c>
      <c r="H20" s="1191">
        <f t="shared" si="1"/>
        <v>1207042</v>
      </c>
      <c r="I20" s="1191">
        <f t="shared" si="1"/>
        <v>664</v>
      </c>
      <c r="J20" s="1191">
        <f t="shared" si="1"/>
        <v>69565</v>
      </c>
      <c r="K20" s="1191">
        <f t="shared" si="1"/>
        <v>0</v>
      </c>
      <c r="L20" s="1191">
        <f t="shared" si="1"/>
        <v>355763</v>
      </c>
      <c r="M20" s="1191">
        <f t="shared" si="1"/>
        <v>4675047</v>
      </c>
      <c r="N20" s="1191">
        <f t="shared" si="1"/>
        <v>0</v>
      </c>
      <c r="O20" s="1191">
        <f t="shared" si="1"/>
        <v>6916229</v>
      </c>
    </row>
    <row r="21" s="452" customFormat="1" ht="12.75">
      <c r="A21" s="453"/>
    </row>
    <row r="22" s="452" customFormat="1" ht="12.75">
      <c r="A22" s="453"/>
    </row>
    <row r="23" s="452" customFormat="1" ht="12.75">
      <c r="A23" s="453"/>
    </row>
    <row r="24" s="452" customFormat="1" ht="12.75">
      <c r="A24" s="453"/>
    </row>
    <row r="25" s="452" customFormat="1" ht="12.75">
      <c r="A25" s="453"/>
    </row>
    <row r="26" s="452" customFormat="1" ht="12.75">
      <c r="A26" s="453"/>
    </row>
    <row r="27" s="452" customFormat="1" ht="12.75">
      <c r="A27" s="453"/>
    </row>
    <row r="28" s="452" customFormat="1" ht="12.75">
      <c r="A28" s="453"/>
    </row>
    <row r="29" s="452" customFormat="1" ht="12.75">
      <c r="A29" s="453"/>
    </row>
    <row r="30" s="452" customFormat="1" ht="12.75">
      <c r="A30" s="453"/>
    </row>
    <row r="31" s="452" customFormat="1" ht="12.75">
      <c r="A31" s="453"/>
    </row>
    <row r="32" s="452" customFormat="1" ht="12.75">
      <c r="A32" s="453"/>
    </row>
    <row r="33" s="452" customFormat="1" ht="12.75">
      <c r="A33" s="453"/>
    </row>
    <row r="34" s="452" customFormat="1" ht="12.75">
      <c r="A34" s="453"/>
    </row>
    <row r="35" s="452" customFormat="1" ht="12.75">
      <c r="A35" s="453"/>
    </row>
    <row r="36" s="452" customFormat="1" ht="12.75">
      <c r="A36" s="453"/>
    </row>
    <row r="37" s="452" customFormat="1" ht="12.75">
      <c r="A37" s="453"/>
    </row>
    <row r="38" s="452" customFormat="1" ht="12.75">
      <c r="A38" s="453"/>
    </row>
    <row r="39" s="452" customFormat="1" ht="12.75">
      <c r="A39" s="453"/>
    </row>
    <row r="40" s="452" customFormat="1" ht="12.75">
      <c r="A40" s="453"/>
    </row>
    <row r="41" s="452" customFormat="1" ht="12.75">
      <c r="A41" s="453"/>
    </row>
    <row r="42" s="452" customFormat="1" ht="12.75">
      <c r="A42" s="453"/>
    </row>
    <row r="43" s="452" customFormat="1" ht="12.75">
      <c r="A43" s="453"/>
    </row>
    <row r="44" s="452" customFormat="1" ht="12.75">
      <c r="A44" s="453"/>
    </row>
    <row r="45" s="452" customFormat="1" ht="12.75">
      <c r="A45" s="453"/>
    </row>
    <row r="46" s="452" customFormat="1" ht="12.75">
      <c r="A46" s="453"/>
    </row>
    <row r="47" s="452" customFormat="1" ht="12.75">
      <c r="A47" s="453"/>
    </row>
    <row r="48" s="452" customFormat="1" ht="12.75">
      <c r="A48" s="453"/>
    </row>
    <row r="49" s="452" customFormat="1" ht="12.75">
      <c r="A49" s="453"/>
    </row>
    <row r="50" s="452" customFormat="1" ht="12.75">
      <c r="A50" s="453"/>
    </row>
    <row r="51" s="452" customFormat="1" ht="12.75">
      <c r="A51" s="453"/>
    </row>
    <row r="52" s="452" customFormat="1" ht="12.75">
      <c r="A52" s="453"/>
    </row>
    <row r="53" s="452" customFormat="1" ht="12.75">
      <c r="A53" s="453"/>
    </row>
    <row r="54" s="452" customFormat="1" ht="12.75">
      <c r="A54" s="453"/>
    </row>
    <row r="55" s="452" customFormat="1" ht="12.75">
      <c r="A55" s="453"/>
    </row>
    <row r="56" s="452" customFormat="1" ht="12.75">
      <c r="A56" s="453"/>
    </row>
    <row r="57" s="452" customFormat="1" ht="12.75">
      <c r="A57" s="453"/>
    </row>
    <row r="58" s="452" customFormat="1" ht="12.75">
      <c r="A58" s="453"/>
    </row>
    <row r="59" s="452" customFormat="1" ht="12.75">
      <c r="A59" s="453"/>
    </row>
    <row r="60" s="452" customFormat="1" ht="12.75">
      <c r="A60" s="453"/>
    </row>
    <row r="61" s="452" customFormat="1" ht="12.75">
      <c r="A61" s="453"/>
    </row>
    <row r="62" s="452" customFormat="1" ht="12.75">
      <c r="A62" s="453"/>
    </row>
    <row r="63" s="452" customFormat="1" ht="12.75">
      <c r="A63" s="453"/>
    </row>
  </sheetData>
  <sheetProtection/>
  <mergeCells count="7">
    <mergeCell ref="O1:O2"/>
    <mergeCell ref="A1:A2"/>
    <mergeCell ref="B1:B2"/>
    <mergeCell ref="E1:K1"/>
    <mergeCell ref="L1:N1"/>
    <mergeCell ref="C1:C2"/>
    <mergeCell ref="D1:D2"/>
  </mergeCells>
  <printOptions horizontalCentered="1" verticalCentered="1"/>
  <pageMargins left="0.07874015748031496" right="0.07874015748031496" top="1.4173228346456694" bottom="0.7480314960629921" header="0.4330708661417323" footer="0.31496062992125984"/>
  <pageSetup horizontalDpi="300" verticalDpi="300" orientation="landscape" paperSize="9" scale="85" r:id="rId1"/>
  <headerFooter alignWithMargins="0">
    <oddHeader>&amp;C&amp;"Arial CE,Dőlt"ZALAEGERSZEG MJV&amp;"Times New Roman,Dőlt"ÖNKORMÁNYZATA ÁLTAL IRÁNYÍTOTT KÖLTSÉGVETÉSI SZERVEK 
2014. ÉVI  BEVÉTELI ELŐIRÁNYZATAI&amp;R&amp;"Times New Roman,Dőlt"&amp;9
 9.  melléklet
Adatok eFt-ban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N63"/>
  <sheetViews>
    <sheetView workbookViewId="0" topLeftCell="A4">
      <selection activeCell="E20" sqref="E20:I20"/>
    </sheetView>
  </sheetViews>
  <sheetFormatPr defaultColWidth="9.00390625" defaultRowHeight="12.75"/>
  <cols>
    <col min="1" max="1" width="4.00390625" style="454" customWidth="1"/>
    <col min="2" max="2" width="37.00390625" style="451" customWidth="1"/>
    <col min="3" max="3" width="12.00390625" style="451" customWidth="1"/>
    <col min="4" max="4" width="12.50390625" style="451" customWidth="1"/>
    <col min="5" max="5" width="12.625" style="451" customWidth="1"/>
    <col min="6" max="6" width="13.125" style="451" customWidth="1"/>
    <col min="7" max="7" width="11.875" style="451" customWidth="1"/>
    <col min="8" max="8" width="9.625" style="451" customWidth="1"/>
    <col min="9" max="9" width="11.50390625" style="451" customWidth="1"/>
    <col min="10" max="10" width="13.125" style="451" customWidth="1"/>
    <col min="11" max="12" width="12.50390625" style="451" customWidth="1"/>
    <col min="13" max="13" width="11.125" style="451" customWidth="1"/>
    <col min="14" max="14" width="12.875" style="451" customWidth="1"/>
    <col min="15" max="16384" width="9.375" style="451" customWidth="1"/>
  </cols>
  <sheetData>
    <row r="1" spans="1:14" ht="14.25" customHeight="1">
      <c r="A1" s="1535" t="s">
        <v>600</v>
      </c>
      <c r="B1" s="1535" t="s">
        <v>648</v>
      </c>
      <c r="C1" s="1538" t="s">
        <v>649</v>
      </c>
      <c r="D1" s="1538" t="s">
        <v>1003</v>
      </c>
      <c r="E1" s="1535" t="s">
        <v>60</v>
      </c>
      <c r="F1" s="1540"/>
      <c r="G1" s="1540"/>
      <c r="H1" s="1540"/>
      <c r="I1" s="1540"/>
      <c r="J1" s="1540"/>
      <c r="K1" s="1540"/>
      <c r="L1" s="1540"/>
      <c r="M1" s="1541" t="s">
        <v>59</v>
      </c>
      <c r="N1" s="1541" t="s">
        <v>390</v>
      </c>
    </row>
    <row r="2" spans="1:14" ht="82.5" customHeight="1">
      <c r="A2" s="1536"/>
      <c r="B2" s="1536"/>
      <c r="C2" s="1539"/>
      <c r="D2" s="1539"/>
      <c r="E2" s="1182" t="s">
        <v>280</v>
      </c>
      <c r="F2" s="1182" t="s">
        <v>651</v>
      </c>
      <c r="G2" s="1182" t="s">
        <v>423</v>
      </c>
      <c r="H2" s="1182" t="s">
        <v>992</v>
      </c>
      <c r="I2" s="1182" t="s">
        <v>1238</v>
      </c>
      <c r="J2" s="1182" t="s">
        <v>1222</v>
      </c>
      <c r="K2" s="1182" t="s">
        <v>1221</v>
      </c>
      <c r="L2" s="1182" t="s">
        <v>1368</v>
      </c>
      <c r="M2" s="1542"/>
      <c r="N2" s="1542"/>
    </row>
    <row r="3" spans="1:14" ht="15" customHeight="1">
      <c r="A3" s="1183">
        <v>2</v>
      </c>
      <c r="B3" s="1184" t="s">
        <v>50</v>
      </c>
      <c r="C3" s="762">
        <v>1237075</v>
      </c>
      <c r="D3" s="762">
        <f>80429+'[5]táj.2.'!L3</f>
        <v>80429</v>
      </c>
      <c r="E3" s="1185">
        <f>842576+'[5]táj.2.'!C3</f>
        <v>842576</v>
      </c>
      <c r="F3" s="1185">
        <f>240568+'[5]táj.2.'!D3</f>
        <v>240568</v>
      </c>
      <c r="G3" s="1185">
        <f>175183+'[5]táj.2.'!E3</f>
        <v>175183</v>
      </c>
      <c r="H3" s="1186">
        <f>0+'[5]táj.2.'!F3</f>
        <v>0</v>
      </c>
      <c r="I3" s="1186">
        <f>446+'[5]táj.2.'!G3</f>
        <v>446</v>
      </c>
      <c r="J3" s="1186">
        <f>39102+'[5]táj.2.'!H3</f>
        <v>39102</v>
      </c>
      <c r="K3" s="1186">
        <f>19629+'[5]táj.2.'!I3</f>
        <v>19629</v>
      </c>
      <c r="L3" s="1186">
        <f>0+'[5]táj.2.'!J3</f>
        <v>0</v>
      </c>
      <c r="M3" s="1186">
        <f>0+'[5]táj.2.'!K3</f>
        <v>0</v>
      </c>
      <c r="N3" s="1186">
        <f aca="true" t="shared" si="0" ref="N3:N19">SUM(E3:M3)</f>
        <v>1317504</v>
      </c>
    </row>
    <row r="4" spans="1:14" s="452" customFormat="1" ht="22.5" customHeight="1">
      <c r="A4" s="1183">
        <v>3</v>
      </c>
      <c r="B4" s="1184" t="s">
        <v>1445</v>
      </c>
      <c r="C4" s="762">
        <v>1361767</v>
      </c>
      <c r="D4" s="762">
        <f>49624+'[5]táj.2.'!L4</f>
        <v>49624</v>
      </c>
      <c r="E4" s="1185">
        <f>314492+'[5]táj.2.'!C4</f>
        <v>314492</v>
      </c>
      <c r="F4" s="1185">
        <f>72034+'[5]táj.2.'!D4</f>
        <v>72034</v>
      </c>
      <c r="G4" s="1185">
        <f>956099+'[5]táj.2.'!E4</f>
        <v>955599</v>
      </c>
      <c r="H4" s="1186">
        <f>0+'[5]táj.2.'!F4</f>
        <v>0</v>
      </c>
      <c r="I4" s="1186">
        <f>5966+'[5]táj.2.'!G4</f>
        <v>6466</v>
      </c>
      <c r="J4" s="1186">
        <f>10000+'[5]táj.2.'!H4</f>
        <v>10000</v>
      </c>
      <c r="K4" s="1186">
        <f>52800+'[5]táj.2.'!I4</f>
        <v>52800</v>
      </c>
      <c r="L4" s="1186">
        <f>0+'[5]táj.2.'!J4</f>
        <v>0</v>
      </c>
      <c r="M4" s="1186">
        <f>0+'[5]táj.2.'!K4</f>
        <v>0</v>
      </c>
      <c r="N4" s="1186">
        <f t="shared" si="0"/>
        <v>1411391</v>
      </c>
    </row>
    <row r="5" spans="1:14" s="452" customFormat="1" ht="19.5" customHeight="1">
      <c r="A5" s="1183">
        <v>4</v>
      </c>
      <c r="B5" s="1184" t="s">
        <v>957</v>
      </c>
      <c r="C5" s="762">
        <v>362804</v>
      </c>
      <c r="D5" s="762">
        <f>50305+'[5]táj.2.'!L5</f>
        <v>52805</v>
      </c>
      <c r="E5" s="1185">
        <f>225724+'[5]táj.2.'!C5</f>
        <v>225724</v>
      </c>
      <c r="F5" s="1185">
        <f>62900+'[5]táj.2.'!D5</f>
        <v>62900</v>
      </c>
      <c r="G5" s="1185">
        <f>107121+'[5]táj.2.'!E5</f>
        <v>109539</v>
      </c>
      <c r="H5" s="1186">
        <f>0+'[5]táj.2.'!F5</f>
        <v>0</v>
      </c>
      <c r="I5" s="1186">
        <f>382+'[5]táj.2.'!G5</f>
        <v>464</v>
      </c>
      <c r="J5" s="1186">
        <f>5674+'[5]táj.2.'!H5</f>
        <v>5674</v>
      </c>
      <c r="K5" s="1186">
        <f>11308+'[5]táj.2.'!I5</f>
        <v>11308</v>
      </c>
      <c r="L5" s="1186">
        <f>0+'[5]táj.2.'!J5</f>
        <v>0</v>
      </c>
      <c r="M5" s="1186">
        <f>0+'[5]táj.2.'!K5</f>
        <v>0</v>
      </c>
      <c r="N5" s="1186">
        <f t="shared" si="0"/>
        <v>415609</v>
      </c>
    </row>
    <row r="6" spans="1:14" s="452" customFormat="1" ht="15" customHeight="1">
      <c r="A6" s="1183">
        <v>5</v>
      </c>
      <c r="B6" s="194" t="s">
        <v>958</v>
      </c>
      <c r="C6" s="56">
        <v>316218</v>
      </c>
      <c r="D6" s="762">
        <f>99013+'[5]táj.2.'!L6</f>
        <v>99013</v>
      </c>
      <c r="E6" s="1185">
        <f>156524+'[5]táj.2.'!C6</f>
        <v>156524</v>
      </c>
      <c r="F6" s="1185">
        <f>45514+'[5]táj.2.'!D6</f>
        <v>45514</v>
      </c>
      <c r="G6" s="1185">
        <f>204259+'[5]táj.2.'!E6</f>
        <v>204259</v>
      </c>
      <c r="H6" s="1186">
        <f>0+'[5]táj.2.'!F6</f>
        <v>0</v>
      </c>
      <c r="I6" s="1186">
        <f>0+'[5]táj.2.'!G6</f>
        <v>0</v>
      </c>
      <c r="J6" s="1186">
        <f>6434+'[5]táj.2.'!H6</f>
        <v>6434</v>
      </c>
      <c r="K6" s="1186">
        <f>2500+'[5]táj.2.'!I6</f>
        <v>2500</v>
      </c>
      <c r="L6" s="1186">
        <f>0+'[5]táj.2.'!J6</f>
        <v>0</v>
      </c>
      <c r="M6" s="1186">
        <f>0+'[5]táj.2.'!K6</f>
        <v>0</v>
      </c>
      <c r="N6" s="1186">
        <f t="shared" si="0"/>
        <v>415231</v>
      </c>
    </row>
    <row r="7" spans="1:14" s="452" customFormat="1" ht="15.75" customHeight="1">
      <c r="A7" s="1183">
        <v>6</v>
      </c>
      <c r="B7" s="194" t="s">
        <v>959</v>
      </c>
      <c r="C7" s="56">
        <v>310239</v>
      </c>
      <c r="D7" s="762">
        <f>12203+'[5]táj.2.'!L7</f>
        <v>12203</v>
      </c>
      <c r="E7" s="1185">
        <f>183024+'[5]táj.2.'!C7</f>
        <v>183024</v>
      </c>
      <c r="F7" s="1185">
        <f>51586+'[5]táj.2.'!D7</f>
        <v>51586</v>
      </c>
      <c r="G7" s="1185">
        <f>86882+'[5]táj.2.'!E7</f>
        <v>86882</v>
      </c>
      <c r="H7" s="1186">
        <f>0+'[5]táj.2.'!F7</f>
        <v>0</v>
      </c>
      <c r="I7" s="1186">
        <f>50+'[5]táj.2.'!G7</f>
        <v>50</v>
      </c>
      <c r="J7" s="1186">
        <f>900+'[5]táj.2.'!H7</f>
        <v>900</v>
      </c>
      <c r="K7" s="1186">
        <f>0+'[5]táj.2.'!I7</f>
        <v>0</v>
      </c>
      <c r="L7" s="1186">
        <f>0+'[5]táj.2.'!J7</f>
        <v>0</v>
      </c>
      <c r="M7" s="1186">
        <f>0+'[5]táj.2.'!K7</f>
        <v>0</v>
      </c>
      <c r="N7" s="1186">
        <f t="shared" si="0"/>
        <v>322442</v>
      </c>
    </row>
    <row r="8" spans="1:14" s="452" customFormat="1" ht="17.25" customHeight="1">
      <c r="A8" s="1183">
        <v>7</v>
      </c>
      <c r="B8" s="194" t="s">
        <v>960</v>
      </c>
      <c r="C8" s="56">
        <v>288134</v>
      </c>
      <c r="D8" s="762">
        <f>-2006+'[5]táj.2.'!L8</f>
        <v>-2006</v>
      </c>
      <c r="E8" s="1185">
        <f>168409+'[5]táj.2.'!C8</f>
        <v>168409</v>
      </c>
      <c r="F8" s="1185">
        <f>45065+'[5]táj.2.'!D8</f>
        <v>45065</v>
      </c>
      <c r="G8" s="1185">
        <f>72204+'[5]táj.2.'!E8</f>
        <v>72204</v>
      </c>
      <c r="H8" s="1186">
        <f>0+'[5]táj.2.'!F8</f>
        <v>0</v>
      </c>
      <c r="I8" s="1186">
        <f>50+'[5]táj.2.'!G8</f>
        <v>50</v>
      </c>
      <c r="J8" s="1186">
        <f>400+'[5]táj.2.'!H8</f>
        <v>400</v>
      </c>
      <c r="K8" s="1186">
        <f>0+'[5]táj.2.'!I8</f>
        <v>0</v>
      </c>
      <c r="L8" s="1186">
        <f>0+'[5]táj.2.'!J8</f>
        <v>0</v>
      </c>
      <c r="M8" s="1186">
        <f>0+'[5]táj.2.'!K8</f>
        <v>0</v>
      </c>
      <c r="N8" s="1186">
        <f t="shared" si="0"/>
        <v>286128</v>
      </c>
    </row>
    <row r="9" spans="1:14" s="452" customFormat="1" ht="15" customHeight="1">
      <c r="A9" s="1183">
        <v>8</v>
      </c>
      <c r="B9" s="194" t="s">
        <v>961</v>
      </c>
      <c r="C9" s="56">
        <v>283986</v>
      </c>
      <c r="D9" s="762">
        <f>10396+'[5]táj.2.'!L9</f>
        <v>10396</v>
      </c>
      <c r="E9" s="1185">
        <f>173901+'[5]táj.2.'!C9</f>
        <v>173901</v>
      </c>
      <c r="F9" s="1185">
        <f>49643+'[5]táj.2.'!D9</f>
        <v>49643</v>
      </c>
      <c r="G9" s="1185">
        <f>70588+'[5]táj.2.'!E9</f>
        <v>70588</v>
      </c>
      <c r="H9" s="1186">
        <f>0+'[5]táj.2.'!F9</f>
        <v>0</v>
      </c>
      <c r="I9" s="1186">
        <f>50+'[5]táj.2.'!G9</f>
        <v>50</v>
      </c>
      <c r="J9" s="1186">
        <f>200+'[5]táj.2.'!H9</f>
        <v>200</v>
      </c>
      <c r="K9" s="1186">
        <f>0+'[5]táj.2.'!I9</f>
        <v>0</v>
      </c>
      <c r="L9" s="1186">
        <f>0+'[5]táj.2.'!J9</f>
        <v>0</v>
      </c>
      <c r="M9" s="1186">
        <f>0+'[5]táj.2.'!K9</f>
        <v>0</v>
      </c>
      <c r="N9" s="1186">
        <f t="shared" si="0"/>
        <v>294382</v>
      </c>
    </row>
    <row r="10" spans="1:14" s="452" customFormat="1" ht="19.5" customHeight="1">
      <c r="A10" s="1183">
        <v>9</v>
      </c>
      <c r="B10" s="194" t="s">
        <v>962</v>
      </c>
      <c r="C10" s="56">
        <v>287762</v>
      </c>
      <c r="D10" s="762">
        <f>-780+'[5]táj.2.'!L10</f>
        <v>-780</v>
      </c>
      <c r="E10" s="1185">
        <f>172399+'[5]táj.2.'!C10</f>
        <v>172399</v>
      </c>
      <c r="F10" s="1185">
        <f>48013+'[5]táj.2.'!D10</f>
        <v>48013</v>
      </c>
      <c r="G10" s="1185">
        <f>66220+'[5]táj.2.'!E10</f>
        <v>66220</v>
      </c>
      <c r="H10" s="1186">
        <f>0+'[5]táj.2.'!F10</f>
        <v>0</v>
      </c>
      <c r="I10" s="1186">
        <f>50+'[5]táj.2.'!G10</f>
        <v>50</v>
      </c>
      <c r="J10" s="1186">
        <f>300+'[5]táj.2.'!H10</f>
        <v>300</v>
      </c>
      <c r="K10" s="1186">
        <f>0+'[5]táj.2.'!I10</f>
        <v>0</v>
      </c>
      <c r="L10" s="1186">
        <f>0+'[5]táj.2.'!J10</f>
        <v>0</v>
      </c>
      <c r="M10" s="1186">
        <f>0+'[5]táj.2.'!K10</f>
        <v>0</v>
      </c>
      <c r="N10" s="1186">
        <f t="shared" si="0"/>
        <v>286982</v>
      </c>
    </row>
    <row r="11" spans="1:14" s="452" customFormat="1" ht="27" customHeight="1">
      <c r="A11" s="1183">
        <v>10</v>
      </c>
      <c r="B11" s="234" t="s">
        <v>963</v>
      </c>
      <c r="C11" s="1187">
        <v>112025</v>
      </c>
      <c r="D11" s="762">
        <f>48048+'[5]táj.2.'!L11</f>
        <v>48048</v>
      </c>
      <c r="E11" s="1185">
        <f>64297+'[5]táj.2.'!C11</f>
        <v>64297</v>
      </c>
      <c r="F11" s="1185">
        <f>16284+'[5]táj.2.'!D11</f>
        <v>16284</v>
      </c>
      <c r="G11" s="1185">
        <f>56297+'[5]táj.2.'!E11</f>
        <v>56297</v>
      </c>
      <c r="H11" s="1186">
        <f>0+'[5]táj.2.'!F11</f>
        <v>0</v>
      </c>
      <c r="I11" s="1186">
        <f>14525+'[5]táj.2.'!G11</f>
        <v>14525</v>
      </c>
      <c r="J11" s="1186">
        <f>7400+'[5]táj.2.'!H11</f>
        <v>7400</v>
      </c>
      <c r="K11" s="1186">
        <f>1270+'[5]táj.2.'!I11</f>
        <v>1270</v>
      </c>
      <c r="L11" s="1186">
        <f>0+'[5]táj.2.'!J11</f>
        <v>0</v>
      </c>
      <c r="M11" s="1186">
        <f>0+'[5]táj.2.'!K11</f>
        <v>0</v>
      </c>
      <c r="N11" s="1186">
        <f t="shared" si="0"/>
        <v>160073</v>
      </c>
    </row>
    <row r="12" spans="1:14" s="452" customFormat="1" ht="20.25" customHeight="1">
      <c r="A12" s="1183">
        <v>11</v>
      </c>
      <c r="B12" s="194" t="s">
        <v>1747</v>
      </c>
      <c r="C12" s="56">
        <v>188141</v>
      </c>
      <c r="D12" s="762">
        <f>69071+'[5]táj.2.'!L12</f>
        <v>69071</v>
      </c>
      <c r="E12" s="1185">
        <f>99284+'[5]táj.2.'!C12</f>
        <v>95784</v>
      </c>
      <c r="F12" s="1185">
        <f>23394+'[5]táj.2.'!D12</f>
        <v>22894</v>
      </c>
      <c r="G12" s="1185">
        <f>113150+'[5]táj.2.'!E12</f>
        <v>116150</v>
      </c>
      <c r="H12" s="1186">
        <f>0+'[5]táj.2.'!F12</f>
        <v>0</v>
      </c>
      <c r="I12" s="1186">
        <f>3100+'[5]táj.2.'!G12</f>
        <v>3100</v>
      </c>
      <c r="J12" s="1186">
        <f>18284+'[5]táj.2.'!H12</f>
        <v>19284</v>
      </c>
      <c r="K12" s="1186">
        <f>0+'[5]táj.2.'!I12</f>
        <v>0</v>
      </c>
      <c r="L12" s="1186">
        <f>0+'[5]táj.2.'!J12</f>
        <v>0</v>
      </c>
      <c r="M12" s="1186">
        <f>0+'[5]táj.2.'!K12</f>
        <v>0</v>
      </c>
      <c r="N12" s="1186">
        <f t="shared" si="0"/>
        <v>257212</v>
      </c>
    </row>
    <row r="13" spans="1:14" s="452" customFormat="1" ht="30" customHeight="1">
      <c r="A13" s="1183">
        <v>12</v>
      </c>
      <c r="B13" s="234" t="s">
        <v>964</v>
      </c>
      <c r="C13" s="1187">
        <v>15555</v>
      </c>
      <c r="D13" s="762">
        <f>2698+'[5]táj.2.'!L13</f>
        <v>2698</v>
      </c>
      <c r="E13" s="1185">
        <f>10169+'[5]táj.2.'!C13</f>
        <v>10169</v>
      </c>
      <c r="F13" s="1185">
        <f>2601+'[5]táj.2.'!D13</f>
        <v>2601</v>
      </c>
      <c r="G13" s="1185">
        <f>5263+'[5]táj.2.'!E13</f>
        <v>5263</v>
      </c>
      <c r="H13" s="1186">
        <f>0+'[5]táj.2.'!F13</f>
        <v>0</v>
      </c>
      <c r="I13" s="1186">
        <f>0+'[5]táj.2.'!G13</f>
        <v>0</v>
      </c>
      <c r="J13" s="1186">
        <f>220+'[5]táj.2.'!H13</f>
        <v>220</v>
      </c>
      <c r="K13" s="1186">
        <f>0+'[5]táj.2.'!I13</f>
        <v>0</v>
      </c>
      <c r="L13" s="1186">
        <f>0+'[5]táj.2.'!J13</f>
        <v>0</v>
      </c>
      <c r="M13" s="1186">
        <f>0+'[5]táj.2.'!K13</f>
        <v>0</v>
      </c>
      <c r="N13" s="1186">
        <f t="shared" si="0"/>
        <v>18253</v>
      </c>
    </row>
    <row r="14" spans="1:14" s="452" customFormat="1" ht="16.5" customHeight="1">
      <c r="A14" s="1183">
        <v>13</v>
      </c>
      <c r="B14" s="194" t="s">
        <v>955</v>
      </c>
      <c r="C14" s="56">
        <v>353704</v>
      </c>
      <c r="D14" s="762">
        <f>52260+'[5]táj.2.'!L14</f>
        <v>52260</v>
      </c>
      <c r="E14" s="1185">
        <f>147445+'[5]táj.2.'!C14</f>
        <v>147445</v>
      </c>
      <c r="F14" s="1185">
        <f>38212+'[5]táj.2.'!D14</f>
        <v>38212</v>
      </c>
      <c r="G14" s="1185">
        <f>163304+'[5]táj.2.'!E14</f>
        <v>161304</v>
      </c>
      <c r="H14" s="1186">
        <f>0+'[5]táj.2.'!F14</f>
        <v>0</v>
      </c>
      <c r="I14" s="1186">
        <f>16000+'[5]táj.2.'!G14</f>
        <v>16000</v>
      </c>
      <c r="J14" s="1186">
        <f>41003+'[5]táj.2.'!H14</f>
        <v>43003</v>
      </c>
      <c r="K14" s="1186">
        <f>0+'[5]táj.2.'!I14</f>
        <v>0</v>
      </c>
      <c r="L14" s="1186">
        <f>0+'[5]táj.2.'!J14</f>
        <v>0</v>
      </c>
      <c r="M14" s="1186">
        <f>0+'[5]táj.2.'!K14</f>
        <v>0</v>
      </c>
      <c r="N14" s="1186">
        <f t="shared" si="0"/>
        <v>405964</v>
      </c>
    </row>
    <row r="15" spans="1:14" s="452" customFormat="1" ht="16.5" customHeight="1">
      <c r="A15" s="1183">
        <v>14</v>
      </c>
      <c r="B15" s="194" t="s">
        <v>956</v>
      </c>
      <c r="C15" s="56">
        <v>271692</v>
      </c>
      <c r="D15" s="762">
        <f>84569+'[5]táj.2.'!L15</f>
        <v>90157</v>
      </c>
      <c r="E15" s="1185">
        <f>124864+'[5]táj.2.'!C15</f>
        <v>124864</v>
      </c>
      <c r="F15" s="1185">
        <f>33607+'[5]táj.2.'!D15</f>
        <v>33607</v>
      </c>
      <c r="G15" s="1185">
        <f>127074+'[5]táj.2.'!E15</f>
        <v>132662</v>
      </c>
      <c r="H15" s="1186">
        <f>0+'[5]táj.2.'!F15</f>
        <v>0</v>
      </c>
      <c r="I15" s="1186">
        <f>2700+'[5]táj.2.'!G15</f>
        <v>2700</v>
      </c>
      <c r="J15" s="1186">
        <f>41835+'[5]táj.2.'!H15</f>
        <v>41835</v>
      </c>
      <c r="K15" s="1186">
        <f>26181+'[5]táj.2.'!I15</f>
        <v>26181</v>
      </c>
      <c r="L15" s="1186">
        <f>0+'[5]táj.2.'!J15</f>
        <v>0</v>
      </c>
      <c r="M15" s="1186">
        <f>0+'[5]táj.2.'!K15</f>
        <v>0</v>
      </c>
      <c r="N15" s="1186">
        <f t="shared" si="0"/>
        <v>361849</v>
      </c>
    </row>
    <row r="16" spans="1:14" s="452" customFormat="1" ht="18" customHeight="1">
      <c r="A16" s="1183">
        <v>15</v>
      </c>
      <c r="B16" s="194" t="s">
        <v>965</v>
      </c>
      <c r="C16" s="56">
        <v>573476</v>
      </c>
      <c r="D16" s="762">
        <f>40297+'[5]táj.2.'!L16</f>
        <v>40297</v>
      </c>
      <c r="E16" s="1185">
        <f>281176+'[5]táj.2.'!C16</f>
        <v>281176</v>
      </c>
      <c r="F16" s="1185">
        <f>73802+'[5]táj.2.'!D16</f>
        <v>73802</v>
      </c>
      <c r="G16" s="1185">
        <f>241240+'[5]táj.2.'!E16</f>
        <v>241240</v>
      </c>
      <c r="H16" s="1186">
        <f>0+'[5]táj.2.'!F16</f>
        <v>0</v>
      </c>
      <c r="I16" s="1186">
        <f>2501+'[5]táj.2.'!G16</f>
        <v>2501</v>
      </c>
      <c r="J16" s="1186">
        <f>5749+'[5]táj.2.'!H16</f>
        <v>5749</v>
      </c>
      <c r="K16" s="1186">
        <f>9305+'[5]táj.2.'!I16</f>
        <v>9305</v>
      </c>
      <c r="L16" s="1186">
        <f>0+'[5]táj.2.'!J16</f>
        <v>0</v>
      </c>
      <c r="M16" s="1186">
        <f>0+'[5]táj.2.'!K16</f>
        <v>0</v>
      </c>
      <c r="N16" s="1186">
        <f t="shared" si="0"/>
        <v>613773</v>
      </c>
    </row>
    <row r="17" spans="1:14" s="452" customFormat="1" ht="18.75" customHeight="1">
      <c r="A17" s="1183">
        <v>16</v>
      </c>
      <c r="B17" s="194" t="s">
        <v>966</v>
      </c>
      <c r="C17" s="56">
        <v>102360</v>
      </c>
      <c r="D17" s="762">
        <f>6400+'[5]táj.2.'!L17</f>
        <v>6400</v>
      </c>
      <c r="E17" s="1185">
        <f>50844+'[5]táj.2.'!C17</f>
        <v>50844</v>
      </c>
      <c r="F17" s="1185">
        <f>11722+'[5]táj.2.'!D17</f>
        <v>11722</v>
      </c>
      <c r="G17" s="1185">
        <f>45919+'[5]táj.2.'!E17</f>
        <v>45919</v>
      </c>
      <c r="H17" s="1186">
        <f>0+'[5]táj.2.'!F17</f>
        <v>0</v>
      </c>
      <c r="I17" s="1186">
        <f>10+'[5]táj.2.'!G17</f>
        <v>10</v>
      </c>
      <c r="J17" s="1186">
        <f>265+'[5]táj.2.'!H17</f>
        <v>265</v>
      </c>
      <c r="K17" s="1186">
        <f>0+'[5]táj.2.'!I17</f>
        <v>0</v>
      </c>
      <c r="L17" s="1186">
        <f>0+'[5]táj.2.'!J17</f>
        <v>0</v>
      </c>
      <c r="M17" s="1186">
        <f>0+'[5]táj.2.'!K17</f>
        <v>0</v>
      </c>
      <c r="N17" s="1186">
        <f t="shared" si="0"/>
        <v>108760</v>
      </c>
    </row>
    <row r="18" spans="1:14" s="452" customFormat="1" ht="18" customHeight="1">
      <c r="A18" s="1183">
        <v>17</v>
      </c>
      <c r="B18" s="194" t="s">
        <v>967</v>
      </c>
      <c r="C18" s="56">
        <v>110370</v>
      </c>
      <c r="D18" s="762">
        <f>9748+'[5]táj.2.'!L18</f>
        <v>10068</v>
      </c>
      <c r="E18" s="1185">
        <f>42698+'[5]táj.2.'!C18</f>
        <v>42698</v>
      </c>
      <c r="F18" s="1185">
        <f>10127+'[5]táj.2.'!D18</f>
        <v>10447</v>
      </c>
      <c r="G18" s="1185">
        <f>57827+'[5]táj.2.'!E18</f>
        <v>57627</v>
      </c>
      <c r="H18" s="1186">
        <f>0+'[5]táj.2.'!F18</f>
        <v>0</v>
      </c>
      <c r="I18" s="1186">
        <f>0+'[5]táj.2.'!G18</f>
        <v>0</v>
      </c>
      <c r="J18" s="1186">
        <f>9466+'[5]táj.2.'!H18</f>
        <v>9666</v>
      </c>
      <c r="K18" s="1186">
        <f>0+'[5]táj.2.'!I18</f>
        <v>0</v>
      </c>
      <c r="L18" s="1186">
        <f>0+'[5]táj.2.'!J18</f>
        <v>0</v>
      </c>
      <c r="M18" s="1186">
        <f>0+'[5]táj.2.'!K18</f>
        <v>0</v>
      </c>
      <c r="N18" s="1186">
        <f t="shared" si="0"/>
        <v>120438</v>
      </c>
    </row>
    <row r="19" spans="1:14" s="452" customFormat="1" ht="18.75" customHeight="1">
      <c r="A19" s="1183">
        <v>18</v>
      </c>
      <c r="B19" s="180" t="s">
        <v>421</v>
      </c>
      <c r="C19" s="1188">
        <v>90900</v>
      </c>
      <c r="D19" s="762">
        <f>29338+'[5]táj.2.'!L19</f>
        <v>29338</v>
      </c>
      <c r="E19" s="1185">
        <f>32846+'[5]táj.2.'!C19</f>
        <v>32846</v>
      </c>
      <c r="F19" s="1185">
        <f>8857+'[5]táj.2.'!D19</f>
        <v>8857</v>
      </c>
      <c r="G19" s="1185">
        <f>73098+'[5]táj.2.'!E19</f>
        <v>73098</v>
      </c>
      <c r="H19" s="1186">
        <f>0+'[5]táj.2.'!F19</f>
        <v>0</v>
      </c>
      <c r="I19" s="1186">
        <f>307+'[5]táj.2.'!G19</f>
        <v>307</v>
      </c>
      <c r="J19" s="1186">
        <f>2315+'[5]táj.2.'!H19</f>
        <v>2315</v>
      </c>
      <c r="K19" s="1186">
        <f>2815+'[5]táj.2.'!I19</f>
        <v>2815</v>
      </c>
      <c r="L19" s="1186">
        <f>0+'[5]táj.2.'!J19</f>
        <v>0</v>
      </c>
      <c r="M19" s="1186">
        <f>0+'[5]táj.2.'!K19</f>
        <v>0</v>
      </c>
      <c r="N19" s="1186">
        <f t="shared" si="0"/>
        <v>120238</v>
      </c>
    </row>
    <row r="20" spans="1:14" s="452" customFormat="1" ht="18" customHeight="1">
      <c r="A20" s="1189"/>
      <c r="B20" s="1190" t="s">
        <v>968</v>
      </c>
      <c r="C20" s="1191">
        <f aca="true" t="shared" si="1" ref="C20:N20">SUM(C3:C19)</f>
        <v>6266208</v>
      </c>
      <c r="D20" s="1191">
        <f t="shared" si="1"/>
        <v>650021</v>
      </c>
      <c r="E20" s="1191">
        <f t="shared" si="1"/>
        <v>3087172</v>
      </c>
      <c r="F20" s="1191">
        <f t="shared" si="1"/>
        <v>833749</v>
      </c>
      <c r="G20" s="1191">
        <f t="shared" si="1"/>
        <v>2630034</v>
      </c>
      <c r="H20" s="1191">
        <f t="shared" si="1"/>
        <v>0</v>
      </c>
      <c r="I20" s="1191">
        <f t="shared" si="1"/>
        <v>46719</v>
      </c>
      <c r="J20" s="1191">
        <f t="shared" si="1"/>
        <v>192747</v>
      </c>
      <c r="K20" s="1191">
        <f t="shared" si="1"/>
        <v>125808</v>
      </c>
      <c r="L20" s="1191">
        <f t="shared" si="1"/>
        <v>0</v>
      </c>
      <c r="M20" s="1191">
        <f t="shared" si="1"/>
        <v>0</v>
      </c>
      <c r="N20" s="1191">
        <f t="shared" si="1"/>
        <v>6916229</v>
      </c>
    </row>
    <row r="21" s="452" customFormat="1" ht="12.75">
      <c r="A21" s="453"/>
    </row>
    <row r="22" s="452" customFormat="1" ht="12.75">
      <c r="A22" s="453"/>
    </row>
    <row r="23" s="452" customFormat="1" ht="12.75">
      <c r="A23" s="453"/>
    </row>
    <row r="24" s="452" customFormat="1" ht="12.75">
      <c r="A24" s="453"/>
    </row>
    <row r="25" s="452" customFormat="1" ht="12.75">
      <c r="A25" s="453"/>
    </row>
    <row r="26" s="452" customFormat="1" ht="12.75">
      <c r="A26" s="453"/>
    </row>
    <row r="27" s="452" customFormat="1" ht="12.75">
      <c r="A27" s="453"/>
    </row>
    <row r="28" s="452" customFormat="1" ht="12.75">
      <c r="A28" s="453"/>
    </row>
    <row r="29" s="452" customFormat="1" ht="12.75">
      <c r="A29" s="453"/>
    </row>
    <row r="30" s="452" customFormat="1" ht="12.75">
      <c r="A30" s="453"/>
    </row>
    <row r="31" s="452" customFormat="1" ht="12.75">
      <c r="A31" s="453"/>
    </row>
    <row r="32" s="452" customFormat="1" ht="12.75">
      <c r="A32" s="453"/>
    </row>
    <row r="33" s="452" customFormat="1" ht="12.75">
      <c r="A33" s="453"/>
    </row>
    <row r="34" s="452" customFormat="1" ht="12.75">
      <c r="A34" s="453"/>
    </row>
    <row r="35" s="452" customFormat="1" ht="12.75">
      <c r="A35" s="453"/>
    </row>
    <row r="36" s="452" customFormat="1" ht="12.75">
      <c r="A36" s="453"/>
    </row>
    <row r="37" s="452" customFormat="1" ht="12.75">
      <c r="A37" s="453"/>
    </row>
    <row r="38" s="452" customFormat="1" ht="12.75">
      <c r="A38" s="453"/>
    </row>
    <row r="39" s="452" customFormat="1" ht="12.75">
      <c r="A39" s="453"/>
    </row>
    <row r="40" s="452" customFormat="1" ht="12.75">
      <c r="A40" s="453"/>
    </row>
    <row r="41" s="452" customFormat="1" ht="12.75">
      <c r="A41" s="453"/>
    </row>
    <row r="42" s="452" customFormat="1" ht="12.75">
      <c r="A42" s="453"/>
    </row>
    <row r="43" s="452" customFormat="1" ht="12.75">
      <c r="A43" s="453"/>
    </row>
    <row r="44" s="452" customFormat="1" ht="12.75">
      <c r="A44" s="453"/>
    </row>
    <row r="45" s="452" customFormat="1" ht="12.75">
      <c r="A45" s="453"/>
    </row>
    <row r="46" s="452" customFormat="1" ht="12.75">
      <c r="A46" s="453"/>
    </row>
    <row r="47" s="452" customFormat="1" ht="12.75">
      <c r="A47" s="453"/>
    </row>
    <row r="48" s="452" customFormat="1" ht="12.75">
      <c r="A48" s="453"/>
    </row>
    <row r="49" s="452" customFormat="1" ht="12.75">
      <c r="A49" s="453"/>
    </row>
    <row r="50" s="452" customFormat="1" ht="12.75">
      <c r="A50" s="453"/>
    </row>
    <row r="51" s="452" customFormat="1" ht="12.75">
      <c r="A51" s="453"/>
    </row>
    <row r="52" s="452" customFormat="1" ht="12.75">
      <c r="A52" s="453"/>
    </row>
    <row r="53" s="452" customFormat="1" ht="12.75">
      <c r="A53" s="453"/>
    </row>
    <row r="54" s="452" customFormat="1" ht="12.75">
      <c r="A54" s="453"/>
    </row>
    <row r="55" s="452" customFormat="1" ht="12.75">
      <c r="A55" s="453"/>
    </row>
    <row r="56" s="452" customFormat="1" ht="12.75">
      <c r="A56" s="453"/>
    </row>
    <row r="57" s="452" customFormat="1" ht="12.75">
      <c r="A57" s="453"/>
    </row>
    <row r="58" s="452" customFormat="1" ht="12.75">
      <c r="A58" s="453"/>
    </row>
    <row r="59" s="452" customFormat="1" ht="12.75">
      <c r="A59" s="453"/>
    </row>
    <row r="60" s="452" customFormat="1" ht="12.75">
      <c r="A60" s="453"/>
    </row>
    <row r="61" s="452" customFormat="1" ht="12.75">
      <c r="A61" s="453"/>
    </row>
    <row r="62" s="452" customFormat="1" ht="12.75">
      <c r="A62" s="453"/>
    </row>
    <row r="63" s="452" customFormat="1" ht="12.75">
      <c r="A63" s="453"/>
    </row>
  </sheetData>
  <sheetProtection/>
  <mergeCells count="7">
    <mergeCell ref="E1:L1"/>
    <mergeCell ref="M1:M2"/>
    <mergeCell ref="N1:N2"/>
    <mergeCell ref="A1:A2"/>
    <mergeCell ref="B1:B2"/>
    <mergeCell ref="C1:C2"/>
    <mergeCell ref="D1:D2"/>
  </mergeCells>
  <printOptions horizontalCentered="1" verticalCentered="1"/>
  <pageMargins left="0.07874015748031496" right="0.07874015748031496" top="1.4173228346456694" bottom="0.7480314960629921" header="0.4330708661417323" footer="0.31496062992125984"/>
  <pageSetup horizontalDpi="300" verticalDpi="300" orientation="landscape" paperSize="9" scale="85" r:id="rId1"/>
  <headerFooter alignWithMargins="0">
    <oddHeader>&amp;C&amp;"Arial CE,Dőlt"ZALAEGERSZEG MJV&amp;"Times New Roman,Dőlt"ÖNKORMÁNYZATA ÁLTAL IRÁNYÍTOTT KÖLTSÉGVETÉSI SZERVEK 
2014. ÉVI  KIADÁSI ELŐIRÁNYZATAI&amp;R&amp;"Times New Roman,Dőlt"&amp;9
 10. melléklet
Adatok eFt-ban
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A2"/>
    </sheetView>
  </sheetViews>
  <sheetFormatPr defaultColWidth="10.625" defaultRowHeight="12.75"/>
  <cols>
    <col min="1" max="1" width="41.375" style="247" customWidth="1"/>
    <col min="2" max="2" width="8.875" style="247" customWidth="1"/>
    <col min="3" max="3" width="6.875" style="247" customWidth="1"/>
    <col min="4" max="4" width="9.125" style="247" customWidth="1"/>
    <col min="5" max="5" width="10.625" style="247" customWidth="1"/>
    <col min="6" max="6" width="7.875" style="247" customWidth="1"/>
    <col min="7" max="7" width="6.625" style="247" customWidth="1"/>
    <col min="8" max="8" width="7.125" style="247" customWidth="1"/>
    <col min="9" max="9" width="9.00390625" style="247" customWidth="1"/>
    <col min="10" max="10" width="8.875" style="247" customWidth="1"/>
    <col min="11" max="11" width="7.375" style="247" customWidth="1"/>
    <col min="12" max="12" width="6.625" style="247" customWidth="1"/>
    <col min="13" max="13" width="8.50390625" style="247" customWidth="1"/>
    <col min="14" max="14" width="7.125" style="247" customWidth="1"/>
    <col min="15" max="15" width="7.625" style="247" customWidth="1"/>
    <col min="16" max="16384" width="10.625" style="247" customWidth="1"/>
  </cols>
  <sheetData>
    <row r="1" spans="1:15" ht="12" thickBot="1">
      <c r="A1" s="1543" t="s">
        <v>46</v>
      </c>
      <c r="B1" s="1546" t="s">
        <v>260</v>
      </c>
      <c r="C1" s="1546" t="s">
        <v>261</v>
      </c>
      <c r="D1" s="1546" t="s">
        <v>1093</v>
      </c>
      <c r="E1" s="1548" t="s">
        <v>1509</v>
      </c>
      <c r="F1" s="1548"/>
      <c r="G1" s="1547" t="s">
        <v>1083</v>
      </c>
      <c r="H1" s="1547"/>
      <c r="I1" s="1549" t="s">
        <v>108</v>
      </c>
      <c r="J1" s="1551" t="s">
        <v>109</v>
      </c>
      <c r="K1" s="1547" t="s">
        <v>1236</v>
      </c>
      <c r="L1" s="1547"/>
      <c r="M1" s="1547" t="s">
        <v>110</v>
      </c>
      <c r="N1" s="1547"/>
      <c r="O1" s="1553" t="s">
        <v>111</v>
      </c>
    </row>
    <row r="2" spans="1:15" ht="62.25" customHeight="1" thickBot="1">
      <c r="A2" s="1544"/>
      <c r="B2" s="1546"/>
      <c r="C2" s="1546"/>
      <c r="D2" s="1546"/>
      <c r="E2" s="248" t="s">
        <v>112</v>
      </c>
      <c r="F2" s="249" t="s">
        <v>113</v>
      </c>
      <c r="G2" s="250" t="s">
        <v>1797</v>
      </c>
      <c r="H2" s="251" t="s">
        <v>375</v>
      </c>
      <c r="I2" s="1550"/>
      <c r="J2" s="1552"/>
      <c r="K2" s="250" t="s">
        <v>1798</v>
      </c>
      <c r="L2" s="251" t="s">
        <v>375</v>
      </c>
      <c r="M2" s="250" t="s">
        <v>1799</v>
      </c>
      <c r="N2" s="251" t="s">
        <v>375</v>
      </c>
      <c r="O2" s="1554"/>
    </row>
    <row r="3" spans="1:15" s="256" customFormat="1" ht="17.25" customHeight="1">
      <c r="A3" s="252" t="s">
        <v>1800</v>
      </c>
      <c r="B3" s="253" t="s">
        <v>368</v>
      </c>
      <c r="C3" s="253" t="s">
        <v>369</v>
      </c>
      <c r="D3" s="254">
        <v>267000</v>
      </c>
      <c r="E3" s="255">
        <v>51172</v>
      </c>
      <c r="F3" s="255"/>
      <c r="G3" s="252">
        <v>5563</v>
      </c>
      <c r="H3" s="252">
        <v>660</v>
      </c>
      <c r="I3" s="252">
        <f aca="true" t="shared" si="0" ref="I3:I13">E3-G3</f>
        <v>45609</v>
      </c>
      <c r="J3" s="252">
        <f aca="true" t="shared" si="1" ref="J3:J9">E3-G3-I3</f>
        <v>0</v>
      </c>
      <c r="K3" s="252"/>
      <c r="L3" s="252"/>
      <c r="M3" s="252"/>
      <c r="N3" s="252"/>
      <c r="O3" s="252">
        <v>0</v>
      </c>
    </row>
    <row r="4" spans="1:15" s="256" customFormat="1" ht="14.25" customHeight="1">
      <c r="A4" s="252" t="s">
        <v>1801</v>
      </c>
      <c r="B4" s="253" t="s">
        <v>372</v>
      </c>
      <c r="C4" s="253" t="s">
        <v>369</v>
      </c>
      <c r="D4" s="254">
        <v>45000</v>
      </c>
      <c r="E4" s="252">
        <v>10241</v>
      </c>
      <c r="F4" s="252"/>
      <c r="G4" s="252">
        <v>0</v>
      </c>
      <c r="H4" s="252">
        <v>35</v>
      </c>
      <c r="I4" s="252">
        <f t="shared" si="0"/>
        <v>10241</v>
      </c>
      <c r="J4" s="252">
        <f t="shared" si="1"/>
        <v>0</v>
      </c>
      <c r="K4" s="252"/>
      <c r="L4" s="252"/>
      <c r="M4" s="252"/>
      <c r="N4" s="252"/>
      <c r="O4" s="252">
        <v>0</v>
      </c>
    </row>
    <row r="5" spans="1:15" s="256" customFormat="1" ht="21" customHeight="1">
      <c r="A5" s="252" t="s">
        <v>1802</v>
      </c>
      <c r="B5" s="253" t="s">
        <v>371</v>
      </c>
      <c r="C5" s="253" t="s">
        <v>370</v>
      </c>
      <c r="D5" s="254">
        <v>350000</v>
      </c>
      <c r="E5" s="252">
        <v>88533</v>
      </c>
      <c r="F5" s="252"/>
      <c r="G5" s="252">
        <v>5072</v>
      </c>
      <c r="H5" s="252">
        <v>343</v>
      </c>
      <c r="I5" s="252">
        <f t="shared" si="0"/>
        <v>83461</v>
      </c>
      <c r="J5" s="252">
        <f t="shared" si="1"/>
        <v>0</v>
      </c>
      <c r="K5" s="252"/>
      <c r="L5" s="252"/>
      <c r="M5" s="252"/>
      <c r="N5" s="252"/>
      <c r="O5" s="252">
        <v>0</v>
      </c>
    </row>
    <row r="6" spans="1:15" s="256" customFormat="1" ht="22.5" customHeight="1">
      <c r="A6" s="252" t="s">
        <v>1803</v>
      </c>
      <c r="B6" s="253" t="s">
        <v>373</v>
      </c>
      <c r="C6" s="253" t="s">
        <v>374</v>
      </c>
      <c r="D6" s="254">
        <v>135000</v>
      </c>
      <c r="E6" s="252">
        <v>75534</v>
      </c>
      <c r="F6" s="252"/>
      <c r="G6" s="252">
        <v>0</v>
      </c>
      <c r="H6" s="252">
        <v>725</v>
      </c>
      <c r="I6" s="252">
        <f t="shared" si="0"/>
        <v>75534</v>
      </c>
      <c r="J6" s="252">
        <f t="shared" si="1"/>
        <v>0</v>
      </c>
      <c r="K6" s="252"/>
      <c r="L6" s="252"/>
      <c r="M6" s="252"/>
      <c r="N6" s="252"/>
      <c r="O6" s="252">
        <v>0</v>
      </c>
    </row>
    <row r="7" spans="1:15" s="256" customFormat="1" ht="22.5" customHeight="1">
      <c r="A7" s="257" t="s">
        <v>1812</v>
      </c>
      <c r="B7" s="253" t="s">
        <v>367</v>
      </c>
      <c r="C7" s="258" t="s">
        <v>1094</v>
      </c>
      <c r="D7" s="254">
        <v>158800</v>
      </c>
      <c r="E7" s="252">
        <v>90189</v>
      </c>
      <c r="F7" s="252"/>
      <c r="G7" s="252"/>
      <c r="H7" s="252">
        <v>601</v>
      </c>
      <c r="I7" s="252">
        <f t="shared" si="0"/>
        <v>90189</v>
      </c>
      <c r="J7" s="252">
        <f t="shared" si="1"/>
        <v>0</v>
      </c>
      <c r="K7" s="252"/>
      <c r="L7" s="252"/>
      <c r="M7" s="252"/>
      <c r="N7" s="252"/>
      <c r="O7" s="252">
        <v>0</v>
      </c>
    </row>
    <row r="8" spans="1:15" s="256" customFormat="1" ht="21.75" customHeight="1">
      <c r="A8" s="257" t="s">
        <v>1813</v>
      </c>
      <c r="B8" s="253" t="s">
        <v>367</v>
      </c>
      <c r="C8" s="258" t="s">
        <v>1094</v>
      </c>
      <c r="D8" s="254">
        <v>16500</v>
      </c>
      <c r="E8" s="252">
        <v>13555</v>
      </c>
      <c r="F8" s="252"/>
      <c r="G8" s="252"/>
      <c r="H8" s="252">
        <v>75</v>
      </c>
      <c r="I8" s="252">
        <f t="shared" si="0"/>
        <v>13555</v>
      </c>
      <c r="J8" s="252">
        <f t="shared" si="1"/>
        <v>0</v>
      </c>
      <c r="K8" s="252"/>
      <c r="L8" s="252"/>
      <c r="M8" s="252"/>
      <c r="N8" s="252"/>
      <c r="O8" s="252">
        <v>0</v>
      </c>
    </row>
    <row r="9" spans="1:15" s="256" customFormat="1" ht="19.5" customHeight="1">
      <c r="A9" s="257" t="s">
        <v>1814</v>
      </c>
      <c r="B9" s="253" t="s">
        <v>373</v>
      </c>
      <c r="C9" s="258" t="s">
        <v>1095</v>
      </c>
      <c r="D9" s="254">
        <v>180000</v>
      </c>
      <c r="E9" s="252">
        <v>161739</v>
      </c>
      <c r="F9" s="252"/>
      <c r="G9" s="252">
        <v>2609</v>
      </c>
      <c r="H9" s="252">
        <v>2389</v>
      </c>
      <c r="I9" s="252">
        <f t="shared" si="0"/>
        <v>159130</v>
      </c>
      <c r="J9" s="252">
        <f t="shared" si="1"/>
        <v>0</v>
      </c>
      <c r="K9" s="252"/>
      <c r="L9" s="252"/>
      <c r="M9" s="252"/>
      <c r="N9" s="252"/>
      <c r="O9" s="252">
        <v>0</v>
      </c>
    </row>
    <row r="10" spans="1:15" s="256" customFormat="1" ht="21.75" customHeight="1">
      <c r="A10" s="259" t="s">
        <v>1815</v>
      </c>
      <c r="B10" s="253" t="s">
        <v>373</v>
      </c>
      <c r="C10" s="258" t="s">
        <v>1096</v>
      </c>
      <c r="D10" s="254">
        <v>716018</v>
      </c>
      <c r="E10" s="252">
        <v>127198</v>
      </c>
      <c r="F10" s="252">
        <v>20000</v>
      </c>
      <c r="G10" s="252"/>
      <c r="H10" s="252">
        <v>1049</v>
      </c>
      <c r="I10" s="252">
        <f t="shared" si="0"/>
        <v>127198</v>
      </c>
      <c r="J10" s="252">
        <v>20000</v>
      </c>
      <c r="K10" s="252">
        <v>5000</v>
      </c>
      <c r="L10" s="252">
        <v>484</v>
      </c>
      <c r="M10" s="252">
        <v>5000</v>
      </c>
      <c r="N10" s="252">
        <v>450</v>
      </c>
      <c r="O10" s="252">
        <v>10000</v>
      </c>
    </row>
    <row r="11" spans="1:15" s="256" customFormat="1" ht="33" customHeight="1">
      <c r="A11" s="257" t="s">
        <v>1816</v>
      </c>
      <c r="B11" s="253" t="s">
        <v>1670</v>
      </c>
      <c r="C11" s="258" t="s">
        <v>1671</v>
      </c>
      <c r="D11" s="254">
        <v>451367</v>
      </c>
      <c r="E11" s="252">
        <v>164247</v>
      </c>
      <c r="F11" s="252"/>
      <c r="G11" s="252"/>
      <c r="H11" s="252">
        <v>2088</v>
      </c>
      <c r="I11" s="252">
        <f t="shared" si="0"/>
        <v>164247</v>
      </c>
      <c r="J11" s="252">
        <f>E11-G11-I11</f>
        <v>0</v>
      </c>
      <c r="K11" s="252"/>
      <c r="L11" s="252"/>
      <c r="M11" s="252"/>
      <c r="N11" s="252"/>
      <c r="O11" s="252"/>
    </row>
    <row r="12" spans="1:15" s="256" customFormat="1" ht="22.5" customHeight="1">
      <c r="A12" s="257" t="s">
        <v>1817</v>
      </c>
      <c r="B12" s="260" t="s">
        <v>367</v>
      </c>
      <c r="C12" s="258">
        <v>2036</v>
      </c>
      <c r="D12" s="254">
        <v>115000</v>
      </c>
      <c r="E12" s="252">
        <v>114723</v>
      </c>
      <c r="F12" s="252"/>
      <c r="G12" s="252"/>
      <c r="H12" s="252">
        <v>765</v>
      </c>
      <c r="I12" s="252">
        <f t="shared" si="0"/>
        <v>114723</v>
      </c>
      <c r="J12" s="252">
        <f>E12-G12-I12</f>
        <v>0</v>
      </c>
      <c r="K12" s="252"/>
      <c r="L12" s="252"/>
      <c r="M12" s="252"/>
      <c r="N12" s="252"/>
      <c r="O12" s="252"/>
    </row>
    <row r="13" spans="1:15" s="256" customFormat="1" ht="20.25" customHeight="1">
      <c r="A13" s="257" t="s">
        <v>1818</v>
      </c>
      <c r="B13" s="260" t="s">
        <v>367</v>
      </c>
      <c r="C13" s="258">
        <v>2037</v>
      </c>
      <c r="D13" s="254">
        <v>54376</v>
      </c>
      <c r="E13" s="252">
        <v>54209</v>
      </c>
      <c r="F13" s="252"/>
      <c r="G13" s="252"/>
      <c r="H13" s="252">
        <v>407</v>
      </c>
      <c r="I13" s="252">
        <f t="shared" si="0"/>
        <v>54209</v>
      </c>
      <c r="J13" s="252">
        <f>E13-G13-I13</f>
        <v>0</v>
      </c>
      <c r="K13" s="252"/>
      <c r="L13" s="252"/>
      <c r="M13" s="252"/>
      <c r="N13" s="252"/>
      <c r="O13" s="252"/>
    </row>
    <row r="14" spans="1:15" s="256" customFormat="1" ht="22.5" customHeight="1">
      <c r="A14" s="257" t="s">
        <v>1819</v>
      </c>
      <c r="B14" s="260" t="s">
        <v>367</v>
      </c>
      <c r="C14" s="258">
        <v>2038</v>
      </c>
      <c r="D14" s="254">
        <v>300000</v>
      </c>
      <c r="E14" s="252">
        <v>0</v>
      </c>
      <c r="F14" s="252">
        <v>300000</v>
      </c>
      <c r="G14" s="252"/>
      <c r="H14" s="252">
        <v>6225</v>
      </c>
      <c r="I14" s="252"/>
      <c r="J14" s="252">
        <v>300000</v>
      </c>
      <c r="K14" s="252"/>
      <c r="L14" s="252">
        <v>13500</v>
      </c>
      <c r="M14" s="252"/>
      <c r="N14" s="252">
        <v>13500</v>
      </c>
      <c r="O14" s="252">
        <v>300000</v>
      </c>
    </row>
    <row r="15" spans="1:15" s="256" customFormat="1" ht="20.25" customHeight="1">
      <c r="A15" s="257" t="s">
        <v>1820</v>
      </c>
      <c r="B15" s="260" t="s">
        <v>367</v>
      </c>
      <c r="C15" s="258">
        <v>2021</v>
      </c>
      <c r="D15" s="254">
        <v>173892</v>
      </c>
      <c r="E15" s="252">
        <v>0</v>
      </c>
      <c r="F15" s="252">
        <v>173892</v>
      </c>
      <c r="G15" s="252"/>
      <c r="H15" s="252">
        <v>3108</v>
      </c>
      <c r="I15" s="252"/>
      <c r="J15" s="252">
        <v>173892</v>
      </c>
      <c r="K15" s="252"/>
      <c r="L15" s="252">
        <v>7460</v>
      </c>
      <c r="M15" s="252">
        <v>28982</v>
      </c>
      <c r="N15" s="252">
        <v>7460</v>
      </c>
      <c r="O15" s="252">
        <v>144910</v>
      </c>
    </row>
    <row r="16" spans="1:15" s="256" customFormat="1" ht="22.5" customHeight="1">
      <c r="A16" s="252" t="s">
        <v>1821</v>
      </c>
      <c r="B16" s="260"/>
      <c r="C16" s="258"/>
      <c r="D16" s="254"/>
      <c r="E16" s="252"/>
      <c r="F16" s="252">
        <v>165000</v>
      </c>
      <c r="G16" s="252"/>
      <c r="H16" s="252">
        <v>3486</v>
      </c>
      <c r="I16" s="252"/>
      <c r="J16" s="252">
        <v>165000</v>
      </c>
      <c r="K16" s="252"/>
      <c r="L16" s="252">
        <v>8366</v>
      </c>
      <c r="M16" s="252"/>
      <c r="N16" s="252">
        <v>8366</v>
      </c>
      <c r="O16" s="252">
        <v>165000</v>
      </c>
    </row>
    <row r="17" spans="1:15" ht="11.25">
      <c r="A17" s="261" t="s">
        <v>45</v>
      </c>
      <c r="B17" s="261"/>
      <c r="C17" s="261"/>
      <c r="D17" s="261">
        <f aca="true" t="shared" si="2" ref="D17:O17">SUM(D3:D16)</f>
        <v>2962953</v>
      </c>
      <c r="E17" s="261">
        <f t="shared" si="2"/>
        <v>951340</v>
      </c>
      <c r="F17" s="261">
        <f t="shared" si="2"/>
        <v>658892</v>
      </c>
      <c r="G17" s="261">
        <f t="shared" si="2"/>
        <v>13244</v>
      </c>
      <c r="H17" s="261">
        <f t="shared" si="2"/>
        <v>21956</v>
      </c>
      <c r="I17" s="261">
        <f t="shared" si="2"/>
        <v>938096</v>
      </c>
      <c r="J17" s="261">
        <f t="shared" si="2"/>
        <v>658892</v>
      </c>
      <c r="K17" s="261">
        <f t="shared" si="2"/>
        <v>5000</v>
      </c>
      <c r="L17" s="261">
        <f t="shared" si="2"/>
        <v>29810</v>
      </c>
      <c r="M17" s="261">
        <f t="shared" si="2"/>
        <v>33982</v>
      </c>
      <c r="N17" s="261">
        <f t="shared" si="2"/>
        <v>29776</v>
      </c>
      <c r="O17" s="261">
        <f t="shared" si="2"/>
        <v>619910</v>
      </c>
    </row>
    <row r="18" spans="1:15" ht="11.25">
      <c r="A18" s="262"/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3"/>
      <c r="M18" s="263"/>
      <c r="N18" s="263"/>
      <c r="O18" s="263"/>
    </row>
    <row r="19" spans="1:15" ht="45">
      <c r="A19" s="264" t="s">
        <v>46</v>
      </c>
      <c r="B19" s="264"/>
      <c r="C19" s="264"/>
      <c r="D19" s="264"/>
      <c r="E19" s="1545" t="s">
        <v>1822</v>
      </c>
      <c r="F19" s="1545"/>
      <c r="G19" s="1545" t="s">
        <v>1823</v>
      </c>
      <c r="H19" s="1545"/>
      <c r="I19" s="1555" t="s">
        <v>1824</v>
      </c>
      <c r="J19" s="241" t="s">
        <v>1569</v>
      </c>
      <c r="K19" s="1545" t="s">
        <v>1237</v>
      </c>
      <c r="L19" s="1545"/>
      <c r="M19" s="1545" t="s">
        <v>1825</v>
      </c>
      <c r="N19" s="1545"/>
      <c r="O19" s="1545" t="s">
        <v>1826</v>
      </c>
    </row>
    <row r="20" spans="1:15" ht="16.5" customHeight="1">
      <c r="A20" s="265"/>
      <c r="B20" s="265"/>
      <c r="C20" s="265"/>
      <c r="D20" s="265"/>
      <c r="E20" s="1545"/>
      <c r="F20" s="1545"/>
      <c r="G20" s="241" t="s">
        <v>353</v>
      </c>
      <c r="H20" s="241" t="s">
        <v>354</v>
      </c>
      <c r="I20" s="1556"/>
      <c r="J20" s="241"/>
      <c r="K20" s="241" t="s">
        <v>353</v>
      </c>
      <c r="L20" s="241" t="s">
        <v>354</v>
      </c>
      <c r="M20" s="241" t="s">
        <v>353</v>
      </c>
      <c r="N20" s="241" t="s">
        <v>354</v>
      </c>
      <c r="O20" s="1545"/>
    </row>
    <row r="21" spans="1:15" s="256" customFormat="1" ht="17.25" customHeight="1">
      <c r="A21" s="252" t="s">
        <v>259</v>
      </c>
      <c r="B21" s="252"/>
      <c r="C21" s="252"/>
      <c r="D21" s="252"/>
      <c r="E21" s="266">
        <v>298552</v>
      </c>
      <c r="F21" s="252"/>
      <c r="G21" s="252">
        <v>21424</v>
      </c>
      <c r="H21" s="252">
        <v>2346</v>
      </c>
      <c r="I21" s="252">
        <v>277128</v>
      </c>
      <c r="J21" s="252">
        <v>0</v>
      </c>
      <c r="K21" s="252"/>
      <c r="L21" s="252"/>
      <c r="M21" s="252"/>
      <c r="N21" s="252"/>
      <c r="O21" s="252">
        <v>0</v>
      </c>
    </row>
  </sheetData>
  <sheetProtection/>
  <mergeCells count="18">
    <mergeCell ref="M19:N19"/>
    <mergeCell ref="O19:O20"/>
    <mergeCell ref="I1:I2"/>
    <mergeCell ref="J1:J2"/>
    <mergeCell ref="K1:L1"/>
    <mergeCell ref="M1:N1"/>
    <mergeCell ref="O1:O2"/>
    <mergeCell ref="I19:I20"/>
    <mergeCell ref="A1:A2"/>
    <mergeCell ref="K19:L19"/>
    <mergeCell ref="B1:B2"/>
    <mergeCell ref="C1:C2"/>
    <mergeCell ref="G19:H19"/>
    <mergeCell ref="G1:H1"/>
    <mergeCell ref="D1:D2"/>
    <mergeCell ref="E1:F1"/>
    <mergeCell ref="E19:E20"/>
    <mergeCell ref="F19:F20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r:id="rId1"/>
  <headerFooter alignWithMargins="0">
    <oddHeader>&amp;CA&amp;"Times New Roman CE,Félkövér dőlt" HITELÁLLOMÁNY ÉS ADÓSSÁGSZOLGÁLAT ALAKULÁSA 2014-2016. ÉVEKBEN&amp;R&amp;"Times New Roman CE,Félkövér dőlt"11.  melléklet
Adatok: ezer Ft-ban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K4" sqref="K4"/>
    </sheetView>
  </sheetViews>
  <sheetFormatPr defaultColWidth="10.625" defaultRowHeight="12.75"/>
  <cols>
    <col min="1" max="1" width="10.625" style="275" customWidth="1"/>
    <col min="2" max="2" width="42.50390625" style="275" customWidth="1"/>
    <col min="3" max="3" width="12.125" style="275" customWidth="1"/>
    <col min="4" max="4" width="9.00390625" style="275" customWidth="1"/>
    <col min="5" max="5" width="6.625" style="275" customWidth="1"/>
    <col min="6" max="6" width="8.50390625" style="275" customWidth="1"/>
    <col min="7" max="7" width="8.375" style="275" customWidth="1"/>
    <col min="8" max="8" width="8.125" style="275" customWidth="1"/>
    <col min="9" max="9" width="7.50390625" style="275" customWidth="1"/>
    <col min="10" max="10" width="8.625" style="275" customWidth="1"/>
    <col min="11" max="11" width="11.00390625" style="275" customWidth="1"/>
    <col min="12" max="12" width="10.375" style="275" customWidth="1"/>
    <col min="13" max="16384" width="10.625" style="275" customWidth="1"/>
  </cols>
  <sheetData>
    <row r="1" spans="1:12" ht="54">
      <c r="A1" s="195" t="s">
        <v>419</v>
      </c>
      <c r="B1" s="196" t="s">
        <v>46</v>
      </c>
      <c r="C1" s="274" t="s">
        <v>652</v>
      </c>
      <c r="D1" s="196" t="s">
        <v>738</v>
      </c>
      <c r="E1" s="196" t="s">
        <v>420</v>
      </c>
      <c r="F1" s="196" t="s">
        <v>739</v>
      </c>
      <c r="G1" s="274" t="s">
        <v>740</v>
      </c>
      <c r="H1" s="197" t="s">
        <v>741</v>
      </c>
      <c r="I1" s="197" t="s">
        <v>742</v>
      </c>
      <c r="J1" s="197" t="s">
        <v>1491</v>
      </c>
      <c r="K1" s="274" t="s">
        <v>653</v>
      </c>
      <c r="L1" s="197" t="s">
        <v>1232</v>
      </c>
    </row>
    <row r="2" spans="1:12" ht="12.75">
      <c r="A2" s="327" t="s">
        <v>902</v>
      </c>
      <c r="B2" s="194" t="s">
        <v>396</v>
      </c>
      <c r="C2" s="455">
        <v>1</v>
      </c>
      <c r="D2" s="326">
        <v>3</v>
      </c>
      <c r="E2" s="326"/>
      <c r="F2" s="326"/>
      <c r="G2" s="326"/>
      <c r="H2" s="326"/>
      <c r="I2" s="326"/>
      <c r="J2" s="284">
        <v>1</v>
      </c>
      <c r="K2" s="289">
        <f>SUM(D2:J2)</f>
        <v>4</v>
      </c>
      <c r="L2" s="289">
        <f aca="true" t="shared" si="0" ref="L2:L19">K2-C2</f>
        <v>3</v>
      </c>
    </row>
    <row r="3" spans="1:12" ht="12.75">
      <c r="A3" s="327" t="s">
        <v>898</v>
      </c>
      <c r="B3" s="276" t="s">
        <v>50</v>
      </c>
      <c r="C3" s="277">
        <v>171</v>
      </c>
      <c r="D3" s="277">
        <v>141</v>
      </c>
      <c r="E3" s="3"/>
      <c r="F3" s="3"/>
      <c r="G3" s="278"/>
      <c r="H3" s="109"/>
      <c r="I3" s="109">
        <v>18</v>
      </c>
      <c r="J3" s="109">
        <v>9</v>
      </c>
      <c r="K3" s="277">
        <f>SUM(D3:J3)</f>
        <v>168</v>
      </c>
      <c r="L3" s="200">
        <f t="shared" si="0"/>
        <v>-3</v>
      </c>
    </row>
    <row r="4" spans="1:13" ht="12.75">
      <c r="A4" s="327" t="s">
        <v>903</v>
      </c>
      <c r="B4" s="276" t="s">
        <v>951</v>
      </c>
      <c r="C4" s="277">
        <v>168</v>
      </c>
      <c r="D4" s="277"/>
      <c r="E4" s="3"/>
      <c r="F4" s="3"/>
      <c r="G4" s="277"/>
      <c r="H4" s="200"/>
      <c r="I4" s="277">
        <v>43.5</v>
      </c>
      <c r="J4" s="277">
        <v>124.5</v>
      </c>
      <c r="K4" s="277">
        <f>SUM(D4:J4)</f>
        <v>168</v>
      </c>
      <c r="L4" s="200">
        <f t="shared" si="0"/>
        <v>0</v>
      </c>
      <c r="M4" s="279"/>
    </row>
    <row r="5" spans="1:12" ht="12.75">
      <c r="A5" s="327" t="s">
        <v>905</v>
      </c>
      <c r="B5" s="194" t="s">
        <v>957</v>
      </c>
      <c r="C5" s="277">
        <v>122.5</v>
      </c>
      <c r="D5" s="277"/>
      <c r="E5" s="3">
        <v>0.5</v>
      </c>
      <c r="F5" s="200"/>
      <c r="G5" s="277"/>
      <c r="H5" s="200">
        <v>77</v>
      </c>
      <c r="I5" s="277">
        <v>4</v>
      </c>
      <c r="J5" s="277">
        <v>41</v>
      </c>
      <c r="K5" s="277">
        <f>SUM(D5:J5)</f>
        <v>122.5</v>
      </c>
      <c r="L5" s="200">
        <f t="shared" si="0"/>
        <v>0</v>
      </c>
    </row>
    <row r="6" spans="1:12" ht="12.75">
      <c r="A6" s="327" t="s">
        <v>1387</v>
      </c>
      <c r="B6" s="194" t="s">
        <v>743</v>
      </c>
      <c r="C6" s="277">
        <v>56.5</v>
      </c>
      <c r="D6" s="277"/>
      <c r="E6" s="3">
        <v>4</v>
      </c>
      <c r="F6" s="3"/>
      <c r="G6" s="277"/>
      <c r="H6" s="200">
        <v>45.5</v>
      </c>
      <c r="I6" s="277"/>
      <c r="J6" s="277">
        <v>7</v>
      </c>
      <c r="K6" s="277">
        <v>56.5</v>
      </c>
      <c r="L6" s="200">
        <f t="shared" si="0"/>
        <v>0</v>
      </c>
    </row>
    <row r="7" spans="1:12" ht="12.75">
      <c r="A7" s="327" t="s">
        <v>1385</v>
      </c>
      <c r="B7" s="194" t="s">
        <v>744</v>
      </c>
      <c r="C7" s="277">
        <v>72.5</v>
      </c>
      <c r="D7" s="277"/>
      <c r="E7" s="3"/>
      <c r="F7" s="3">
        <v>40.5</v>
      </c>
      <c r="G7" s="277"/>
      <c r="H7" s="200">
        <v>24</v>
      </c>
      <c r="I7" s="277"/>
      <c r="J7" s="277">
        <v>8</v>
      </c>
      <c r="K7" s="277">
        <v>72.5</v>
      </c>
      <c r="L7" s="200">
        <f t="shared" si="0"/>
        <v>0</v>
      </c>
    </row>
    <row r="8" spans="1:12" ht="12.75">
      <c r="A8" s="327" t="s">
        <v>1390</v>
      </c>
      <c r="B8" s="194" t="s">
        <v>745</v>
      </c>
      <c r="C8" s="277">
        <v>67</v>
      </c>
      <c r="D8" s="277"/>
      <c r="E8" s="3"/>
      <c r="F8" s="3">
        <v>37</v>
      </c>
      <c r="G8" s="277"/>
      <c r="H8" s="200">
        <v>22</v>
      </c>
      <c r="I8" s="277"/>
      <c r="J8" s="277">
        <v>8</v>
      </c>
      <c r="K8" s="277">
        <v>67</v>
      </c>
      <c r="L8" s="200">
        <f t="shared" si="0"/>
        <v>0</v>
      </c>
    </row>
    <row r="9" spans="1:12" ht="12.75">
      <c r="A9" s="327" t="s">
        <v>1392</v>
      </c>
      <c r="B9" s="194" t="s">
        <v>961</v>
      </c>
      <c r="C9" s="277">
        <v>69</v>
      </c>
      <c r="D9" s="277"/>
      <c r="E9" s="3"/>
      <c r="F9" s="3">
        <v>39</v>
      </c>
      <c r="G9" s="277"/>
      <c r="H9" s="200">
        <v>23</v>
      </c>
      <c r="I9" s="277"/>
      <c r="J9" s="277">
        <v>7</v>
      </c>
      <c r="K9" s="277">
        <v>69</v>
      </c>
      <c r="L9" s="200">
        <f t="shared" si="0"/>
        <v>0</v>
      </c>
    </row>
    <row r="10" spans="1:12" ht="12.75">
      <c r="A10" s="327" t="s">
        <v>1394</v>
      </c>
      <c r="B10" s="194" t="s">
        <v>962</v>
      </c>
      <c r="C10" s="277">
        <v>67.5</v>
      </c>
      <c r="D10" s="277"/>
      <c r="E10" s="3"/>
      <c r="F10" s="3">
        <v>37</v>
      </c>
      <c r="G10" s="277"/>
      <c r="H10" s="200">
        <v>21</v>
      </c>
      <c r="I10" s="277">
        <v>0.5</v>
      </c>
      <c r="J10" s="277">
        <v>9</v>
      </c>
      <c r="K10" s="277">
        <v>67.5</v>
      </c>
      <c r="L10" s="200">
        <f t="shared" si="0"/>
        <v>0</v>
      </c>
    </row>
    <row r="11" spans="1:12" ht="25.5">
      <c r="A11" s="327" t="s">
        <v>1224</v>
      </c>
      <c r="B11" s="234" t="s">
        <v>746</v>
      </c>
      <c r="C11" s="277">
        <v>25.5</v>
      </c>
      <c r="D11" s="280"/>
      <c r="E11" s="198"/>
      <c r="F11" s="198"/>
      <c r="G11" s="280">
        <v>11.5</v>
      </c>
      <c r="H11" s="1228"/>
      <c r="I11" s="280">
        <v>4</v>
      </c>
      <c r="J11" s="280">
        <v>10</v>
      </c>
      <c r="K11" s="277">
        <f>SUM(D11:J11)</f>
        <v>25.5</v>
      </c>
      <c r="L11" s="200">
        <f t="shared" si="0"/>
        <v>0</v>
      </c>
    </row>
    <row r="12" spans="1:12" ht="12.75">
      <c r="A12" s="327" t="s">
        <v>1225</v>
      </c>
      <c r="B12" s="180" t="s">
        <v>954</v>
      </c>
      <c r="C12" s="277">
        <v>48</v>
      </c>
      <c r="D12" s="280"/>
      <c r="E12" s="198"/>
      <c r="F12" s="198"/>
      <c r="G12" s="280">
        <v>9.5</v>
      </c>
      <c r="H12" s="199">
        <v>4</v>
      </c>
      <c r="I12" s="280">
        <v>9.5</v>
      </c>
      <c r="J12" s="280">
        <v>25</v>
      </c>
      <c r="K12" s="277">
        <v>48</v>
      </c>
      <c r="L12" s="200">
        <f t="shared" si="0"/>
        <v>0</v>
      </c>
    </row>
    <row r="13" spans="1:12" ht="25.5">
      <c r="A13" s="327" t="s">
        <v>1226</v>
      </c>
      <c r="B13" s="234" t="s">
        <v>964</v>
      </c>
      <c r="C13" s="277">
        <v>3</v>
      </c>
      <c r="D13" s="280"/>
      <c r="E13" s="198"/>
      <c r="F13" s="198"/>
      <c r="G13" s="280"/>
      <c r="H13" s="199">
        <v>3</v>
      </c>
      <c r="I13" s="280"/>
      <c r="J13" s="280"/>
      <c r="K13" s="277">
        <v>3</v>
      </c>
      <c r="L13" s="200">
        <f t="shared" si="0"/>
        <v>0</v>
      </c>
    </row>
    <row r="14" spans="1:12" ht="12.75">
      <c r="A14" s="327" t="s">
        <v>1227</v>
      </c>
      <c r="B14" s="51" t="s">
        <v>955</v>
      </c>
      <c r="C14" s="277">
        <v>50</v>
      </c>
      <c r="D14" s="280"/>
      <c r="E14" s="198"/>
      <c r="F14" s="198"/>
      <c r="G14" s="280">
        <v>38</v>
      </c>
      <c r="H14" s="199">
        <v>5.5</v>
      </c>
      <c r="I14" s="280">
        <v>1</v>
      </c>
      <c r="J14" s="280">
        <v>5.5</v>
      </c>
      <c r="K14" s="277">
        <v>50</v>
      </c>
      <c r="L14" s="200">
        <f t="shared" si="0"/>
        <v>0</v>
      </c>
    </row>
    <row r="15" spans="1:13" ht="12.75">
      <c r="A15" s="327" t="s">
        <v>1228</v>
      </c>
      <c r="B15" s="51" t="s">
        <v>956</v>
      </c>
      <c r="C15" s="277">
        <v>62</v>
      </c>
      <c r="D15" s="280"/>
      <c r="E15" s="198"/>
      <c r="F15" s="198"/>
      <c r="G15" s="281"/>
      <c r="H15" s="199">
        <v>45</v>
      </c>
      <c r="I15" s="280">
        <v>7</v>
      </c>
      <c r="J15" s="280">
        <v>10</v>
      </c>
      <c r="K15" s="277">
        <f>SUM(D15:J15)</f>
        <v>62</v>
      </c>
      <c r="L15" s="200">
        <f t="shared" si="0"/>
        <v>0</v>
      </c>
      <c r="M15" s="279"/>
    </row>
    <row r="16" spans="1:12" ht="12.75">
      <c r="A16" s="327" t="s">
        <v>1229</v>
      </c>
      <c r="B16" s="51" t="s">
        <v>747</v>
      </c>
      <c r="C16" s="277">
        <v>127</v>
      </c>
      <c r="D16" s="280"/>
      <c r="E16" s="198"/>
      <c r="F16" s="198"/>
      <c r="G16" s="281"/>
      <c r="H16" s="199">
        <v>39</v>
      </c>
      <c r="I16" s="280">
        <v>16</v>
      </c>
      <c r="J16" s="280">
        <v>72</v>
      </c>
      <c r="K16" s="277">
        <v>127</v>
      </c>
      <c r="L16" s="200">
        <f t="shared" si="0"/>
        <v>0</v>
      </c>
    </row>
    <row r="17" spans="1:12" ht="12.75">
      <c r="A17" s="327" t="s">
        <v>871</v>
      </c>
      <c r="B17" s="51" t="s">
        <v>966</v>
      </c>
      <c r="C17" s="277">
        <v>17</v>
      </c>
      <c r="D17" s="280"/>
      <c r="E17" s="198"/>
      <c r="F17" s="198"/>
      <c r="G17" s="281"/>
      <c r="H17" s="199">
        <v>10</v>
      </c>
      <c r="I17" s="280">
        <v>1</v>
      </c>
      <c r="J17" s="280">
        <v>6</v>
      </c>
      <c r="K17" s="277">
        <v>17</v>
      </c>
      <c r="L17" s="200">
        <f t="shared" si="0"/>
        <v>0</v>
      </c>
    </row>
    <row r="18" spans="1:12" ht="12.75">
      <c r="A18" s="327" t="s">
        <v>1230</v>
      </c>
      <c r="B18" s="51" t="s">
        <v>967</v>
      </c>
      <c r="C18" s="277">
        <v>21</v>
      </c>
      <c r="D18" s="280"/>
      <c r="E18" s="198"/>
      <c r="F18" s="198"/>
      <c r="G18" s="281"/>
      <c r="H18" s="199"/>
      <c r="I18" s="280">
        <v>5</v>
      </c>
      <c r="J18" s="280">
        <v>16</v>
      </c>
      <c r="K18" s="277">
        <f>SUM(D18:J18)</f>
        <v>21</v>
      </c>
      <c r="L18" s="200">
        <f t="shared" si="0"/>
        <v>0</v>
      </c>
    </row>
    <row r="19" spans="1:12" ht="12.75">
      <c r="A19" s="327" t="s">
        <v>1231</v>
      </c>
      <c r="B19" s="51" t="s">
        <v>421</v>
      </c>
      <c r="C19" s="277">
        <v>11</v>
      </c>
      <c r="D19" s="280"/>
      <c r="E19" s="198"/>
      <c r="F19" s="198"/>
      <c r="G19" s="281"/>
      <c r="H19" s="199"/>
      <c r="I19" s="280">
        <v>3</v>
      </c>
      <c r="J19" s="280">
        <v>8</v>
      </c>
      <c r="K19" s="277">
        <f>SUM(I19:J19)</f>
        <v>11</v>
      </c>
      <c r="L19" s="200">
        <f t="shared" si="0"/>
        <v>0</v>
      </c>
    </row>
    <row r="20" spans="1:12" ht="15">
      <c r="A20" s="201"/>
      <c r="B20" s="202" t="s">
        <v>748</v>
      </c>
      <c r="C20" s="282">
        <f aca="true" t="shared" si="1" ref="C20:L20">SUM(C3:C19)</f>
        <v>1158.5</v>
      </c>
      <c r="D20" s="282">
        <f t="shared" si="1"/>
        <v>141</v>
      </c>
      <c r="E20" s="282">
        <f t="shared" si="1"/>
        <v>4.5</v>
      </c>
      <c r="F20" s="282">
        <f t="shared" si="1"/>
        <v>153.5</v>
      </c>
      <c r="G20" s="282">
        <f t="shared" si="1"/>
        <v>59</v>
      </c>
      <c r="H20" s="282">
        <f t="shared" si="1"/>
        <v>319</v>
      </c>
      <c r="I20" s="282">
        <f t="shared" si="1"/>
        <v>112.5</v>
      </c>
      <c r="J20" s="282">
        <f t="shared" si="1"/>
        <v>366</v>
      </c>
      <c r="K20" s="282">
        <f t="shared" si="1"/>
        <v>1155.5</v>
      </c>
      <c r="L20" s="283">
        <f t="shared" si="1"/>
        <v>-3</v>
      </c>
    </row>
    <row r="21" spans="1:12" s="285" customFormat="1" ht="15">
      <c r="A21" s="286"/>
      <c r="B21" s="287" t="s">
        <v>45</v>
      </c>
      <c r="C21" s="288">
        <f aca="true" t="shared" si="2" ref="C21:L21">SUM(C2+C20)</f>
        <v>1159.5</v>
      </c>
      <c r="D21" s="288">
        <f t="shared" si="2"/>
        <v>144</v>
      </c>
      <c r="E21" s="288">
        <f t="shared" si="2"/>
        <v>4.5</v>
      </c>
      <c r="F21" s="288">
        <f t="shared" si="2"/>
        <v>153.5</v>
      </c>
      <c r="G21" s="288">
        <f t="shared" si="2"/>
        <v>59</v>
      </c>
      <c r="H21" s="288">
        <f t="shared" si="2"/>
        <v>319</v>
      </c>
      <c r="I21" s="288">
        <f t="shared" si="2"/>
        <v>112.5</v>
      </c>
      <c r="J21" s="288">
        <f t="shared" si="2"/>
        <v>367</v>
      </c>
      <c r="K21" s="288">
        <f t="shared" si="2"/>
        <v>1159.5</v>
      </c>
      <c r="L21" s="288">
        <f t="shared" si="2"/>
        <v>0</v>
      </c>
    </row>
    <row r="23" spans="2:4" ht="15.75">
      <c r="B23" s="1229"/>
      <c r="D23" s="1230"/>
    </row>
    <row r="24" spans="2:4" ht="12.75">
      <c r="B24" s="1231"/>
      <c r="D24" s="1232"/>
    </row>
    <row r="25" spans="2:4" ht="12.75">
      <c r="B25" s="1231"/>
      <c r="D25" s="1232"/>
    </row>
    <row r="26" spans="2:8" ht="15.75">
      <c r="B26" s="1231"/>
      <c r="D26" s="1233"/>
      <c r="F26" s="1234"/>
      <c r="G26" s="1234"/>
      <c r="H26" s="1234"/>
    </row>
    <row r="27" spans="2:8" ht="15.75">
      <c r="B27" s="1235"/>
      <c r="D27" s="1233"/>
      <c r="F27" s="1557"/>
      <c r="G27" s="1557"/>
      <c r="H27" s="1557"/>
    </row>
    <row r="28" ht="15.75">
      <c r="B28" s="1236"/>
    </row>
    <row r="29" ht="12.75">
      <c r="B29" s="1237"/>
    </row>
    <row r="30" ht="12.75">
      <c r="B30" s="1238"/>
    </row>
    <row r="31" s="1239" customFormat="1" ht="15.75">
      <c r="B31" s="1230"/>
    </row>
    <row r="32" ht="12.75">
      <c r="B32" s="1232"/>
    </row>
    <row r="33" ht="12.75">
      <c r="B33" s="1232"/>
    </row>
    <row r="34" ht="15.75">
      <c r="B34" s="1233"/>
    </row>
    <row r="35" ht="15.75">
      <c r="B35" s="1233"/>
    </row>
    <row r="36" ht="12.75">
      <c r="B36" s="1232"/>
    </row>
    <row r="37" ht="12.75">
      <c r="B37" s="279"/>
    </row>
    <row r="38" ht="12.75">
      <c r="B38" s="279"/>
    </row>
    <row r="39" ht="12.75">
      <c r="B39" s="279"/>
    </row>
  </sheetData>
  <sheetProtection/>
  <mergeCells count="1">
    <mergeCell ref="F27:H27"/>
  </mergeCells>
  <printOptions/>
  <pageMargins left="0.7874015748031497" right="0.7874015748031497" top="1.3779527559055118" bottom="0.984251968503937" header="0.7086614173228347" footer="0.5118110236220472"/>
  <pageSetup horizontalDpi="600" verticalDpi="600" orientation="landscape" paperSize="9" r:id="rId1"/>
  <headerFooter alignWithMargins="0">
    <oddHeader>&amp;CZALAEGERSZEG  MEGYEI JOGÚ VÁROS ÖNKORMÁNYZATA ÉS ÁLTALA IRÁNYÍTOTT KÖLTSÉGVETÉSI SZERVEK 
2014. ÉVI LÉTSZÁM ELŐIRÁNYZATAI&amp;R&amp;"Times New Roman CE,Félkövér dőlt"12.  melléklet
Adatok: főben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pane ySplit="3" topLeftCell="BM22" activePane="bottomLeft" state="frozen"/>
      <selection pane="topLeft" activeCell="A1" sqref="A1"/>
      <selection pane="bottomLeft" activeCell="K26" sqref="K26"/>
    </sheetView>
  </sheetViews>
  <sheetFormatPr defaultColWidth="10.625" defaultRowHeight="12.75"/>
  <cols>
    <col min="1" max="1" width="4.375" style="383" customWidth="1"/>
    <col min="2" max="2" width="56.875" style="383" customWidth="1"/>
    <col min="3" max="3" width="12.875" style="430" customWidth="1"/>
    <col min="4" max="4" width="11.625" style="383" customWidth="1"/>
    <col min="5" max="5" width="12.375" style="383" customWidth="1"/>
    <col min="6" max="6" width="13.375" style="431" customWidth="1"/>
    <col min="7" max="7" width="15.00390625" style="383" customWidth="1"/>
    <col min="8" max="8" width="10.375" style="431" customWidth="1"/>
    <col min="9" max="9" width="12.875" style="383" customWidth="1"/>
    <col min="10" max="10" width="13.625" style="383" customWidth="1"/>
    <col min="11" max="11" width="11.625" style="383" customWidth="1"/>
    <col min="12" max="16384" width="10.625" style="383" customWidth="1"/>
  </cols>
  <sheetData>
    <row r="1" spans="1:11" ht="29.25" customHeight="1">
      <c r="A1" s="1561" t="s">
        <v>997</v>
      </c>
      <c r="B1" s="1564" t="s">
        <v>998</v>
      </c>
      <c r="C1" s="1558" t="s">
        <v>999</v>
      </c>
      <c r="D1" s="1558" t="s">
        <v>1000</v>
      </c>
      <c r="E1" s="1558" t="s">
        <v>1001</v>
      </c>
      <c r="F1" s="1558" t="s">
        <v>455</v>
      </c>
      <c r="G1" s="1567" t="s">
        <v>456</v>
      </c>
      <c r="H1" s="1570" t="s">
        <v>457</v>
      </c>
      <c r="I1" s="1571"/>
      <c r="J1" s="1571"/>
      <c r="K1" s="1571"/>
    </row>
    <row r="2" spans="1:11" ht="12.75" customHeight="1">
      <c r="A2" s="1562"/>
      <c r="B2" s="1559"/>
      <c r="C2" s="1559"/>
      <c r="D2" s="1559"/>
      <c r="E2" s="1559"/>
      <c r="F2" s="1559"/>
      <c r="G2" s="1568"/>
      <c r="H2" s="1565" t="s">
        <v>458</v>
      </c>
      <c r="I2" s="1565" t="s">
        <v>459</v>
      </c>
      <c r="J2" s="1571"/>
      <c r="K2" s="1571"/>
    </row>
    <row r="3" spans="1:11" s="387" customFormat="1" ht="55.5" customHeight="1" thickBot="1">
      <c r="A3" s="1563"/>
      <c r="B3" s="1560"/>
      <c r="C3" s="1560"/>
      <c r="D3" s="1560"/>
      <c r="E3" s="1560"/>
      <c r="F3" s="1560"/>
      <c r="G3" s="1569"/>
      <c r="H3" s="1566"/>
      <c r="I3" s="385" t="s">
        <v>460</v>
      </c>
      <c r="J3" s="384" t="s">
        <v>245</v>
      </c>
      <c r="K3" s="386" t="s">
        <v>1169</v>
      </c>
    </row>
    <row r="4" spans="1:11" ht="38.25" customHeight="1">
      <c r="A4" s="388" t="s">
        <v>902</v>
      </c>
      <c r="B4" s="389" t="s">
        <v>462</v>
      </c>
      <c r="C4" s="390">
        <v>758465</v>
      </c>
      <c r="D4" s="390">
        <v>0</v>
      </c>
      <c r="E4" s="391">
        <f aca="true" t="shared" si="0" ref="E4:E15">SUM(C4:D4)</f>
        <v>758465</v>
      </c>
      <c r="F4" s="392">
        <f aca="true" t="shared" si="1" ref="F4:F15">C4/E4</f>
        <v>1</v>
      </c>
      <c r="G4" s="393" t="s">
        <v>463</v>
      </c>
      <c r="H4" s="394">
        <v>754396</v>
      </c>
      <c r="I4" s="395">
        <v>754396</v>
      </c>
      <c r="J4" s="396">
        <v>0</v>
      </c>
      <c r="K4" s="395"/>
    </row>
    <row r="5" spans="1:11" ht="30" customHeight="1">
      <c r="A5" s="388" t="s">
        <v>898</v>
      </c>
      <c r="B5" s="389" t="s">
        <v>464</v>
      </c>
      <c r="C5" s="390">
        <v>491005</v>
      </c>
      <c r="D5" s="390">
        <v>86648</v>
      </c>
      <c r="E5" s="391">
        <f t="shared" si="0"/>
        <v>577653</v>
      </c>
      <c r="F5" s="392">
        <f t="shared" si="1"/>
        <v>0.8499999134428454</v>
      </c>
      <c r="G5" s="393" t="s">
        <v>463</v>
      </c>
      <c r="H5" s="394">
        <v>577653</v>
      </c>
      <c r="I5" s="395">
        <v>491005</v>
      </c>
      <c r="J5" s="396">
        <v>86648</v>
      </c>
      <c r="K5" s="395"/>
    </row>
    <row r="6" spans="1:11" ht="26.25" customHeight="1">
      <c r="A6" s="388" t="s">
        <v>903</v>
      </c>
      <c r="B6" s="389" t="s">
        <v>1145</v>
      </c>
      <c r="C6" s="390">
        <v>494387</v>
      </c>
      <c r="D6" s="390">
        <v>87244</v>
      </c>
      <c r="E6" s="391">
        <f t="shared" si="0"/>
        <v>581631</v>
      </c>
      <c r="F6" s="392">
        <f t="shared" si="1"/>
        <v>0.8500011175470359</v>
      </c>
      <c r="G6" s="393" t="s">
        <v>463</v>
      </c>
      <c r="H6" s="394">
        <v>581631</v>
      </c>
      <c r="I6" s="395">
        <v>494387</v>
      </c>
      <c r="J6" s="396">
        <v>87244</v>
      </c>
      <c r="K6" s="395"/>
    </row>
    <row r="7" spans="1:11" ht="24" customHeight="1">
      <c r="A7" s="388" t="s">
        <v>905</v>
      </c>
      <c r="B7" s="389" t="s">
        <v>1146</v>
      </c>
      <c r="C7" s="390">
        <v>261239</v>
      </c>
      <c r="D7" s="390">
        <v>0</v>
      </c>
      <c r="E7" s="391">
        <f t="shared" si="0"/>
        <v>261239</v>
      </c>
      <c r="F7" s="392">
        <f t="shared" si="1"/>
        <v>1</v>
      </c>
      <c r="G7" s="393" t="s">
        <v>463</v>
      </c>
      <c r="H7" s="394">
        <v>259762</v>
      </c>
      <c r="I7" s="395">
        <v>261239</v>
      </c>
      <c r="J7" s="396">
        <v>-1477</v>
      </c>
      <c r="K7" s="395"/>
    </row>
    <row r="8" spans="1:11" ht="28.5" customHeight="1">
      <c r="A8" s="388" t="s">
        <v>1387</v>
      </c>
      <c r="B8" s="389" t="s">
        <v>1147</v>
      </c>
      <c r="C8" s="390">
        <v>342265</v>
      </c>
      <c r="D8" s="390">
        <v>0</v>
      </c>
      <c r="E8" s="391">
        <f t="shared" si="0"/>
        <v>342265</v>
      </c>
      <c r="F8" s="392">
        <f t="shared" si="1"/>
        <v>1</v>
      </c>
      <c r="G8" s="393" t="s">
        <v>463</v>
      </c>
      <c r="H8" s="394">
        <v>340423</v>
      </c>
      <c r="I8" s="395">
        <v>342265</v>
      </c>
      <c r="J8" s="396">
        <v>-1842</v>
      </c>
      <c r="K8" s="395"/>
    </row>
    <row r="9" spans="1:11" ht="27" customHeight="1">
      <c r="A9" s="388" t="s">
        <v>1385</v>
      </c>
      <c r="B9" s="389" t="s">
        <v>468</v>
      </c>
      <c r="C9" s="390">
        <v>599168</v>
      </c>
      <c r="D9" s="390">
        <v>0</v>
      </c>
      <c r="E9" s="391">
        <f t="shared" si="0"/>
        <v>599168</v>
      </c>
      <c r="F9" s="392">
        <f t="shared" si="1"/>
        <v>1</v>
      </c>
      <c r="G9" s="393" t="s">
        <v>463</v>
      </c>
      <c r="H9" s="394">
        <v>282579</v>
      </c>
      <c r="I9" s="395">
        <v>282579</v>
      </c>
      <c r="J9" s="396">
        <v>0</v>
      </c>
      <c r="K9" s="395"/>
    </row>
    <row r="10" spans="1:11" ht="38.25" customHeight="1">
      <c r="A10" s="388" t="s">
        <v>1390</v>
      </c>
      <c r="B10" s="389" t="s">
        <v>469</v>
      </c>
      <c r="C10" s="390">
        <v>900843</v>
      </c>
      <c r="D10" s="390">
        <v>597021</v>
      </c>
      <c r="E10" s="391">
        <f t="shared" si="0"/>
        <v>1497864</v>
      </c>
      <c r="F10" s="392">
        <f t="shared" si="1"/>
        <v>0.6014184198298377</v>
      </c>
      <c r="G10" s="393" t="s">
        <v>470</v>
      </c>
      <c r="H10" s="394">
        <v>118996</v>
      </c>
      <c r="I10" s="395">
        <v>100891</v>
      </c>
      <c r="J10" s="396">
        <v>18105</v>
      </c>
      <c r="K10" s="395"/>
    </row>
    <row r="11" spans="1:11" ht="29.25" customHeight="1">
      <c r="A11" s="388" t="s">
        <v>1392</v>
      </c>
      <c r="B11" s="389" t="s">
        <v>471</v>
      </c>
      <c r="C11" s="390">
        <v>725000</v>
      </c>
      <c r="D11" s="390">
        <v>0</v>
      </c>
      <c r="E11" s="391">
        <f t="shared" si="0"/>
        <v>725000</v>
      </c>
      <c r="F11" s="392">
        <f t="shared" si="1"/>
        <v>1</v>
      </c>
      <c r="G11" s="393" t="s">
        <v>463</v>
      </c>
      <c r="H11" s="394">
        <v>626698</v>
      </c>
      <c r="I11" s="395">
        <v>482483</v>
      </c>
      <c r="J11" s="396">
        <v>0</v>
      </c>
      <c r="K11" s="395">
        <v>144215</v>
      </c>
    </row>
    <row r="12" spans="1:11" ht="29.25" customHeight="1">
      <c r="A12" s="388" t="s">
        <v>1394</v>
      </c>
      <c r="B12" s="389" t="s">
        <v>1154</v>
      </c>
      <c r="C12" s="390">
        <v>410499</v>
      </c>
      <c r="D12" s="390">
        <v>0</v>
      </c>
      <c r="E12" s="391">
        <f t="shared" si="0"/>
        <v>410499</v>
      </c>
      <c r="F12" s="392">
        <f t="shared" si="1"/>
        <v>1</v>
      </c>
      <c r="G12" s="393" t="s">
        <v>463</v>
      </c>
      <c r="H12" s="394">
        <v>335334</v>
      </c>
      <c r="I12" s="395">
        <v>241925</v>
      </c>
      <c r="J12" s="396">
        <v>0</v>
      </c>
      <c r="K12" s="395">
        <v>93409</v>
      </c>
    </row>
    <row r="13" spans="1:11" ht="30.75" customHeight="1">
      <c r="A13" s="388" t="s">
        <v>1224</v>
      </c>
      <c r="B13" s="389" t="s">
        <v>1155</v>
      </c>
      <c r="C13" s="390">
        <v>39694</v>
      </c>
      <c r="D13" s="390">
        <v>0</v>
      </c>
      <c r="E13" s="391">
        <f t="shared" si="0"/>
        <v>39694</v>
      </c>
      <c r="F13" s="392">
        <f t="shared" si="1"/>
        <v>1</v>
      </c>
      <c r="G13" s="393" t="s">
        <v>463</v>
      </c>
      <c r="H13" s="390">
        <v>39614</v>
      </c>
      <c r="I13" s="397">
        <v>29770</v>
      </c>
      <c r="J13" s="398">
        <v>0</v>
      </c>
      <c r="K13" s="397">
        <v>9844</v>
      </c>
    </row>
    <row r="14" spans="1:11" ht="41.25" customHeight="1">
      <c r="A14" s="388" t="s">
        <v>1225</v>
      </c>
      <c r="B14" s="389" t="s">
        <v>1156</v>
      </c>
      <c r="C14" s="390">
        <v>305063</v>
      </c>
      <c r="D14" s="390">
        <v>0</v>
      </c>
      <c r="E14" s="391">
        <f t="shared" si="0"/>
        <v>305063</v>
      </c>
      <c r="F14" s="392">
        <f t="shared" si="1"/>
        <v>1</v>
      </c>
      <c r="G14" s="393" t="s">
        <v>1157</v>
      </c>
      <c r="H14" s="390">
        <v>254643</v>
      </c>
      <c r="I14" s="397">
        <v>200441</v>
      </c>
      <c r="J14" s="398">
        <v>0</v>
      </c>
      <c r="K14" s="397">
        <v>54202</v>
      </c>
    </row>
    <row r="15" spans="1:11" ht="18.75" customHeight="1">
      <c r="A15" s="388" t="s">
        <v>1226</v>
      </c>
      <c r="B15" s="389" t="s">
        <v>1158</v>
      </c>
      <c r="C15" s="390">
        <v>31089</v>
      </c>
      <c r="D15" s="390">
        <v>0</v>
      </c>
      <c r="E15" s="391">
        <f t="shared" si="0"/>
        <v>31089</v>
      </c>
      <c r="F15" s="392">
        <f t="shared" si="1"/>
        <v>1</v>
      </c>
      <c r="G15" s="393" t="s">
        <v>463</v>
      </c>
      <c r="H15" s="390">
        <v>18128</v>
      </c>
      <c r="I15" s="397">
        <v>17719</v>
      </c>
      <c r="J15" s="397">
        <v>0</v>
      </c>
      <c r="K15" s="397">
        <v>409</v>
      </c>
    </row>
    <row r="16" spans="1:11" ht="18.75" customHeight="1">
      <c r="A16" s="399"/>
      <c r="B16" s="384" t="s">
        <v>435</v>
      </c>
      <c r="C16" s="400">
        <f>SUM(C4:C15)</f>
        <v>5358717</v>
      </c>
      <c r="D16" s="400">
        <f>SUM(D4:D15)</f>
        <v>770913</v>
      </c>
      <c r="E16" s="400">
        <f>SUM(E4:E15)</f>
        <v>6129630</v>
      </c>
      <c r="F16" s="400"/>
      <c r="G16" s="400"/>
      <c r="H16" s="400">
        <f>SUM(H4:H15)</f>
        <v>4189857</v>
      </c>
      <c r="I16" s="400">
        <f>SUM(I4:I15)</f>
        <v>3699100</v>
      </c>
      <c r="J16" s="400">
        <f>SUM(J4:J15)</f>
        <v>188678</v>
      </c>
      <c r="K16" s="400">
        <f>SUM(K4:K15)</f>
        <v>302079</v>
      </c>
    </row>
    <row r="17" spans="1:11" ht="14.25" customHeight="1">
      <c r="A17" s="401"/>
      <c r="B17" s="402"/>
      <c r="C17" s="403"/>
      <c r="D17" s="403"/>
      <c r="E17" s="404"/>
      <c r="F17" s="405"/>
      <c r="G17" s="406"/>
      <c r="H17" s="403"/>
      <c r="I17" s="407"/>
      <c r="J17" s="407"/>
      <c r="K17" s="407"/>
    </row>
    <row r="18" spans="1:11" ht="15.75" customHeight="1">
      <c r="A18" s="408"/>
      <c r="B18" s="409" t="s">
        <v>1159</v>
      </c>
      <c r="C18" s="410"/>
      <c r="D18" s="410"/>
      <c r="E18" s="411"/>
      <c r="F18" s="412"/>
      <c r="G18" s="413"/>
      <c r="H18" s="410"/>
      <c r="I18" s="414"/>
      <c r="J18" s="414"/>
      <c r="K18" s="414"/>
    </row>
    <row r="19" spans="1:11" ht="39" customHeight="1">
      <c r="A19" s="388" t="s">
        <v>1227</v>
      </c>
      <c r="B19" s="415" t="s">
        <v>236</v>
      </c>
      <c r="C19" s="390">
        <v>12500</v>
      </c>
      <c r="D19" s="390">
        <v>0</v>
      </c>
      <c r="E19" s="391">
        <f aca="true" t="shared" si="2" ref="E19:E31">SUM(C19:D19)</f>
        <v>12500</v>
      </c>
      <c r="F19" s="392">
        <f aca="true" t="shared" si="3" ref="F19:F31">C19/E19</f>
        <v>1</v>
      </c>
      <c r="G19" s="393" t="s">
        <v>463</v>
      </c>
      <c r="H19" s="390">
        <v>8500</v>
      </c>
      <c r="I19" s="397">
        <v>8500</v>
      </c>
      <c r="J19" s="397">
        <v>0</v>
      </c>
      <c r="K19" s="397"/>
    </row>
    <row r="20" spans="1:11" ht="42" customHeight="1">
      <c r="A20" s="388" t="s">
        <v>1228</v>
      </c>
      <c r="B20" s="415" t="s">
        <v>237</v>
      </c>
      <c r="C20" s="390">
        <v>79369</v>
      </c>
      <c r="D20" s="390">
        <v>0</v>
      </c>
      <c r="E20" s="391">
        <f t="shared" si="2"/>
        <v>79369</v>
      </c>
      <c r="F20" s="392">
        <f t="shared" si="3"/>
        <v>1</v>
      </c>
      <c r="G20" s="393" t="s">
        <v>1160</v>
      </c>
      <c r="H20" s="390">
        <v>17966</v>
      </c>
      <c r="I20" s="397">
        <v>17966</v>
      </c>
      <c r="J20" s="397">
        <v>0</v>
      </c>
      <c r="K20" s="397"/>
    </row>
    <row r="21" spans="1:11" ht="39" customHeight="1">
      <c r="A21" s="388" t="s">
        <v>1229</v>
      </c>
      <c r="B21" s="415" t="s">
        <v>238</v>
      </c>
      <c r="C21" s="390">
        <v>27869</v>
      </c>
      <c r="D21" s="390">
        <v>0</v>
      </c>
      <c r="E21" s="391">
        <f t="shared" si="2"/>
        <v>27869</v>
      </c>
      <c r="F21" s="392">
        <f t="shared" si="3"/>
        <v>1</v>
      </c>
      <c r="G21" s="393" t="s">
        <v>1157</v>
      </c>
      <c r="H21" s="390">
        <v>5780</v>
      </c>
      <c r="I21" s="397">
        <v>5780</v>
      </c>
      <c r="J21" s="397">
        <v>0</v>
      </c>
      <c r="K21" s="397"/>
    </row>
    <row r="22" spans="1:11" ht="39.75" customHeight="1">
      <c r="A22" s="388" t="s">
        <v>871</v>
      </c>
      <c r="B22" s="415" t="s">
        <v>239</v>
      </c>
      <c r="C22" s="390">
        <v>15135</v>
      </c>
      <c r="D22" s="390">
        <v>0</v>
      </c>
      <c r="E22" s="391">
        <f t="shared" si="2"/>
        <v>15135</v>
      </c>
      <c r="F22" s="392">
        <f t="shared" si="3"/>
        <v>1</v>
      </c>
      <c r="G22" s="393" t="s">
        <v>1157</v>
      </c>
      <c r="H22" s="390">
        <v>3190</v>
      </c>
      <c r="I22" s="397">
        <v>3190</v>
      </c>
      <c r="J22" s="397">
        <v>0</v>
      </c>
      <c r="K22" s="397"/>
    </row>
    <row r="23" spans="1:11" ht="19.5" customHeight="1">
      <c r="A23" s="388" t="s">
        <v>1230</v>
      </c>
      <c r="B23" s="415" t="s">
        <v>474</v>
      </c>
      <c r="C23" s="390">
        <v>9817</v>
      </c>
      <c r="D23" s="390">
        <v>0</v>
      </c>
      <c r="E23" s="391">
        <f t="shared" si="2"/>
        <v>9817</v>
      </c>
      <c r="F23" s="392">
        <f t="shared" si="3"/>
        <v>1</v>
      </c>
      <c r="G23" s="393" t="s">
        <v>1157</v>
      </c>
      <c r="H23" s="390">
        <v>3294</v>
      </c>
      <c r="I23" s="397">
        <v>3294</v>
      </c>
      <c r="J23" s="397">
        <v>0</v>
      </c>
      <c r="K23" s="397"/>
    </row>
    <row r="24" spans="1:11" ht="18.75" customHeight="1">
      <c r="A24" s="388" t="s">
        <v>1231</v>
      </c>
      <c r="B24" s="415" t="s">
        <v>475</v>
      </c>
      <c r="C24" s="390">
        <v>27678</v>
      </c>
      <c r="D24" s="390">
        <v>0</v>
      </c>
      <c r="E24" s="391">
        <f t="shared" si="2"/>
        <v>27678</v>
      </c>
      <c r="F24" s="392">
        <f t="shared" si="3"/>
        <v>1</v>
      </c>
      <c r="G24" s="393" t="s">
        <v>1157</v>
      </c>
      <c r="H24" s="390">
        <v>11413</v>
      </c>
      <c r="I24" s="397">
        <v>11413</v>
      </c>
      <c r="J24" s="397">
        <v>0</v>
      </c>
      <c r="K24" s="397"/>
    </row>
    <row r="25" spans="1:11" ht="18" customHeight="1">
      <c r="A25" s="388" t="s">
        <v>1161</v>
      </c>
      <c r="B25" s="415" t="s">
        <v>476</v>
      </c>
      <c r="C25" s="390">
        <v>27988</v>
      </c>
      <c r="D25" s="390">
        <v>0</v>
      </c>
      <c r="E25" s="391">
        <f t="shared" si="2"/>
        <v>27988</v>
      </c>
      <c r="F25" s="392">
        <f t="shared" si="3"/>
        <v>1</v>
      </c>
      <c r="G25" s="393" t="s">
        <v>1157</v>
      </c>
      <c r="H25" s="390">
        <v>5878</v>
      </c>
      <c r="I25" s="397">
        <v>5878</v>
      </c>
      <c r="J25" s="397">
        <v>0</v>
      </c>
      <c r="K25" s="397"/>
    </row>
    <row r="26" spans="1:11" ht="17.25" customHeight="1">
      <c r="A26" s="388" t="s">
        <v>1162</v>
      </c>
      <c r="B26" s="415" t="s">
        <v>477</v>
      </c>
      <c r="C26" s="390">
        <v>94448</v>
      </c>
      <c r="D26" s="390">
        <v>0</v>
      </c>
      <c r="E26" s="391">
        <f t="shared" si="2"/>
        <v>94448</v>
      </c>
      <c r="F26" s="392">
        <f t="shared" si="3"/>
        <v>1</v>
      </c>
      <c r="G26" s="393" t="s">
        <v>1157</v>
      </c>
      <c r="H26" s="390">
        <v>3125</v>
      </c>
      <c r="I26" s="397">
        <v>3125</v>
      </c>
      <c r="J26" s="397">
        <v>0</v>
      </c>
      <c r="K26" s="397"/>
    </row>
    <row r="27" spans="1:11" ht="26.25" customHeight="1">
      <c r="A27" s="388" t="s">
        <v>1163</v>
      </c>
      <c r="B27" s="415" t="s">
        <v>240</v>
      </c>
      <c r="C27" s="390">
        <v>9976</v>
      </c>
      <c r="D27" s="390">
        <v>0</v>
      </c>
      <c r="E27" s="391">
        <f t="shared" si="2"/>
        <v>9976</v>
      </c>
      <c r="F27" s="392">
        <f t="shared" si="3"/>
        <v>1</v>
      </c>
      <c r="G27" s="393" t="s">
        <v>1157</v>
      </c>
      <c r="H27" s="390">
        <v>306</v>
      </c>
      <c r="I27" s="397">
        <v>306</v>
      </c>
      <c r="J27" s="397">
        <v>0</v>
      </c>
      <c r="K27" s="397"/>
    </row>
    <row r="28" spans="1:11" ht="23.25" customHeight="1">
      <c r="A28" s="388" t="s">
        <v>971</v>
      </c>
      <c r="B28" s="415" t="s">
        <v>241</v>
      </c>
      <c r="C28" s="390">
        <v>28014</v>
      </c>
      <c r="D28" s="390">
        <v>0</v>
      </c>
      <c r="E28" s="391">
        <f t="shared" si="2"/>
        <v>28014</v>
      </c>
      <c r="F28" s="392">
        <f t="shared" si="3"/>
        <v>1</v>
      </c>
      <c r="G28" s="393" t="s">
        <v>1157</v>
      </c>
      <c r="H28" s="390">
        <v>161</v>
      </c>
      <c r="I28" s="397">
        <v>161</v>
      </c>
      <c r="J28" s="397">
        <v>0</v>
      </c>
      <c r="K28" s="397"/>
    </row>
    <row r="29" spans="1:11" ht="24.75" customHeight="1">
      <c r="A29" s="388" t="s">
        <v>1170</v>
      </c>
      <c r="B29" s="415" t="s">
        <v>242</v>
      </c>
      <c r="C29" s="390">
        <v>17854</v>
      </c>
      <c r="D29" s="390">
        <v>0</v>
      </c>
      <c r="E29" s="391">
        <f t="shared" si="2"/>
        <v>17854</v>
      </c>
      <c r="F29" s="392">
        <f t="shared" si="3"/>
        <v>1</v>
      </c>
      <c r="G29" s="393" t="s">
        <v>1157</v>
      </c>
      <c r="H29" s="390">
        <v>62</v>
      </c>
      <c r="I29" s="397">
        <v>62</v>
      </c>
      <c r="J29" s="397">
        <v>0</v>
      </c>
      <c r="K29" s="397"/>
    </row>
    <row r="30" spans="1:11" ht="31.5" customHeight="1">
      <c r="A30" s="388" t="s">
        <v>1171</v>
      </c>
      <c r="B30" s="415" t="s">
        <v>243</v>
      </c>
      <c r="C30" s="390">
        <v>10620</v>
      </c>
      <c r="D30" s="390">
        <v>0</v>
      </c>
      <c r="E30" s="391">
        <f t="shared" si="2"/>
        <v>10620</v>
      </c>
      <c r="F30" s="392">
        <f t="shared" si="3"/>
        <v>1</v>
      </c>
      <c r="G30" s="393" t="s">
        <v>1157</v>
      </c>
      <c r="H30" s="390">
        <v>421</v>
      </c>
      <c r="I30" s="397">
        <v>421</v>
      </c>
      <c r="J30" s="397">
        <v>0</v>
      </c>
      <c r="K30" s="397"/>
    </row>
    <row r="31" spans="1:11" ht="30.75" customHeight="1">
      <c r="A31" s="388" t="s">
        <v>472</v>
      </c>
      <c r="B31" s="415" t="s">
        <v>244</v>
      </c>
      <c r="C31" s="416">
        <v>40322</v>
      </c>
      <c r="D31" s="416">
        <v>0</v>
      </c>
      <c r="E31" s="391">
        <f t="shared" si="2"/>
        <v>40322</v>
      </c>
      <c r="F31" s="392">
        <f t="shared" si="3"/>
        <v>1</v>
      </c>
      <c r="G31" s="417">
        <v>2009</v>
      </c>
      <c r="H31" s="397">
        <v>43</v>
      </c>
      <c r="I31" s="397">
        <v>43</v>
      </c>
      <c r="J31" s="397">
        <v>0</v>
      </c>
      <c r="K31" s="397"/>
    </row>
    <row r="32" spans="1:11" ht="13.5">
      <c r="A32" s="418"/>
      <c r="B32" s="419" t="s">
        <v>1164</v>
      </c>
      <c r="C32" s="420">
        <f>SUM(C19:C31)</f>
        <v>401590</v>
      </c>
      <c r="D32" s="420">
        <f>SUM(D19:D31)</f>
        <v>0</v>
      </c>
      <c r="E32" s="420">
        <f>SUM(E19:E31)</f>
        <v>401590</v>
      </c>
      <c r="F32" s="421"/>
      <c r="G32" s="421"/>
      <c r="H32" s="420">
        <f>SUM(H19:H31)</f>
        <v>60139</v>
      </c>
      <c r="I32" s="420">
        <f>SUM(I19:I31)</f>
        <v>60139</v>
      </c>
      <c r="J32" s="420">
        <f>SUM(J19:J31)</f>
        <v>0</v>
      </c>
      <c r="K32" s="420"/>
    </row>
    <row r="33" spans="1:11" ht="13.5">
      <c r="A33" s="422"/>
      <c r="B33" s="423"/>
      <c r="C33" s="434"/>
      <c r="D33" s="434"/>
      <c r="E33" s="434"/>
      <c r="F33" s="424"/>
      <c r="G33" s="424"/>
      <c r="H33" s="434"/>
      <c r="I33" s="434"/>
      <c r="J33" s="434"/>
      <c r="K33" s="434"/>
    </row>
    <row r="34" spans="1:11" ht="18.75" customHeight="1" thickBot="1">
      <c r="A34" s="425"/>
      <c r="B34" s="426" t="s">
        <v>478</v>
      </c>
      <c r="C34" s="427"/>
      <c r="D34" s="425"/>
      <c r="E34" s="425"/>
      <c r="F34" s="428"/>
      <c r="G34" s="425"/>
      <c r="H34" s="428"/>
      <c r="I34" s="425"/>
      <c r="J34" s="425"/>
      <c r="K34" s="429"/>
    </row>
    <row r="35" spans="1:11" ht="27" customHeight="1">
      <c r="A35" s="1561" t="s">
        <v>997</v>
      </c>
      <c r="B35" s="1564" t="s">
        <v>998</v>
      </c>
      <c r="C35" s="1558" t="s">
        <v>999</v>
      </c>
      <c r="D35" s="1558" t="s">
        <v>1000</v>
      </c>
      <c r="E35" s="1558" t="s">
        <v>1001</v>
      </c>
      <c r="F35" s="1558" t="s">
        <v>455</v>
      </c>
      <c r="G35" s="1567" t="s">
        <v>456</v>
      </c>
      <c r="H35" s="1570" t="s">
        <v>457</v>
      </c>
      <c r="I35" s="1571"/>
      <c r="J35" s="1571"/>
      <c r="K35" s="1571"/>
    </row>
    <row r="36" spans="1:11" ht="18.75" customHeight="1">
      <c r="A36" s="1562"/>
      <c r="B36" s="1559"/>
      <c r="C36" s="1559"/>
      <c r="D36" s="1559"/>
      <c r="E36" s="1559"/>
      <c r="F36" s="1559"/>
      <c r="G36" s="1568"/>
      <c r="H36" s="1565" t="s">
        <v>458</v>
      </c>
      <c r="I36" s="1565" t="s">
        <v>459</v>
      </c>
      <c r="J36" s="1571"/>
      <c r="K36" s="1571"/>
    </row>
    <row r="37" spans="1:11" ht="36" customHeight="1" thickBot="1">
      <c r="A37" s="1563"/>
      <c r="B37" s="1560"/>
      <c r="C37" s="1560"/>
      <c r="D37" s="1560"/>
      <c r="E37" s="1560"/>
      <c r="F37" s="1560"/>
      <c r="G37" s="1569"/>
      <c r="H37" s="1566"/>
      <c r="I37" s="385" t="s">
        <v>460</v>
      </c>
      <c r="J37" s="384" t="s">
        <v>245</v>
      </c>
      <c r="K37" s="386" t="s">
        <v>461</v>
      </c>
    </row>
    <row r="38" spans="1:11" ht="63.75">
      <c r="A38" s="388" t="s">
        <v>473</v>
      </c>
      <c r="B38" s="415" t="s">
        <v>481</v>
      </c>
      <c r="C38" s="390">
        <v>3780364</v>
      </c>
      <c r="D38" s="390">
        <v>459001</v>
      </c>
      <c r="E38" s="391">
        <f>SUM(C38:D38)</f>
        <v>4239365</v>
      </c>
      <c r="F38" s="392">
        <f>C38/E38</f>
        <v>0.8917288320302686</v>
      </c>
      <c r="G38" s="393" t="s">
        <v>463</v>
      </c>
      <c r="H38" s="390">
        <v>355893</v>
      </c>
      <c r="I38" s="397">
        <v>0</v>
      </c>
      <c r="J38" s="397">
        <v>355893</v>
      </c>
      <c r="K38" s="397">
        <v>355893</v>
      </c>
    </row>
  </sheetData>
  <sheetProtection/>
  <mergeCells count="20">
    <mergeCell ref="C35:C37"/>
    <mergeCell ref="D35:D37"/>
    <mergeCell ref="H2:H3"/>
    <mergeCell ref="G1:G3"/>
    <mergeCell ref="H1:K1"/>
    <mergeCell ref="I2:K2"/>
    <mergeCell ref="G35:G37"/>
    <mergeCell ref="H35:K35"/>
    <mergeCell ref="H36:H37"/>
    <mergeCell ref="I36:K36"/>
    <mergeCell ref="E35:E37"/>
    <mergeCell ref="F35:F37"/>
    <mergeCell ref="A1:A3"/>
    <mergeCell ref="B1:B3"/>
    <mergeCell ref="C1:C3"/>
    <mergeCell ref="D1:D3"/>
    <mergeCell ref="E1:E3"/>
    <mergeCell ref="F1:F3"/>
    <mergeCell ref="A35:A37"/>
    <mergeCell ref="B35:B37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&amp;C&amp;"Times New Roman CE,Félkövér dőlt"&amp;12Európai Uniós támogatással megvalósuló projektek tervezett költségei      
és finanszírozási forrásai  2014. évben&amp;R&amp;"Times New Roman CE,Dőlt"&amp;11 13. melléklet
adatok eFt-ban
&amp;"Times New Roman CE,Normál"
</oddHeader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51.50390625" style="0" customWidth="1"/>
    <col min="2" max="2" width="17.50390625" style="0" customWidth="1"/>
    <col min="3" max="3" width="13.00390625" style="0" customWidth="1"/>
    <col min="4" max="4" width="13.375" style="0" customWidth="1"/>
  </cols>
  <sheetData>
    <row r="1" spans="1:2" ht="67.5">
      <c r="A1" s="208" t="s">
        <v>284</v>
      </c>
      <c r="B1" s="330" t="s">
        <v>1175</v>
      </c>
    </row>
    <row r="2" spans="1:4" ht="24.75" customHeight="1">
      <c r="A2" s="331" t="s">
        <v>285</v>
      </c>
      <c r="B2" s="433" t="s">
        <v>479</v>
      </c>
      <c r="C2" s="333"/>
      <c r="D2" s="334"/>
    </row>
    <row r="3" spans="1:4" ht="24.75" customHeight="1">
      <c r="A3" s="331" t="s">
        <v>286</v>
      </c>
      <c r="B3" s="332">
        <v>800</v>
      </c>
      <c r="C3" s="333"/>
      <c r="D3" s="334"/>
    </row>
    <row r="4" spans="1:4" ht="24.75" customHeight="1">
      <c r="A4" s="335" t="s">
        <v>287</v>
      </c>
      <c r="B4" s="332">
        <v>45537</v>
      </c>
      <c r="C4" s="333"/>
      <c r="D4" s="334"/>
    </row>
    <row r="5" spans="1:4" ht="24.75" customHeight="1">
      <c r="A5" s="335" t="s">
        <v>288</v>
      </c>
      <c r="B5" s="332">
        <v>49294</v>
      </c>
      <c r="C5" s="333"/>
      <c r="D5" s="334"/>
    </row>
    <row r="6" spans="1:4" ht="24.75" customHeight="1">
      <c r="A6" s="331" t="s">
        <v>289</v>
      </c>
      <c r="B6" s="336"/>
      <c r="C6" s="333"/>
      <c r="D6" s="334"/>
    </row>
    <row r="7" spans="1:2" ht="13.5" customHeight="1">
      <c r="A7" s="337" t="s">
        <v>435</v>
      </c>
      <c r="B7" s="338">
        <f>SUM(B2:B6)</f>
        <v>95631</v>
      </c>
    </row>
    <row r="8" ht="13.5" customHeight="1">
      <c r="B8" s="339"/>
    </row>
    <row r="10" ht="12.75">
      <c r="A10" t="s">
        <v>312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  <headerFooter alignWithMargins="0">
    <oddHeader>&amp;C&amp;"Times New Roman CE,Félkövér dőlt"KÖZVETETT TÁMOGATÁSOK JOGCÍMEI ÉS ÖSSZEGEI&amp;R&amp;"Times New Roman CE,Félkövér dőlt"
14.  melléklet
Adatok :ezerFt-ban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30.625" style="29" customWidth="1"/>
    <col min="2" max="2" width="10.50390625" style="29" customWidth="1"/>
    <col min="3" max="3" width="10.375" style="29" customWidth="1"/>
    <col min="4" max="11" width="11.00390625" style="29" bestFit="1" customWidth="1"/>
    <col min="12" max="12" width="10.375" style="29" customWidth="1"/>
    <col min="13" max="13" width="11.00390625" style="29" bestFit="1" customWidth="1"/>
    <col min="14" max="14" width="11.875" style="29" customWidth="1"/>
    <col min="15" max="16384" width="9.375" style="29" customWidth="1"/>
  </cols>
  <sheetData>
    <row r="1" spans="1:14" s="30" customFormat="1" ht="42" customHeight="1">
      <c r="A1" s="48" t="s">
        <v>46</v>
      </c>
      <c r="B1" s="206" t="s">
        <v>1725</v>
      </c>
      <c r="C1" s="206" t="s">
        <v>1726</v>
      </c>
      <c r="D1" s="206" t="s">
        <v>1727</v>
      </c>
      <c r="E1" s="206" t="s">
        <v>1728</v>
      </c>
      <c r="F1" s="206" t="s">
        <v>1729</v>
      </c>
      <c r="G1" s="206" t="s">
        <v>1730</v>
      </c>
      <c r="H1" s="206" t="s">
        <v>1731</v>
      </c>
      <c r="I1" s="206" t="s">
        <v>1732</v>
      </c>
      <c r="J1" s="206" t="s">
        <v>1733</v>
      </c>
      <c r="K1" s="206" t="s">
        <v>1734</v>
      </c>
      <c r="L1" s="206" t="s">
        <v>1735</v>
      </c>
      <c r="M1" s="206" t="s">
        <v>1736</v>
      </c>
      <c r="N1" s="48" t="s">
        <v>49</v>
      </c>
    </row>
    <row r="2" spans="1:14" ht="18.75" customHeight="1">
      <c r="A2" s="46" t="s">
        <v>1737</v>
      </c>
      <c r="B2" s="47">
        <v>738678</v>
      </c>
      <c r="C2" s="47">
        <v>970335</v>
      </c>
      <c r="D2" s="47">
        <v>1926836</v>
      </c>
      <c r="E2" s="47">
        <v>1102137</v>
      </c>
      <c r="F2" s="47">
        <v>1396292</v>
      </c>
      <c r="G2" s="47">
        <v>2053252</v>
      </c>
      <c r="H2" s="47">
        <v>1450101</v>
      </c>
      <c r="I2" s="47">
        <v>1059974</v>
      </c>
      <c r="J2" s="47">
        <v>2320875</v>
      </c>
      <c r="K2" s="47">
        <v>1277085</v>
      </c>
      <c r="L2" s="47">
        <v>1142184</v>
      </c>
      <c r="M2" s="47">
        <v>820536</v>
      </c>
      <c r="N2" s="47">
        <f>SUM(B2:M2)</f>
        <v>16258285</v>
      </c>
    </row>
    <row r="3" spans="1:14" ht="18" customHeight="1">
      <c r="A3" s="350" t="s">
        <v>1738</v>
      </c>
      <c r="B3" s="47"/>
      <c r="C3" s="47"/>
      <c r="D3" s="47"/>
      <c r="E3" s="50"/>
      <c r="F3" s="47"/>
      <c r="G3" s="47"/>
      <c r="H3" s="47"/>
      <c r="I3" s="47"/>
      <c r="J3" s="47"/>
      <c r="K3" s="47"/>
      <c r="L3" s="47"/>
      <c r="M3" s="47"/>
      <c r="N3" s="47"/>
    </row>
    <row r="4" spans="1:14" ht="16.5" customHeight="1">
      <c r="A4" s="291" t="s">
        <v>50</v>
      </c>
      <c r="B4" s="47">
        <v>5500</v>
      </c>
      <c r="C4" s="47">
        <v>19200</v>
      </c>
      <c r="D4" s="47">
        <v>8500</v>
      </c>
      <c r="E4" s="47">
        <v>8550</v>
      </c>
      <c r="F4" s="47">
        <v>37850</v>
      </c>
      <c r="G4" s="47">
        <v>2176</v>
      </c>
      <c r="H4" s="47">
        <v>2050</v>
      </c>
      <c r="I4" s="47">
        <v>2050</v>
      </c>
      <c r="J4" s="47">
        <v>1050</v>
      </c>
      <c r="K4" s="47">
        <v>1000</v>
      </c>
      <c r="L4" s="47">
        <v>1000</v>
      </c>
      <c r="M4" s="47">
        <v>1000</v>
      </c>
      <c r="N4" s="47">
        <f aca="true" t="shared" si="0" ref="N4:N20">SUM(B4:M4)</f>
        <v>89926</v>
      </c>
    </row>
    <row r="5" spans="1:15" ht="24.75" customHeight="1">
      <c r="A5" s="291" t="s">
        <v>1445</v>
      </c>
      <c r="B5" s="351">
        <v>47135</v>
      </c>
      <c r="C5" s="351">
        <v>47135</v>
      </c>
      <c r="D5" s="351">
        <v>47135</v>
      </c>
      <c r="E5" s="351">
        <v>46135</v>
      </c>
      <c r="F5" s="351">
        <v>43135</v>
      </c>
      <c r="G5" s="351">
        <v>15143</v>
      </c>
      <c r="H5" s="351">
        <v>500</v>
      </c>
      <c r="I5" s="351">
        <v>500</v>
      </c>
      <c r="J5" s="351">
        <v>46135</v>
      </c>
      <c r="K5" s="351">
        <v>46135</v>
      </c>
      <c r="L5" s="351">
        <v>46135</v>
      </c>
      <c r="M5" s="351">
        <v>46135</v>
      </c>
      <c r="N5" s="47">
        <f t="shared" si="0"/>
        <v>431358</v>
      </c>
      <c r="O5" s="32"/>
    </row>
    <row r="6" spans="1:15" ht="20.25" customHeight="1">
      <c r="A6" s="291" t="s">
        <v>957</v>
      </c>
      <c r="B6" s="351">
        <v>9318</v>
      </c>
      <c r="C6" s="351">
        <v>11318</v>
      </c>
      <c r="D6" s="351">
        <v>12318</v>
      </c>
      <c r="E6" s="351">
        <v>11018</v>
      </c>
      <c r="F6" s="351">
        <v>11318</v>
      </c>
      <c r="G6" s="351">
        <v>7450</v>
      </c>
      <c r="H6" s="351">
        <v>2318</v>
      </c>
      <c r="I6" s="351">
        <v>2645</v>
      </c>
      <c r="J6" s="351">
        <v>10657</v>
      </c>
      <c r="K6" s="351">
        <v>12618</v>
      </c>
      <c r="L6" s="351">
        <v>11318</v>
      </c>
      <c r="M6" s="351">
        <v>9518</v>
      </c>
      <c r="N6" s="47">
        <f t="shared" si="0"/>
        <v>111814</v>
      </c>
      <c r="O6" s="32"/>
    </row>
    <row r="7" spans="1:15" ht="18.75" customHeight="1">
      <c r="A7" s="292" t="s">
        <v>958</v>
      </c>
      <c r="B7" s="351">
        <v>24388</v>
      </c>
      <c r="C7" s="351">
        <v>24388</v>
      </c>
      <c r="D7" s="351">
        <v>24388</v>
      </c>
      <c r="E7" s="351">
        <v>24388</v>
      </c>
      <c r="F7" s="351">
        <v>24388</v>
      </c>
      <c r="G7" s="351">
        <v>24388</v>
      </c>
      <c r="H7" s="351">
        <v>24388</v>
      </c>
      <c r="I7" s="351">
        <v>24388</v>
      </c>
      <c r="J7" s="351">
        <v>24388</v>
      </c>
      <c r="K7" s="351">
        <v>24388</v>
      </c>
      <c r="L7" s="351">
        <v>24389</v>
      </c>
      <c r="M7" s="351">
        <v>24389</v>
      </c>
      <c r="N7" s="47">
        <f t="shared" si="0"/>
        <v>292658</v>
      </c>
      <c r="O7" s="32"/>
    </row>
    <row r="8" spans="1:15" ht="21" customHeight="1">
      <c r="A8" s="292" t="s">
        <v>959</v>
      </c>
      <c r="B8" s="351">
        <v>3700</v>
      </c>
      <c r="C8" s="351">
        <v>3700</v>
      </c>
      <c r="D8" s="351">
        <v>3230</v>
      </c>
      <c r="E8" s="351">
        <v>3250</v>
      </c>
      <c r="F8" s="351">
        <v>3247</v>
      </c>
      <c r="G8" s="351">
        <v>3230</v>
      </c>
      <c r="H8" s="351">
        <v>2500</v>
      </c>
      <c r="I8" s="351">
        <v>2500</v>
      </c>
      <c r="J8" s="351">
        <v>2500</v>
      </c>
      <c r="K8" s="351">
        <v>3210</v>
      </c>
      <c r="L8" s="351">
        <v>3250</v>
      </c>
      <c r="M8" s="351">
        <v>3230</v>
      </c>
      <c r="N8" s="47">
        <f t="shared" si="0"/>
        <v>37547</v>
      </c>
      <c r="O8" s="32"/>
    </row>
    <row r="9" spans="1:15" ht="24" customHeight="1">
      <c r="A9" s="292" t="s">
        <v>960</v>
      </c>
      <c r="B9" s="351">
        <v>3700</v>
      </c>
      <c r="C9" s="351">
        <v>3700</v>
      </c>
      <c r="D9" s="351">
        <v>3220</v>
      </c>
      <c r="E9" s="351">
        <v>3250</v>
      </c>
      <c r="F9" s="351">
        <v>3247</v>
      </c>
      <c r="G9" s="351">
        <v>3220</v>
      </c>
      <c r="H9" s="351">
        <v>2500</v>
      </c>
      <c r="I9" s="351">
        <v>1500</v>
      </c>
      <c r="J9" s="351">
        <v>1500</v>
      </c>
      <c r="K9" s="351">
        <v>1940</v>
      </c>
      <c r="L9" s="351">
        <v>1940</v>
      </c>
      <c r="M9" s="351">
        <v>3230</v>
      </c>
      <c r="N9" s="47">
        <f t="shared" si="0"/>
        <v>32947</v>
      </c>
      <c r="O9" s="32"/>
    </row>
    <row r="10" spans="1:15" ht="16.5" customHeight="1">
      <c r="A10" s="292" t="s">
        <v>961</v>
      </c>
      <c r="B10" s="351">
        <v>2800</v>
      </c>
      <c r="C10" s="351">
        <v>2800</v>
      </c>
      <c r="D10" s="351">
        <v>2740</v>
      </c>
      <c r="E10" s="351">
        <v>2560</v>
      </c>
      <c r="F10" s="351">
        <v>2900</v>
      </c>
      <c r="G10" s="351">
        <v>2200</v>
      </c>
      <c r="H10" s="351">
        <v>2018</v>
      </c>
      <c r="I10" s="351">
        <v>1500</v>
      </c>
      <c r="J10" s="351">
        <v>1500</v>
      </c>
      <c r="K10" s="351">
        <v>1940</v>
      </c>
      <c r="L10" s="351">
        <v>1940</v>
      </c>
      <c r="M10" s="351">
        <v>2300</v>
      </c>
      <c r="N10" s="47">
        <f t="shared" si="0"/>
        <v>27198</v>
      </c>
      <c r="O10" s="32"/>
    </row>
    <row r="11" spans="1:15" ht="16.5" customHeight="1">
      <c r="A11" s="292" t="s">
        <v>962</v>
      </c>
      <c r="B11" s="351">
        <v>2656</v>
      </c>
      <c r="C11" s="351">
        <v>2655</v>
      </c>
      <c r="D11" s="351">
        <v>2740</v>
      </c>
      <c r="E11" s="351">
        <v>2560</v>
      </c>
      <c r="F11" s="351">
        <v>2900</v>
      </c>
      <c r="G11" s="351">
        <v>2200</v>
      </c>
      <c r="H11" s="351">
        <v>2018</v>
      </c>
      <c r="I11" s="351">
        <v>1500</v>
      </c>
      <c r="J11" s="351">
        <v>1500</v>
      </c>
      <c r="K11" s="351">
        <v>1940</v>
      </c>
      <c r="L11" s="351">
        <v>1940</v>
      </c>
      <c r="M11" s="351">
        <v>2300</v>
      </c>
      <c r="N11" s="47">
        <f t="shared" si="0"/>
        <v>26909</v>
      </c>
      <c r="O11" s="32"/>
    </row>
    <row r="12" spans="1:15" ht="35.25" customHeight="1">
      <c r="A12" s="292" t="s">
        <v>963</v>
      </c>
      <c r="B12" s="351">
        <v>2700</v>
      </c>
      <c r="C12" s="351">
        <v>6700</v>
      </c>
      <c r="D12" s="351">
        <v>5700</v>
      </c>
      <c r="E12" s="351">
        <v>4700</v>
      </c>
      <c r="F12" s="351">
        <v>6466</v>
      </c>
      <c r="G12" s="351">
        <v>500</v>
      </c>
      <c r="H12" s="351">
        <v>0</v>
      </c>
      <c r="I12" s="351">
        <v>0</v>
      </c>
      <c r="J12" s="352">
        <v>700</v>
      </c>
      <c r="K12" s="351">
        <v>800</v>
      </c>
      <c r="L12" s="351">
        <v>800</v>
      </c>
      <c r="M12" s="351">
        <v>1600</v>
      </c>
      <c r="N12" s="47">
        <f t="shared" si="0"/>
        <v>30666</v>
      </c>
      <c r="O12" s="32"/>
    </row>
    <row r="13" spans="1:15" ht="23.25" customHeight="1">
      <c r="A13" s="293" t="s">
        <v>954</v>
      </c>
      <c r="B13" s="351">
        <v>4250</v>
      </c>
      <c r="C13" s="351">
        <v>4218</v>
      </c>
      <c r="D13" s="351">
        <v>4175</v>
      </c>
      <c r="E13" s="148">
        <v>3750</v>
      </c>
      <c r="F13" s="351">
        <v>3750</v>
      </c>
      <c r="G13" s="351">
        <v>3750</v>
      </c>
      <c r="H13" s="351">
        <v>3750</v>
      </c>
      <c r="I13" s="351">
        <v>3750</v>
      </c>
      <c r="J13" s="351">
        <v>3750</v>
      </c>
      <c r="K13" s="351">
        <v>3750</v>
      </c>
      <c r="L13" s="351">
        <v>3750</v>
      </c>
      <c r="M13" s="351">
        <v>3750</v>
      </c>
      <c r="N13" s="47">
        <f t="shared" si="0"/>
        <v>46393</v>
      </c>
      <c r="O13" s="32"/>
    </row>
    <row r="14" spans="1:15" ht="27.75" customHeight="1">
      <c r="A14" s="292" t="s">
        <v>964</v>
      </c>
      <c r="B14" s="353">
        <v>630</v>
      </c>
      <c r="C14" s="353">
        <v>550</v>
      </c>
      <c r="D14" s="353">
        <v>485</v>
      </c>
      <c r="E14" s="353">
        <v>60</v>
      </c>
      <c r="F14" s="353">
        <v>60</v>
      </c>
      <c r="G14" s="353">
        <v>46</v>
      </c>
      <c r="H14" s="353">
        <v>40</v>
      </c>
      <c r="I14" s="353">
        <v>10</v>
      </c>
      <c r="J14" s="353">
        <v>10</v>
      </c>
      <c r="K14" s="353">
        <v>10</v>
      </c>
      <c r="L14" s="353">
        <v>30</v>
      </c>
      <c r="M14" s="353">
        <v>60</v>
      </c>
      <c r="N14" s="47">
        <f t="shared" si="0"/>
        <v>1991</v>
      </c>
      <c r="O14" s="32"/>
    </row>
    <row r="15" spans="1:15" ht="25.5" customHeight="1">
      <c r="A15" s="354" t="s">
        <v>955</v>
      </c>
      <c r="B15" s="351">
        <v>3350</v>
      </c>
      <c r="C15" s="351">
        <v>4850</v>
      </c>
      <c r="D15" s="351">
        <v>5662</v>
      </c>
      <c r="E15" s="351">
        <v>1350</v>
      </c>
      <c r="F15" s="351">
        <v>1350</v>
      </c>
      <c r="G15" s="351">
        <v>20353</v>
      </c>
      <c r="H15" s="351">
        <v>1350</v>
      </c>
      <c r="I15" s="351">
        <v>1350</v>
      </c>
      <c r="J15" s="351">
        <v>1850</v>
      </c>
      <c r="K15" s="351">
        <v>1350</v>
      </c>
      <c r="L15" s="351">
        <v>1350</v>
      </c>
      <c r="M15" s="351">
        <v>1850</v>
      </c>
      <c r="N15" s="47">
        <f t="shared" si="0"/>
        <v>46015</v>
      </c>
      <c r="O15" s="32"/>
    </row>
    <row r="16" spans="1:15" ht="13.5" customHeight="1">
      <c r="A16" s="354" t="s">
        <v>956</v>
      </c>
      <c r="B16" s="351">
        <v>7825</v>
      </c>
      <c r="C16" s="351">
        <v>11130</v>
      </c>
      <c r="D16" s="351">
        <v>11426</v>
      </c>
      <c r="E16" s="351">
        <v>27550</v>
      </c>
      <c r="F16" s="351">
        <v>16830</v>
      </c>
      <c r="G16" s="351">
        <v>17171</v>
      </c>
      <c r="H16" s="351">
        <v>9880</v>
      </c>
      <c r="I16" s="351">
        <v>8870</v>
      </c>
      <c r="J16" s="351">
        <v>17960</v>
      </c>
      <c r="K16" s="351">
        <v>11530</v>
      </c>
      <c r="L16" s="351">
        <v>19390</v>
      </c>
      <c r="M16" s="351">
        <v>9612</v>
      </c>
      <c r="N16" s="47">
        <f t="shared" si="0"/>
        <v>169174</v>
      </c>
      <c r="O16" s="32"/>
    </row>
    <row r="17" spans="1:15" ht="16.5" customHeight="1">
      <c r="A17" s="354" t="s">
        <v>965</v>
      </c>
      <c r="B17" s="47">
        <v>4000</v>
      </c>
      <c r="C17" s="47">
        <v>4000</v>
      </c>
      <c r="D17" s="47">
        <v>7000</v>
      </c>
      <c r="E17" s="47">
        <v>7000</v>
      </c>
      <c r="F17" s="47">
        <v>5000</v>
      </c>
      <c r="G17" s="47">
        <v>3000</v>
      </c>
      <c r="H17" s="47">
        <v>3000</v>
      </c>
      <c r="I17" s="47">
        <v>3750</v>
      </c>
      <c r="J17" s="47">
        <v>22000</v>
      </c>
      <c r="K17" s="47">
        <v>40000</v>
      </c>
      <c r="L17" s="47">
        <v>50000</v>
      </c>
      <c r="M17" s="47">
        <v>65000</v>
      </c>
      <c r="N17" s="47">
        <f t="shared" si="0"/>
        <v>213750</v>
      </c>
      <c r="O17" s="32"/>
    </row>
    <row r="18" spans="1:15" ht="16.5" customHeight="1">
      <c r="A18" s="354" t="s">
        <v>966</v>
      </c>
      <c r="B18" s="47">
        <v>4000</v>
      </c>
      <c r="C18" s="47">
        <v>500</v>
      </c>
      <c r="D18" s="47">
        <v>500</v>
      </c>
      <c r="E18" s="47">
        <v>500</v>
      </c>
      <c r="F18" s="47">
        <v>500</v>
      </c>
      <c r="G18" s="47">
        <v>0</v>
      </c>
      <c r="H18" s="47">
        <v>0</v>
      </c>
      <c r="I18" s="47">
        <v>0</v>
      </c>
      <c r="J18" s="47">
        <v>1500</v>
      </c>
      <c r="K18" s="47">
        <v>3500</v>
      </c>
      <c r="L18" s="47">
        <v>5000</v>
      </c>
      <c r="M18" s="47">
        <v>10280</v>
      </c>
      <c r="N18" s="47">
        <f t="shared" si="0"/>
        <v>26280</v>
      </c>
      <c r="O18" s="32"/>
    </row>
    <row r="19" spans="1:15" ht="24" customHeight="1">
      <c r="A19" s="354" t="s">
        <v>967</v>
      </c>
      <c r="B19" s="47">
        <v>8855</v>
      </c>
      <c r="C19" s="47">
        <v>9017</v>
      </c>
      <c r="D19" s="47">
        <v>661</v>
      </c>
      <c r="E19" s="47">
        <v>673</v>
      </c>
      <c r="F19" s="47">
        <v>273</v>
      </c>
      <c r="G19" s="47">
        <v>2134</v>
      </c>
      <c r="H19" s="47">
        <v>273</v>
      </c>
      <c r="I19" s="47">
        <v>273</v>
      </c>
      <c r="J19" s="47">
        <v>361</v>
      </c>
      <c r="K19" s="47">
        <v>273</v>
      </c>
      <c r="L19" s="47">
        <v>274</v>
      </c>
      <c r="M19" s="47">
        <v>2140</v>
      </c>
      <c r="N19" s="47">
        <f t="shared" si="0"/>
        <v>25207</v>
      </c>
      <c r="O19" s="32"/>
    </row>
    <row r="20" spans="1:15" ht="16.5" customHeight="1">
      <c r="A20" s="354" t="s">
        <v>421</v>
      </c>
      <c r="B20" s="47">
        <v>14200</v>
      </c>
      <c r="C20" s="47">
        <v>5200</v>
      </c>
      <c r="D20" s="47">
        <v>5100</v>
      </c>
      <c r="E20" s="47">
        <v>6100</v>
      </c>
      <c r="F20" s="47">
        <v>7100</v>
      </c>
      <c r="G20" s="47">
        <v>9000</v>
      </c>
      <c r="H20" s="47">
        <v>7000</v>
      </c>
      <c r="I20" s="47">
        <v>7000</v>
      </c>
      <c r="J20" s="47">
        <v>7000</v>
      </c>
      <c r="K20" s="47">
        <v>8000</v>
      </c>
      <c r="L20" s="47">
        <v>7600</v>
      </c>
      <c r="M20" s="47">
        <v>7600</v>
      </c>
      <c r="N20" s="47">
        <f t="shared" si="0"/>
        <v>90900</v>
      </c>
      <c r="O20" s="32"/>
    </row>
    <row r="21" spans="1:15" ht="20.25" customHeight="1">
      <c r="A21" s="355" t="s">
        <v>748</v>
      </c>
      <c r="B21" s="55">
        <f aca="true" t="shared" si="1" ref="B21:N21">SUM(B4:B20)</f>
        <v>149007</v>
      </c>
      <c r="C21" s="55">
        <f t="shared" si="1"/>
        <v>161061</v>
      </c>
      <c r="D21" s="55">
        <f t="shared" si="1"/>
        <v>144980</v>
      </c>
      <c r="E21" s="55">
        <f t="shared" si="1"/>
        <v>153394</v>
      </c>
      <c r="F21" s="55">
        <f t="shared" si="1"/>
        <v>170314</v>
      </c>
      <c r="G21" s="55">
        <f t="shared" si="1"/>
        <v>115961</v>
      </c>
      <c r="H21" s="55">
        <f t="shared" si="1"/>
        <v>63585</v>
      </c>
      <c r="I21" s="55">
        <f t="shared" si="1"/>
        <v>61586</v>
      </c>
      <c r="J21" s="55">
        <f t="shared" si="1"/>
        <v>144361</v>
      </c>
      <c r="K21" s="55">
        <f t="shared" si="1"/>
        <v>162384</v>
      </c>
      <c r="L21" s="55">
        <f t="shared" si="1"/>
        <v>180106</v>
      </c>
      <c r="M21" s="55">
        <f t="shared" si="1"/>
        <v>193994</v>
      </c>
      <c r="N21" s="55">
        <f t="shared" si="1"/>
        <v>1700733</v>
      </c>
      <c r="O21" s="356"/>
    </row>
    <row r="22" spans="1:15" ht="24" customHeight="1">
      <c r="A22" s="357" t="s">
        <v>1739</v>
      </c>
      <c r="B22" s="55">
        <f aca="true" t="shared" si="2" ref="B22:N22">SUM(B2+B21)</f>
        <v>887685</v>
      </c>
      <c r="C22" s="55">
        <f t="shared" si="2"/>
        <v>1131396</v>
      </c>
      <c r="D22" s="55">
        <f t="shared" si="2"/>
        <v>2071816</v>
      </c>
      <c r="E22" s="55">
        <f t="shared" si="2"/>
        <v>1255531</v>
      </c>
      <c r="F22" s="55">
        <f t="shared" si="2"/>
        <v>1566606</v>
      </c>
      <c r="G22" s="55">
        <f t="shared" si="2"/>
        <v>2169213</v>
      </c>
      <c r="H22" s="55">
        <f t="shared" si="2"/>
        <v>1513686</v>
      </c>
      <c r="I22" s="55">
        <f t="shared" si="2"/>
        <v>1121560</v>
      </c>
      <c r="J22" s="55">
        <f t="shared" si="2"/>
        <v>2465236</v>
      </c>
      <c r="K22" s="55">
        <f t="shared" si="2"/>
        <v>1439469</v>
      </c>
      <c r="L22" s="55">
        <f t="shared" si="2"/>
        <v>1322290</v>
      </c>
      <c r="M22" s="55">
        <f t="shared" si="2"/>
        <v>1014530</v>
      </c>
      <c r="N22" s="55">
        <f t="shared" si="2"/>
        <v>17959018</v>
      </c>
      <c r="O22" s="356"/>
    </row>
    <row r="23" spans="2:7" ht="13.5" customHeight="1">
      <c r="B23" s="32"/>
      <c r="C23" s="32"/>
      <c r="D23" s="32"/>
      <c r="E23" s="32"/>
      <c r="F23" s="32"/>
      <c r="G23" s="32"/>
    </row>
    <row r="24" spans="2:7" ht="13.5" customHeight="1">
      <c r="B24" s="32"/>
      <c r="C24" s="32"/>
      <c r="D24" s="32"/>
      <c r="E24" s="32"/>
      <c r="F24" s="32"/>
      <c r="G24" s="32"/>
    </row>
    <row r="25" spans="2:7" ht="13.5" customHeight="1">
      <c r="B25" s="32"/>
      <c r="C25" s="32"/>
      <c r="D25" s="32"/>
      <c r="E25" s="32"/>
      <c r="F25" s="32"/>
      <c r="G25" s="32"/>
    </row>
    <row r="26" spans="2:7" ht="13.5" customHeight="1">
      <c r="B26" s="32"/>
      <c r="C26" s="32"/>
      <c r="D26" s="32"/>
      <c r="E26" s="32"/>
      <c r="F26" s="32"/>
      <c r="G26" s="32"/>
    </row>
    <row r="27" ht="13.5" customHeight="1"/>
    <row r="28" ht="13.5" customHeight="1"/>
    <row r="29" ht="13.5" customHeight="1"/>
  </sheetData>
  <sheetProtection/>
  <printOptions horizontalCentered="1"/>
  <pageMargins left="0.2755905511811024" right="0.35433070866141736" top="1.8110236220472442" bottom="0.984251968503937" header="0.8661417322834646" footer="0.5118110236220472"/>
  <pageSetup horizontalDpi="600" verticalDpi="600" orientation="landscape" paperSize="9" scale="80" r:id="rId1"/>
  <headerFooter alignWithMargins="0">
    <oddHeader>&amp;C&amp;"Times New Roman,Félkövér dőlt"ZALAEGERSZEG MEGYEI JOGÚ VÁROS
2014. ÉVI BEVÉTELI ELŐIRÁNYZATAI NAK FELHASZNÁLÁSI ÜTEMTERVE&amp;R&amp;"Times New Roman,Félkövér dőlt"15.a melléklet
Adatok: ezer Ft-ban</oddHeader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B3" sqref="B3:F3"/>
    </sheetView>
  </sheetViews>
  <sheetFormatPr defaultColWidth="9.00390625" defaultRowHeight="12.75"/>
  <cols>
    <col min="1" max="1" width="30.625" style="29" customWidth="1"/>
    <col min="2" max="2" width="10.50390625" style="29" customWidth="1"/>
    <col min="3" max="6" width="10.375" style="29" customWidth="1"/>
    <col min="7" max="8" width="10.50390625" style="29" customWidth="1"/>
    <col min="9" max="9" width="10.875" style="29" customWidth="1"/>
    <col min="10" max="10" width="11.125" style="29" customWidth="1"/>
    <col min="11" max="11" width="10.625" style="29" customWidth="1"/>
    <col min="12" max="12" width="10.50390625" style="29" customWidth="1"/>
    <col min="13" max="13" width="11.625" style="29" customWidth="1"/>
    <col min="14" max="14" width="12.875" style="29" customWidth="1"/>
    <col min="15" max="16384" width="9.375" style="29" customWidth="1"/>
  </cols>
  <sheetData>
    <row r="1" spans="1:14" s="30" customFormat="1" ht="42" customHeight="1">
      <c r="A1" s="48" t="s">
        <v>46</v>
      </c>
      <c r="B1" s="206" t="s">
        <v>1725</v>
      </c>
      <c r="C1" s="206" t="s">
        <v>1726</v>
      </c>
      <c r="D1" s="206" t="s">
        <v>1727</v>
      </c>
      <c r="E1" s="206" t="s">
        <v>1728</v>
      </c>
      <c r="F1" s="206" t="s">
        <v>1729</v>
      </c>
      <c r="G1" s="206" t="s">
        <v>1730</v>
      </c>
      <c r="H1" s="206" t="s">
        <v>1731</v>
      </c>
      <c r="I1" s="206" t="s">
        <v>1732</v>
      </c>
      <c r="J1" s="206" t="s">
        <v>1733</v>
      </c>
      <c r="K1" s="206" t="s">
        <v>1734</v>
      </c>
      <c r="L1" s="206" t="s">
        <v>1735</v>
      </c>
      <c r="M1" s="206" t="s">
        <v>1736</v>
      </c>
      <c r="N1" s="48" t="s">
        <v>49</v>
      </c>
    </row>
    <row r="2" spans="1:14" ht="15" customHeight="1">
      <c r="A2" s="46" t="s">
        <v>1740</v>
      </c>
      <c r="B2" s="47">
        <v>177300</v>
      </c>
      <c r="C2" s="47">
        <v>288120</v>
      </c>
      <c r="D2" s="47">
        <v>338120</v>
      </c>
      <c r="E2" s="47">
        <v>288120</v>
      </c>
      <c r="F2" s="47">
        <v>288120</v>
      </c>
      <c r="G2" s="47">
        <v>338120</v>
      </c>
      <c r="H2" s="47">
        <v>288120</v>
      </c>
      <c r="I2" s="47">
        <v>357938</v>
      </c>
      <c r="J2" s="47">
        <v>338120</v>
      </c>
      <c r="K2" s="47">
        <v>338120</v>
      </c>
      <c r="L2" s="47">
        <v>348143</v>
      </c>
      <c r="M2" s="47">
        <v>288121</v>
      </c>
      <c r="N2" s="47">
        <f>SUM(B2:M2)</f>
        <v>3676462</v>
      </c>
    </row>
    <row r="3" spans="1:14" ht="15" customHeight="1">
      <c r="A3" s="46" t="s">
        <v>1741</v>
      </c>
      <c r="B3" s="365">
        <v>168972</v>
      </c>
      <c r="C3" s="365">
        <v>300944</v>
      </c>
      <c r="D3" s="365">
        <v>1193299</v>
      </c>
      <c r="E3" s="365">
        <v>393752</v>
      </c>
      <c r="F3" s="365">
        <v>716791</v>
      </c>
      <c r="G3" s="47">
        <v>1320717</v>
      </c>
      <c r="H3" s="47">
        <v>769990</v>
      </c>
      <c r="I3" s="47">
        <v>338850</v>
      </c>
      <c r="J3" s="47">
        <v>1662277</v>
      </c>
      <c r="K3" s="47">
        <v>554973</v>
      </c>
      <c r="L3" s="47">
        <v>427628</v>
      </c>
      <c r="M3" s="47">
        <v>168155</v>
      </c>
      <c r="N3" s="47">
        <f>SUM(B3:M3)</f>
        <v>8016348</v>
      </c>
    </row>
    <row r="4" spans="1:14" ht="28.5" customHeight="1">
      <c r="A4" s="147" t="s">
        <v>1742</v>
      </c>
      <c r="B4" s="358">
        <f aca="true" t="shared" si="0" ref="B4:N4">SUM(B2:B3)</f>
        <v>346272</v>
      </c>
      <c r="C4" s="358">
        <f t="shared" si="0"/>
        <v>589064</v>
      </c>
      <c r="D4" s="358">
        <f t="shared" si="0"/>
        <v>1531419</v>
      </c>
      <c r="E4" s="358">
        <f t="shared" si="0"/>
        <v>681872</v>
      </c>
      <c r="F4" s="358">
        <f>SUM(F2:F3)</f>
        <v>1004911</v>
      </c>
      <c r="G4" s="358">
        <f t="shared" si="0"/>
        <v>1658837</v>
      </c>
      <c r="H4" s="358">
        <f t="shared" si="0"/>
        <v>1058110</v>
      </c>
      <c r="I4" s="358">
        <f t="shared" si="0"/>
        <v>696788</v>
      </c>
      <c r="J4" s="358">
        <f t="shared" si="0"/>
        <v>2000397</v>
      </c>
      <c r="K4" s="358">
        <f t="shared" si="0"/>
        <v>893093</v>
      </c>
      <c r="L4" s="358">
        <f t="shared" si="0"/>
        <v>775771</v>
      </c>
      <c r="M4" s="358">
        <f t="shared" si="0"/>
        <v>456276</v>
      </c>
      <c r="N4" s="358">
        <f t="shared" si="0"/>
        <v>11692810</v>
      </c>
    </row>
    <row r="5" spans="1:14" ht="17.25" customHeight="1">
      <c r="A5" s="350" t="s">
        <v>1738</v>
      </c>
      <c r="B5" s="359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1"/>
    </row>
    <row r="6" spans="1:14" ht="15" customHeight="1">
      <c r="A6" s="291" t="s">
        <v>50</v>
      </c>
      <c r="B6" s="47">
        <v>95500</v>
      </c>
      <c r="C6" s="47">
        <v>110200</v>
      </c>
      <c r="D6" s="47">
        <v>99000</v>
      </c>
      <c r="E6" s="47">
        <v>99500</v>
      </c>
      <c r="F6" s="47">
        <v>125750</v>
      </c>
      <c r="G6" s="47">
        <v>96076</v>
      </c>
      <c r="H6" s="47">
        <v>96500</v>
      </c>
      <c r="I6" s="47">
        <v>97000</v>
      </c>
      <c r="J6" s="47">
        <v>99500</v>
      </c>
      <c r="K6" s="47">
        <v>104000</v>
      </c>
      <c r="L6" s="47">
        <v>105000</v>
      </c>
      <c r="M6" s="47">
        <v>109049</v>
      </c>
      <c r="N6" s="351">
        <f aca="true" t="shared" si="1" ref="N6:N22">SUM(B6:M6)</f>
        <v>1237075</v>
      </c>
    </row>
    <row r="7" spans="1:14" ht="14.25" customHeight="1">
      <c r="A7" s="291" t="s">
        <v>951</v>
      </c>
      <c r="B7" s="351">
        <v>130266</v>
      </c>
      <c r="C7" s="351">
        <v>132094</v>
      </c>
      <c r="D7" s="351">
        <v>128771</v>
      </c>
      <c r="E7" s="351">
        <v>126953</v>
      </c>
      <c r="F7" s="351">
        <v>124560</v>
      </c>
      <c r="G7" s="351">
        <v>116492</v>
      </c>
      <c r="H7" s="351">
        <v>87950</v>
      </c>
      <c r="I7" s="351">
        <v>64863</v>
      </c>
      <c r="J7" s="351">
        <v>66836</v>
      </c>
      <c r="K7" s="351">
        <v>131466</v>
      </c>
      <c r="L7" s="351">
        <v>125697</v>
      </c>
      <c r="M7" s="351">
        <v>125819</v>
      </c>
      <c r="N7" s="351">
        <f t="shared" si="1"/>
        <v>1361767</v>
      </c>
    </row>
    <row r="8" spans="1:14" ht="15" customHeight="1">
      <c r="A8" s="291" t="s">
        <v>957</v>
      </c>
      <c r="B8" s="351">
        <v>31235</v>
      </c>
      <c r="C8" s="351">
        <v>31235</v>
      </c>
      <c r="D8" s="351">
        <v>31233</v>
      </c>
      <c r="E8" s="351">
        <v>31233</v>
      </c>
      <c r="F8" s="351">
        <v>31233</v>
      </c>
      <c r="G8" s="351">
        <v>29670</v>
      </c>
      <c r="H8" s="351">
        <v>28670</v>
      </c>
      <c r="I8" s="351">
        <v>28670</v>
      </c>
      <c r="J8" s="351">
        <v>29733</v>
      </c>
      <c r="K8" s="351">
        <v>30033</v>
      </c>
      <c r="L8" s="351">
        <v>30233</v>
      </c>
      <c r="M8" s="351">
        <v>29626</v>
      </c>
      <c r="N8" s="351">
        <f t="shared" si="1"/>
        <v>362804</v>
      </c>
    </row>
    <row r="9" spans="1:14" ht="15.75" customHeight="1">
      <c r="A9" s="292" t="s">
        <v>1743</v>
      </c>
      <c r="B9" s="351">
        <v>26353</v>
      </c>
      <c r="C9" s="351">
        <v>26351</v>
      </c>
      <c r="D9" s="351">
        <v>26351</v>
      </c>
      <c r="E9" s="351">
        <v>26351</v>
      </c>
      <c r="F9" s="351">
        <v>26351</v>
      </c>
      <c r="G9" s="351">
        <v>26351</v>
      </c>
      <c r="H9" s="351">
        <v>26351</v>
      </c>
      <c r="I9" s="351">
        <v>26351</v>
      </c>
      <c r="J9" s="351">
        <v>26351</v>
      </c>
      <c r="K9" s="351">
        <v>26351</v>
      </c>
      <c r="L9" s="351">
        <v>26355</v>
      </c>
      <c r="M9" s="351">
        <v>26351</v>
      </c>
      <c r="N9" s="351">
        <f t="shared" si="1"/>
        <v>316218</v>
      </c>
    </row>
    <row r="10" spans="1:14" ht="16.5" customHeight="1">
      <c r="A10" s="292" t="s">
        <v>1744</v>
      </c>
      <c r="B10" s="351">
        <v>32430</v>
      </c>
      <c r="C10" s="351">
        <v>28000</v>
      </c>
      <c r="D10" s="351">
        <v>28000</v>
      </c>
      <c r="E10" s="351">
        <v>27000</v>
      </c>
      <c r="F10" s="351">
        <v>22000</v>
      </c>
      <c r="G10" s="351">
        <v>22000</v>
      </c>
      <c r="H10" s="351">
        <v>21279</v>
      </c>
      <c r="I10" s="351">
        <v>21824</v>
      </c>
      <c r="J10" s="351">
        <v>25853</v>
      </c>
      <c r="K10" s="351">
        <v>25853</v>
      </c>
      <c r="L10" s="351">
        <v>28000</v>
      </c>
      <c r="M10" s="351">
        <v>28000</v>
      </c>
      <c r="N10" s="351">
        <f t="shared" si="1"/>
        <v>310239</v>
      </c>
    </row>
    <row r="11" spans="1:14" ht="13.5" customHeight="1">
      <c r="A11" s="292" t="s">
        <v>1745</v>
      </c>
      <c r="B11" s="351">
        <v>28930</v>
      </c>
      <c r="C11" s="351">
        <v>26500</v>
      </c>
      <c r="D11" s="351">
        <v>26500</v>
      </c>
      <c r="E11" s="351">
        <v>25500</v>
      </c>
      <c r="F11" s="351">
        <v>24500</v>
      </c>
      <c r="G11" s="351">
        <v>20500</v>
      </c>
      <c r="H11" s="351">
        <v>18000</v>
      </c>
      <c r="I11" s="351">
        <v>18000</v>
      </c>
      <c r="J11" s="351">
        <v>24351</v>
      </c>
      <c r="K11" s="351">
        <v>24353</v>
      </c>
      <c r="L11" s="351">
        <v>25500</v>
      </c>
      <c r="M11" s="351">
        <v>25500</v>
      </c>
      <c r="N11" s="351">
        <f t="shared" si="1"/>
        <v>288134</v>
      </c>
    </row>
    <row r="12" spans="1:14" ht="15" customHeight="1">
      <c r="A12" s="292" t="s">
        <v>961</v>
      </c>
      <c r="B12" s="351">
        <v>28600</v>
      </c>
      <c r="C12" s="351">
        <v>26200</v>
      </c>
      <c r="D12" s="351">
        <v>26200</v>
      </c>
      <c r="E12" s="351">
        <v>25500</v>
      </c>
      <c r="F12" s="351">
        <v>24150</v>
      </c>
      <c r="G12" s="351">
        <v>20200</v>
      </c>
      <c r="H12" s="351">
        <v>18000</v>
      </c>
      <c r="I12" s="351">
        <v>18000</v>
      </c>
      <c r="J12" s="351">
        <v>24000</v>
      </c>
      <c r="K12" s="351">
        <v>22136</v>
      </c>
      <c r="L12" s="351">
        <v>25500</v>
      </c>
      <c r="M12" s="351">
        <v>25500</v>
      </c>
      <c r="N12" s="351">
        <f t="shared" si="1"/>
        <v>283986</v>
      </c>
    </row>
    <row r="13" spans="1:14" ht="15" customHeight="1">
      <c r="A13" s="292" t="s">
        <v>962</v>
      </c>
      <c r="B13" s="351">
        <v>29000</v>
      </c>
      <c r="C13" s="351">
        <v>26500</v>
      </c>
      <c r="D13" s="351">
        <v>26500</v>
      </c>
      <c r="E13" s="351">
        <v>25800</v>
      </c>
      <c r="F13" s="351">
        <v>24150</v>
      </c>
      <c r="G13" s="351">
        <v>20200</v>
      </c>
      <c r="H13" s="351">
        <v>19000</v>
      </c>
      <c r="I13" s="351">
        <v>19000</v>
      </c>
      <c r="J13" s="351">
        <v>24000</v>
      </c>
      <c r="K13" s="351">
        <v>22136</v>
      </c>
      <c r="L13" s="351">
        <v>25738</v>
      </c>
      <c r="M13" s="351">
        <v>25738</v>
      </c>
      <c r="N13" s="351">
        <f t="shared" si="1"/>
        <v>287762</v>
      </c>
    </row>
    <row r="14" spans="1:14" ht="14.25" customHeight="1">
      <c r="A14" s="292" t="s">
        <v>1746</v>
      </c>
      <c r="B14" s="351">
        <v>9300</v>
      </c>
      <c r="C14" s="351">
        <v>9300</v>
      </c>
      <c r="D14" s="351">
        <v>9300</v>
      </c>
      <c r="E14" s="351">
        <v>9300</v>
      </c>
      <c r="F14" s="351">
        <v>9300</v>
      </c>
      <c r="G14" s="351">
        <v>9300</v>
      </c>
      <c r="H14" s="351">
        <v>9300</v>
      </c>
      <c r="I14" s="351">
        <v>9300</v>
      </c>
      <c r="J14" s="351">
        <v>9300</v>
      </c>
      <c r="K14" s="351">
        <v>9300</v>
      </c>
      <c r="L14" s="351">
        <v>9300</v>
      </c>
      <c r="M14" s="351">
        <v>9725</v>
      </c>
      <c r="N14" s="351">
        <f t="shared" si="1"/>
        <v>112025</v>
      </c>
    </row>
    <row r="15" spans="1:14" ht="11.25" customHeight="1">
      <c r="A15" s="293" t="s">
        <v>1747</v>
      </c>
      <c r="B15" s="351">
        <v>15607</v>
      </c>
      <c r="C15" s="351">
        <v>16503</v>
      </c>
      <c r="D15" s="351">
        <v>15603</v>
      </c>
      <c r="E15" s="351">
        <v>15603</v>
      </c>
      <c r="F15" s="351">
        <v>15603</v>
      </c>
      <c r="G15" s="351">
        <v>15603</v>
      </c>
      <c r="H15" s="351">
        <v>15603</v>
      </c>
      <c r="I15" s="351">
        <v>15603</v>
      </c>
      <c r="J15" s="351">
        <v>15603</v>
      </c>
      <c r="K15" s="351">
        <v>15603</v>
      </c>
      <c r="L15" s="351">
        <v>15603</v>
      </c>
      <c r="M15" s="351">
        <v>15604</v>
      </c>
      <c r="N15" s="351">
        <f t="shared" si="1"/>
        <v>188141</v>
      </c>
    </row>
    <row r="16" spans="1:14" ht="23.25" customHeight="1">
      <c r="A16" s="292" t="s">
        <v>964</v>
      </c>
      <c r="B16" s="351">
        <v>1281</v>
      </c>
      <c r="C16" s="351">
        <v>1306</v>
      </c>
      <c r="D16" s="351">
        <v>1431</v>
      </c>
      <c r="E16" s="351">
        <v>1431</v>
      </c>
      <c r="F16" s="351">
        <v>1281</v>
      </c>
      <c r="G16" s="351">
        <v>1231</v>
      </c>
      <c r="H16" s="351">
        <v>1231</v>
      </c>
      <c r="I16" s="351">
        <v>1231</v>
      </c>
      <c r="J16" s="351">
        <v>1281</v>
      </c>
      <c r="K16" s="351">
        <v>1281</v>
      </c>
      <c r="L16" s="351">
        <v>1281</v>
      </c>
      <c r="M16" s="351">
        <v>1289</v>
      </c>
      <c r="N16" s="351">
        <f t="shared" si="1"/>
        <v>15555</v>
      </c>
    </row>
    <row r="17" spans="1:14" ht="23.25" customHeight="1">
      <c r="A17" s="354" t="s">
        <v>955</v>
      </c>
      <c r="B17" s="351">
        <v>14435</v>
      </c>
      <c r="C17" s="351">
        <v>20735</v>
      </c>
      <c r="D17" s="351">
        <v>26200</v>
      </c>
      <c r="E17" s="351">
        <v>35700</v>
      </c>
      <c r="F17" s="351">
        <v>34350</v>
      </c>
      <c r="G17" s="351">
        <v>51000</v>
      </c>
      <c r="H17" s="351">
        <v>38479</v>
      </c>
      <c r="I17" s="351">
        <v>29320</v>
      </c>
      <c r="J17" s="351">
        <v>27167</v>
      </c>
      <c r="K17" s="351">
        <v>27748</v>
      </c>
      <c r="L17" s="351">
        <v>30535</v>
      </c>
      <c r="M17" s="351">
        <v>18035</v>
      </c>
      <c r="N17" s="351">
        <f t="shared" si="1"/>
        <v>353704</v>
      </c>
    </row>
    <row r="18" spans="1:14" ht="12.75" customHeight="1">
      <c r="A18" s="354" t="s">
        <v>956</v>
      </c>
      <c r="B18" s="351">
        <v>17421</v>
      </c>
      <c r="C18" s="351">
        <v>16150</v>
      </c>
      <c r="D18" s="351">
        <v>20990</v>
      </c>
      <c r="E18" s="351">
        <v>48470</v>
      </c>
      <c r="F18" s="351">
        <v>24149</v>
      </c>
      <c r="G18" s="351">
        <v>20535</v>
      </c>
      <c r="H18" s="351">
        <v>17994</v>
      </c>
      <c r="I18" s="351">
        <v>21915</v>
      </c>
      <c r="J18" s="351">
        <v>18145</v>
      </c>
      <c r="K18" s="351">
        <v>23045</v>
      </c>
      <c r="L18" s="351">
        <v>21459</v>
      </c>
      <c r="M18" s="351">
        <v>21419</v>
      </c>
      <c r="N18" s="351">
        <f t="shared" si="1"/>
        <v>271692</v>
      </c>
    </row>
    <row r="19" spans="1:14" ht="12.75" customHeight="1">
      <c r="A19" s="354" t="s">
        <v>965</v>
      </c>
      <c r="B19" s="351">
        <v>49000</v>
      </c>
      <c r="C19" s="351">
        <v>49000</v>
      </c>
      <c r="D19" s="351">
        <v>52000</v>
      </c>
      <c r="E19" s="351">
        <v>52000</v>
      </c>
      <c r="F19" s="351">
        <v>50000</v>
      </c>
      <c r="G19" s="351">
        <v>36000</v>
      </c>
      <c r="H19" s="351">
        <v>36000</v>
      </c>
      <c r="I19" s="351">
        <v>32476</v>
      </c>
      <c r="J19" s="351">
        <v>47000</v>
      </c>
      <c r="K19" s="351">
        <v>55000</v>
      </c>
      <c r="L19" s="351">
        <v>50000</v>
      </c>
      <c r="M19" s="351">
        <v>65000</v>
      </c>
      <c r="N19" s="351">
        <f t="shared" si="1"/>
        <v>573476</v>
      </c>
    </row>
    <row r="20" spans="1:14" ht="15" customHeight="1">
      <c r="A20" s="354" t="s">
        <v>966</v>
      </c>
      <c r="B20" s="351">
        <v>9000</v>
      </c>
      <c r="C20" s="351">
        <v>8000</v>
      </c>
      <c r="D20" s="351">
        <v>8000</v>
      </c>
      <c r="E20" s="351">
        <v>8000</v>
      </c>
      <c r="F20" s="351">
        <v>8000</v>
      </c>
      <c r="G20" s="351">
        <v>7000</v>
      </c>
      <c r="H20" s="351">
        <v>5000</v>
      </c>
      <c r="I20" s="351">
        <v>5000</v>
      </c>
      <c r="J20" s="351">
        <v>9500</v>
      </c>
      <c r="K20" s="351">
        <v>10580</v>
      </c>
      <c r="L20" s="351">
        <v>9500</v>
      </c>
      <c r="M20" s="351">
        <v>14780</v>
      </c>
      <c r="N20" s="351">
        <f t="shared" si="1"/>
        <v>102360</v>
      </c>
    </row>
    <row r="21" spans="1:14" ht="21" customHeight="1">
      <c r="A21" s="354" t="s">
        <v>967</v>
      </c>
      <c r="B21" s="351">
        <v>8855</v>
      </c>
      <c r="C21" s="351">
        <v>9058</v>
      </c>
      <c r="D21" s="351">
        <v>9218</v>
      </c>
      <c r="E21" s="351">
        <v>9218</v>
      </c>
      <c r="F21" s="351">
        <v>9218</v>
      </c>
      <c r="G21" s="351">
        <v>9218</v>
      </c>
      <c r="H21" s="351">
        <v>9219</v>
      </c>
      <c r="I21" s="351">
        <v>9219</v>
      </c>
      <c r="J21" s="351">
        <v>9219</v>
      </c>
      <c r="K21" s="351">
        <v>9491</v>
      </c>
      <c r="L21" s="351">
        <v>9218</v>
      </c>
      <c r="M21" s="351">
        <v>9219</v>
      </c>
      <c r="N21" s="351">
        <f t="shared" si="1"/>
        <v>110370</v>
      </c>
    </row>
    <row r="22" spans="1:14" ht="14.25" customHeight="1">
      <c r="A22" s="354" t="s">
        <v>421</v>
      </c>
      <c r="B22" s="351">
        <v>14200</v>
      </c>
      <c r="C22" s="351">
        <v>5200</v>
      </c>
      <c r="D22" s="351">
        <v>5100</v>
      </c>
      <c r="E22" s="351">
        <v>6100</v>
      </c>
      <c r="F22" s="351">
        <v>7100</v>
      </c>
      <c r="G22" s="351">
        <v>9000</v>
      </c>
      <c r="H22" s="351">
        <v>7000</v>
      </c>
      <c r="I22" s="351">
        <v>7000</v>
      </c>
      <c r="J22" s="351">
        <v>7000</v>
      </c>
      <c r="K22" s="351">
        <v>8000</v>
      </c>
      <c r="L22" s="351">
        <v>7600</v>
      </c>
      <c r="M22" s="351">
        <v>7600</v>
      </c>
      <c r="N22" s="351">
        <f t="shared" si="1"/>
        <v>90900</v>
      </c>
    </row>
    <row r="23" spans="1:15" ht="15" customHeight="1">
      <c r="A23" s="355" t="s">
        <v>748</v>
      </c>
      <c r="B23" s="207">
        <f aca="true" t="shared" si="2" ref="B23:N23">SUM(B6:B22)</f>
        <v>541413</v>
      </c>
      <c r="C23" s="207">
        <f t="shared" si="2"/>
        <v>542332</v>
      </c>
      <c r="D23" s="207">
        <f t="shared" si="2"/>
        <v>540397</v>
      </c>
      <c r="E23" s="207">
        <f t="shared" si="2"/>
        <v>573659</v>
      </c>
      <c r="F23" s="207">
        <f t="shared" si="2"/>
        <v>561695</v>
      </c>
      <c r="G23" s="207">
        <f t="shared" si="2"/>
        <v>510376</v>
      </c>
      <c r="H23" s="207">
        <f t="shared" si="2"/>
        <v>455576</v>
      </c>
      <c r="I23" s="207">
        <f t="shared" si="2"/>
        <v>424772</v>
      </c>
      <c r="J23" s="207">
        <f t="shared" si="2"/>
        <v>464839</v>
      </c>
      <c r="K23" s="207">
        <f t="shared" si="2"/>
        <v>546376</v>
      </c>
      <c r="L23" s="207">
        <f t="shared" si="2"/>
        <v>546519</v>
      </c>
      <c r="M23" s="207">
        <f t="shared" si="2"/>
        <v>558254</v>
      </c>
      <c r="N23" s="207">
        <f t="shared" si="2"/>
        <v>6266208</v>
      </c>
      <c r="O23" s="356"/>
    </row>
    <row r="24" spans="1:14" ht="27.75" customHeight="1">
      <c r="A24" s="181" t="s">
        <v>1748</v>
      </c>
      <c r="B24" s="207">
        <f aca="true" t="shared" si="3" ref="B24:N24">SUM(B4+B23)</f>
        <v>887685</v>
      </c>
      <c r="C24" s="207">
        <f t="shared" si="3"/>
        <v>1131396</v>
      </c>
      <c r="D24" s="207">
        <f t="shared" si="3"/>
        <v>2071816</v>
      </c>
      <c r="E24" s="207">
        <f t="shared" si="3"/>
        <v>1255531</v>
      </c>
      <c r="F24" s="207">
        <f t="shared" si="3"/>
        <v>1566606</v>
      </c>
      <c r="G24" s="207">
        <f t="shared" si="3"/>
        <v>2169213</v>
      </c>
      <c r="H24" s="207">
        <f t="shared" si="3"/>
        <v>1513686</v>
      </c>
      <c r="I24" s="207">
        <f t="shared" si="3"/>
        <v>1121560</v>
      </c>
      <c r="J24" s="207">
        <f t="shared" si="3"/>
        <v>2465236</v>
      </c>
      <c r="K24" s="207">
        <f t="shared" si="3"/>
        <v>1439469</v>
      </c>
      <c r="L24" s="207">
        <f t="shared" si="3"/>
        <v>1322290</v>
      </c>
      <c r="M24" s="207">
        <f t="shared" si="3"/>
        <v>1014530</v>
      </c>
      <c r="N24" s="207">
        <f t="shared" si="3"/>
        <v>17959018</v>
      </c>
    </row>
    <row r="25" spans="1:7" ht="13.5" customHeight="1">
      <c r="A25" s="362"/>
      <c r="B25" s="32"/>
      <c r="C25" s="32"/>
      <c r="D25" s="32"/>
      <c r="E25" s="32"/>
      <c r="F25" s="32"/>
      <c r="G25" s="32"/>
    </row>
    <row r="26" spans="2:7" ht="13.5" customHeight="1">
      <c r="B26" s="32"/>
      <c r="C26" s="32"/>
      <c r="D26" s="32"/>
      <c r="E26" s="32"/>
      <c r="F26" s="32"/>
      <c r="G26" s="32"/>
    </row>
    <row r="27" ht="13.5" customHeight="1"/>
    <row r="28" ht="13.5" customHeight="1"/>
    <row r="29" ht="13.5" customHeight="1"/>
  </sheetData>
  <sheetProtection/>
  <printOptions horizontalCentered="1"/>
  <pageMargins left="0.2755905511811024" right="0.35433070866141736" top="1.8110236220472442" bottom="0.984251968503937" header="0.8661417322834646" footer="0.5118110236220472"/>
  <pageSetup horizontalDpi="600" verticalDpi="600" orientation="landscape" paperSize="9" scale="90" r:id="rId1"/>
  <headerFooter alignWithMargins="0">
    <oddHeader>&amp;C&amp;"Times New Roman,Félkövér dőlt"ZALAEGERSZEG MEGYEI JOGÚ VÁROS
2014. ÉVI KIADÁSI ELŐIRÁNYZATAINAK FELHASZNÁLÁSI ÜTEMTERVE&amp;R&amp;"Times New Roman,Félkövér dőlt"15.b melléklet
Adatok: ezer Ft-ban</oddHeader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5:F23"/>
  <sheetViews>
    <sheetView zoomScalePageLayoutView="0" workbookViewId="0" topLeftCell="A1">
      <selection activeCell="F12" sqref="F12"/>
    </sheetView>
  </sheetViews>
  <sheetFormatPr defaultColWidth="10.625" defaultRowHeight="12.75"/>
  <cols>
    <col min="1" max="1" width="47.125" style="342" customWidth="1"/>
    <col min="2" max="2" width="14.875" style="342" customWidth="1"/>
    <col min="3" max="3" width="14.625" style="342" customWidth="1"/>
    <col min="4" max="5" width="16.50390625" style="342" customWidth="1"/>
    <col min="6" max="6" width="34.375" style="342" customWidth="1"/>
    <col min="7" max="16384" width="10.625" style="342" customWidth="1"/>
  </cols>
  <sheetData>
    <row r="5" spans="1:6" ht="34.5" customHeight="1">
      <c r="A5" s="340"/>
      <c r="B5" s="435" t="s">
        <v>1172</v>
      </c>
      <c r="C5" s="435" t="s">
        <v>290</v>
      </c>
      <c r="D5" s="435" t="s">
        <v>291</v>
      </c>
      <c r="E5" s="435" t="s">
        <v>303</v>
      </c>
      <c r="F5" s="341" t="s">
        <v>292</v>
      </c>
    </row>
    <row r="6" spans="1:6" ht="12.75">
      <c r="A6" s="343" t="s">
        <v>293</v>
      </c>
      <c r="B6" s="436">
        <v>58970</v>
      </c>
      <c r="C6" s="344">
        <v>34810</v>
      </c>
      <c r="D6" s="344">
        <v>63758</v>
      </c>
      <c r="E6" s="344">
        <v>62445</v>
      </c>
      <c r="F6" s="340" t="s">
        <v>305</v>
      </c>
    </row>
    <row r="7" spans="1:6" ht="12.75">
      <c r="A7" s="340"/>
      <c r="B7" s="345"/>
      <c r="C7" s="345"/>
      <c r="D7" s="345"/>
      <c r="E7" s="345"/>
      <c r="F7" s="340"/>
    </row>
    <row r="8" spans="1:6" ht="12.75">
      <c r="A8" s="343" t="s">
        <v>294</v>
      </c>
      <c r="B8" s="344"/>
      <c r="C8" s="344">
        <v>561061</v>
      </c>
      <c r="D8" s="344"/>
      <c r="E8" s="344"/>
      <c r="F8" s="346" t="s">
        <v>304</v>
      </c>
    </row>
    <row r="9" spans="1:6" ht="12.75">
      <c r="A9" s="340"/>
      <c r="B9" s="344"/>
      <c r="C9" s="345"/>
      <c r="D9" s="345"/>
      <c r="E9" s="345"/>
      <c r="F9" s="340"/>
    </row>
    <row r="10" spans="1:6" ht="12.75">
      <c r="A10" s="343" t="s">
        <v>307</v>
      </c>
      <c r="B10" s="345"/>
      <c r="C10" s="345"/>
      <c r="D10" s="345"/>
      <c r="E10" s="345"/>
      <c r="F10" s="340"/>
    </row>
    <row r="11" spans="1:6" ht="12.75">
      <c r="A11" s="346" t="s">
        <v>295</v>
      </c>
      <c r="B11" s="345">
        <v>70000</v>
      </c>
      <c r="C11" s="345">
        <v>34000</v>
      </c>
      <c r="D11" s="345"/>
      <c r="E11" s="345"/>
      <c r="F11" s="439">
        <v>42369</v>
      </c>
    </row>
    <row r="12" spans="1:6" ht="12.75">
      <c r="A12" s="346" t="s">
        <v>296</v>
      </c>
      <c r="B12" s="345">
        <v>57029</v>
      </c>
      <c r="C12" s="345">
        <v>57029</v>
      </c>
      <c r="D12" s="345">
        <v>57029</v>
      </c>
      <c r="E12" s="345"/>
      <c r="F12" s="439">
        <v>42735</v>
      </c>
    </row>
    <row r="13" spans="1:6" ht="12.75">
      <c r="A13" s="346" t="s">
        <v>308</v>
      </c>
      <c r="B13" s="345">
        <v>25000</v>
      </c>
      <c r="C13" s="345">
        <v>25000</v>
      </c>
      <c r="D13" s="345">
        <v>25000</v>
      </c>
      <c r="E13" s="345">
        <v>25000</v>
      </c>
      <c r="F13" s="346" t="s">
        <v>310</v>
      </c>
    </row>
    <row r="14" spans="1:6" ht="12.75">
      <c r="A14" s="346" t="s">
        <v>309</v>
      </c>
      <c r="B14" s="345"/>
      <c r="C14" s="345">
        <v>31750</v>
      </c>
      <c r="D14" s="345">
        <v>31750</v>
      </c>
      <c r="E14" s="345">
        <v>31750</v>
      </c>
      <c r="F14" s="346" t="s">
        <v>311</v>
      </c>
    </row>
    <row r="15" spans="1:6" ht="12.75">
      <c r="A15" s="343" t="s">
        <v>306</v>
      </c>
      <c r="B15" s="344">
        <f>SUM(B11:B14)</f>
        <v>152029</v>
      </c>
      <c r="C15" s="344">
        <f>SUM(C11:C14)</f>
        <v>147779</v>
      </c>
      <c r="D15" s="344">
        <f>SUM(D11:D14)</f>
        <v>113779</v>
      </c>
      <c r="E15" s="344">
        <f>SUM(E11:E14)</f>
        <v>56750</v>
      </c>
      <c r="F15" s="340"/>
    </row>
    <row r="16" spans="1:6" ht="12.75">
      <c r="A16" s="343"/>
      <c r="B16" s="344"/>
      <c r="C16" s="344"/>
      <c r="D16" s="344"/>
      <c r="E16" s="344"/>
      <c r="F16" s="340"/>
    </row>
    <row r="17" spans="1:6" ht="12.75">
      <c r="A17" s="343" t="s">
        <v>297</v>
      </c>
      <c r="B17" s="345"/>
      <c r="C17" s="345"/>
      <c r="D17" s="345"/>
      <c r="E17" s="345"/>
      <c r="F17" s="340"/>
    </row>
    <row r="18" spans="1:6" ht="12.75">
      <c r="A18" s="347" t="s">
        <v>298</v>
      </c>
      <c r="B18" s="345">
        <v>20000</v>
      </c>
      <c r="C18" s="345">
        <v>20000</v>
      </c>
      <c r="D18" s="345"/>
      <c r="E18" s="345"/>
      <c r="F18" s="340"/>
    </row>
    <row r="19" spans="1:6" ht="12.75">
      <c r="A19" s="347" t="s">
        <v>299</v>
      </c>
      <c r="B19" s="345">
        <v>5482</v>
      </c>
      <c r="C19" s="345">
        <v>5482</v>
      </c>
      <c r="D19" s="345">
        <v>5482</v>
      </c>
      <c r="E19" s="345">
        <v>5482</v>
      </c>
      <c r="F19" s="340"/>
    </row>
    <row r="20" spans="1:6" ht="12.75">
      <c r="A20" s="347" t="s">
        <v>300</v>
      </c>
      <c r="B20" s="345">
        <v>8904</v>
      </c>
      <c r="C20" s="345">
        <v>8904</v>
      </c>
      <c r="D20" s="345">
        <v>8904</v>
      </c>
      <c r="E20" s="345">
        <v>8904</v>
      </c>
      <c r="F20" s="340"/>
    </row>
    <row r="21" spans="1:6" ht="12.75">
      <c r="A21" s="437" t="s">
        <v>1176</v>
      </c>
      <c r="B21" s="438">
        <v>34738</v>
      </c>
      <c r="C21" s="438">
        <v>34738</v>
      </c>
      <c r="D21" s="438">
        <v>34738</v>
      </c>
      <c r="E21" s="438">
        <v>34738</v>
      </c>
      <c r="F21" s="340"/>
    </row>
    <row r="22" spans="1:6" ht="12.75">
      <c r="A22" s="343" t="s">
        <v>301</v>
      </c>
      <c r="B22" s="344">
        <f>SUM(B18:B21)</f>
        <v>69124</v>
      </c>
      <c r="C22" s="344">
        <f>SUM(C18:C21)</f>
        <v>69124</v>
      </c>
      <c r="D22" s="344">
        <f>SUM(D18:D21)</f>
        <v>49124</v>
      </c>
      <c r="E22" s="344">
        <f>SUM(E18:E21)</f>
        <v>49124</v>
      </c>
      <c r="F22" s="340"/>
    </row>
    <row r="23" spans="1:6" ht="19.5" customHeight="1">
      <c r="A23" s="348" t="s">
        <v>302</v>
      </c>
      <c r="B23" s="349">
        <f>SUM(B6+B8+B15+B22)</f>
        <v>280123</v>
      </c>
      <c r="C23" s="349">
        <f>SUM(C6+C8+C15+C22)</f>
        <v>812774</v>
      </c>
      <c r="D23" s="349">
        <f>SUM(D6+D8+D15+D22)</f>
        <v>226661</v>
      </c>
      <c r="E23" s="349">
        <f>SUM(E6+E8+E15+E22)</f>
        <v>168319</v>
      </c>
      <c r="F23" s="348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&amp;C&amp;"Arial,Félkövér dőlt"TÖBB ÉVES KIHATÁSSAL JÁRÓ DÖNTÉSEK SZÁMSZERŰSÍTÉSE ÉVENKÉNTI BONTÁSBAN&amp;R&amp;"Arial,Félkövér dőlt"16. melléklet
Adatok:  eFt-ban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79"/>
  <sheetViews>
    <sheetView zoomScale="90" zoomScaleNormal="90" workbookViewId="0" topLeftCell="A1">
      <pane xSplit="1" ySplit="2" topLeftCell="B10" activePane="bottomRight" state="frozen"/>
      <selection pane="topLeft" activeCell="A1" sqref="A1"/>
      <selection pane="topRight" activeCell="B1" sqref="B1"/>
      <selection pane="bottomLeft" activeCell="A141" sqref="A141"/>
      <selection pane="bottomRight" activeCell="L23" sqref="L23:L27"/>
    </sheetView>
  </sheetViews>
  <sheetFormatPr defaultColWidth="9.00390625" defaultRowHeight="12.75"/>
  <cols>
    <col min="1" max="1" width="81.00390625" style="152" customWidth="1"/>
    <col min="2" max="2" width="8.875" style="152" customWidth="1"/>
    <col min="3" max="3" width="10.00390625" style="152" customWidth="1"/>
    <col min="4" max="4" width="12.50390625" style="152" customWidth="1"/>
    <col min="5" max="5" width="11.50390625" style="152" customWidth="1"/>
    <col min="6" max="6" width="10.50390625" style="152" customWidth="1"/>
    <col min="7" max="7" width="9.875" style="151" customWidth="1"/>
    <col min="8" max="8" width="10.375" style="151" customWidth="1"/>
    <col min="9" max="9" width="12.875" style="151" customWidth="1"/>
    <col min="10" max="10" width="10.625" style="151" customWidth="1"/>
    <col min="11" max="11" width="11.375" style="151" customWidth="1"/>
    <col min="12" max="12" width="9.375" style="151" customWidth="1"/>
    <col min="13" max="13" width="10.375" style="151" bestFit="1" customWidth="1"/>
    <col min="14" max="14" width="9.375" style="151" customWidth="1"/>
    <col min="15" max="16384" width="9.375" style="152" customWidth="1"/>
  </cols>
  <sheetData>
    <row r="1" spans="1:14" ht="23.25" customHeight="1" thickBot="1">
      <c r="A1" s="774"/>
      <c r="B1" s="1302" t="s">
        <v>1008</v>
      </c>
      <c r="C1" s="1303"/>
      <c r="D1" s="1303"/>
      <c r="E1" s="1303"/>
      <c r="F1" s="1303"/>
      <c r="G1" s="1304" t="s">
        <v>589</v>
      </c>
      <c r="H1" s="1304"/>
      <c r="I1" s="1304"/>
      <c r="J1" s="1304"/>
      <c r="K1" s="1304"/>
      <c r="N1" s="152"/>
    </row>
    <row r="2" spans="1:13" s="154" customFormat="1" ht="45.75" customHeight="1" thickBot="1">
      <c r="A2" s="775" t="s">
        <v>127</v>
      </c>
      <c r="B2" s="776" t="s">
        <v>128</v>
      </c>
      <c r="C2" s="777" t="s">
        <v>129</v>
      </c>
      <c r="D2" s="777" t="s">
        <v>130</v>
      </c>
      <c r="E2" s="777" t="s">
        <v>70</v>
      </c>
      <c r="F2" s="778" t="s">
        <v>131</v>
      </c>
      <c r="G2" s="779" t="s">
        <v>128</v>
      </c>
      <c r="H2" s="779" t="s">
        <v>129</v>
      </c>
      <c r="I2" s="779" t="s">
        <v>130</v>
      </c>
      <c r="J2" s="779" t="s">
        <v>70</v>
      </c>
      <c r="K2" s="779" t="s">
        <v>131</v>
      </c>
      <c r="L2" s="153"/>
      <c r="M2" s="153"/>
    </row>
    <row r="3" spans="1:14" ht="13.5" customHeight="1">
      <c r="A3" s="780" t="s">
        <v>132</v>
      </c>
      <c r="B3" s="781"/>
      <c r="C3" s="781"/>
      <c r="D3" s="781"/>
      <c r="E3" s="781"/>
      <c r="F3" s="782"/>
      <c r="G3" s="781"/>
      <c r="H3" s="781"/>
      <c r="I3" s="781"/>
      <c r="J3" s="781"/>
      <c r="K3" s="783"/>
      <c r="M3" s="152"/>
      <c r="N3" s="152"/>
    </row>
    <row r="4" spans="1:14" ht="13.5" customHeight="1">
      <c r="A4" s="784" t="s">
        <v>71</v>
      </c>
      <c r="B4" s="785"/>
      <c r="C4" s="785">
        <v>134.94</v>
      </c>
      <c r="D4" s="781">
        <v>4580000</v>
      </c>
      <c r="E4" s="781">
        <v>618025</v>
      </c>
      <c r="F4" s="782"/>
      <c r="G4" s="785"/>
      <c r="H4" s="785">
        <v>134.94</v>
      </c>
      <c r="I4" s="781">
        <v>4580000</v>
      </c>
      <c r="J4" s="781">
        <v>618025</v>
      </c>
      <c r="K4" s="781"/>
      <c r="M4" s="152"/>
      <c r="N4" s="152"/>
    </row>
    <row r="5" spans="1:14" ht="13.5" customHeight="1">
      <c r="A5" s="784" t="s">
        <v>72</v>
      </c>
      <c r="B5" s="785"/>
      <c r="C5" s="785"/>
      <c r="D5" s="781"/>
      <c r="E5" s="781"/>
      <c r="F5" s="782">
        <v>106378</v>
      </c>
      <c r="G5" s="785"/>
      <c r="H5" s="785"/>
      <c r="I5" s="781"/>
      <c r="J5" s="781"/>
      <c r="K5" s="781">
        <v>106378</v>
      </c>
      <c r="M5" s="152"/>
      <c r="N5" s="152"/>
    </row>
    <row r="6" spans="1:14" ht="13.5" customHeight="1">
      <c r="A6" s="784" t="s">
        <v>73</v>
      </c>
      <c r="B6" s="781"/>
      <c r="C6" s="781"/>
      <c r="D6" s="781"/>
      <c r="E6" s="781"/>
      <c r="F6" s="782"/>
      <c r="G6" s="781"/>
      <c r="H6" s="781"/>
      <c r="I6" s="781"/>
      <c r="J6" s="781"/>
      <c r="K6" s="781"/>
      <c r="M6" s="152"/>
      <c r="N6" s="152"/>
    </row>
    <row r="7" spans="1:14" ht="13.5" customHeight="1">
      <c r="A7" s="784" t="s">
        <v>74</v>
      </c>
      <c r="B7" s="781"/>
      <c r="C7" s="781"/>
      <c r="D7" s="781"/>
      <c r="E7" s="781"/>
      <c r="F7" s="782">
        <v>0</v>
      </c>
      <c r="G7" s="781"/>
      <c r="H7" s="781"/>
      <c r="I7" s="781"/>
      <c r="J7" s="781"/>
      <c r="K7" s="781">
        <v>0</v>
      </c>
      <c r="M7" s="152"/>
      <c r="N7" s="152"/>
    </row>
    <row r="8" spans="1:14" ht="13.5" customHeight="1">
      <c r="A8" s="784" t="s">
        <v>133</v>
      </c>
      <c r="B8" s="781"/>
      <c r="C8" s="785"/>
      <c r="D8" s="781">
        <v>22300</v>
      </c>
      <c r="E8" s="781">
        <v>50222</v>
      </c>
      <c r="F8" s="782"/>
      <c r="G8" s="781"/>
      <c r="H8" s="785"/>
      <c r="I8" s="781">
        <v>22300</v>
      </c>
      <c r="J8" s="781">
        <v>50222</v>
      </c>
      <c r="K8" s="781"/>
      <c r="M8" s="152"/>
      <c r="N8" s="152"/>
    </row>
    <row r="9" spans="1:14" ht="13.5" customHeight="1">
      <c r="A9" s="784" t="s">
        <v>134</v>
      </c>
      <c r="B9" s="781"/>
      <c r="C9" s="781"/>
      <c r="D9" s="781">
        <v>423700</v>
      </c>
      <c r="E9" s="781">
        <v>158963</v>
      </c>
      <c r="F9" s="782"/>
      <c r="G9" s="781"/>
      <c r="H9" s="781"/>
      <c r="I9" s="781">
        <v>423700</v>
      </c>
      <c r="J9" s="781">
        <v>158963</v>
      </c>
      <c r="K9" s="781"/>
      <c r="M9" s="152"/>
      <c r="N9" s="152"/>
    </row>
    <row r="10" spans="1:14" ht="13.5" customHeight="1">
      <c r="A10" s="784" t="s">
        <v>135</v>
      </c>
      <c r="B10" s="781"/>
      <c r="C10" s="781">
        <v>323446</v>
      </c>
      <c r="D10" s="781">
        <v>70</v>
      </c>
      <c r="E10" s="781">
        <v>22641</v>
      </c>
      <c r="F10" s="782"/>
      <c r="G10" s="781"/>
      <c r="H10" s="781">
        <v>323446</v>
      </c>
      <c r="I10" s="781">
        <v>70</v>
      </c>
      <c r="J10" s="781">
        <v>22641</v>
      </c>
      <c r="K10" s="781"/>
      <c r="M10" s="152"/>
      <c r="N10" s="152"/>
    </row>
    <row r="11" spans="1:14" ht="13.5" customHeight="1">
      <c r="A11" s="784" t="s">
        <v>136</v>
      </c>
      <c r="B11" s="781"/>
      <c r="C11" s="781"/>
      <c r="D11" s="781"/>
      <c r="E11" s="781">
        <v>102643</v>
      </c>
      <c r="F11" s="782"/>
      <c r="G11" s="781"/>
      <c r="H11" s="781"/>
      <c r="I11" s="781"/>
      <c r="J11" s="781">
        <v>102643</v>
      </c>
      <c r="K11" s="781"/>
      <c r="M11" s="152"/>
      <c r="N11" s="152"/>
    </row>
    <row r="12" spans="1:14" ht="13.5" customHeight="1">
      <c r="A12" s="784" t="s">
        <v>75</v>
      </c>
      <c r="B12" s="781">
        <v>59097</v>
      </c>
      <c r="C12" s="781"/>
      <c r="D12" s="781">
        <v>2700</v>
      </c>
      <c r="E12" s="781">
        <v>159562</v>
      </c>
      <c r="F12" s="782"/>
      <c r="G12" s="781">
        <v>59097</v>
      </c>
      <c r="H12" s="781"/>
      <c r="I12" s="781">
        <v>2700</v>
      </c>
      <c r="J12" s="781">
        <v>159562</v>
      </c>
      <c r="K12" s="781"/>
      <c r="M12" s="152"/>
      <c r="N12" s="152"/>
    </row>
    <row r="13" spans="1:14" ht="13.5" customHeight="1">
      <c r="A13" s="784" t="s">
        <v>76</v>
      </c>
      <c r="B13" s="781"/>
      <c r="C13" s="781"/>
      <c r="D13" s="781"/>
      <c r="E13" s="781"/>
      <c r="F13" s="782">
        <v>79781</v>
      </c>
      <c r="G13" s="781"/>
      <c r="H13" s="781"/>
      <c r="I13" s="781"/>
      <c r="J13" s="781"/>
      <c r="K13" s="781">
        <v>79781</v>
      </c>
      <c r="M13" s="152"/>
      <c r="N13" s="152"/>
    </row>
    <row r="14" spans="1:14" ht="13.5" customHeight="1">
      <c r="A14" s="784" t="s">
        <v>77</v>
      </c>
      <c r="B14" s="781">
        <v>59097</v>
      </c>
      <c r="C14" s="781"/>
      <c r="D14" s="781" t="s">
        <v>204</v>
      </c>
      <c r="E14" s="781">
        <v>163145</v>
      </c>
      <c r="F14" s="782"/>
      <c r="G14" s="781">
        <v>59097</v>
      </c>
      <c r="H14" s="781"/>
      <c r="I14" s="781" t="s">
        <v>204</v>
      </c>
      <c r="J14" s="781">
        <v>163145</v>
      </c>
      <c r="K14" s="781"/>
      <c r="M14" s="152"/>
      <c r="N14" s="152"/>
    </row>
    <row r="15" spans="1:14" ht="13.5" customHeight="1">
      <c r="A15" s="784" t="s">
        <v>752</v>
      </c>
      <c r="B15" s="781"/>
      <c r="C15" s="781"/>
      <c r="D15" s="781"/>
      <c r="E15" s="781"/>
      <c r="F15" s="782">
        <v>81573</v>
      </c>
      <c r="G15" s="781"/>
      <c r="H15" s="781"/>
      <c r="I15" s="781"/>
      <c r="J15" s="781"/>
      <c r="K15" s="781">
        <v>81572</v>
      </c>
      <c r="M15" s="152"/>
      <c r="N15" s="152"/>
    </row>
    <row r="16" spans="1:14" ht="13.5" customHeight="1">
      <c r="A16" s="784" t="s">
        <v>78</v>
      </c>
      <c r="B16" s="781"/>
      <c r="C16" s="781"/>
      <c r="D16" s="781"/>
      <c r="E16" s="781">
        <v>-1007470</v>
      </c>
      <c r="F16" s="782"/>
      <c r="G16" s="781"/>
      <c r="H16" s="781"/>
      <c r="I16" s="781"/>
      <c r="J16" s="781">
        <v>-1007470</v>
      </c>
      <c r="K16" s="781"/>
      <c r="M16" s="152"/>
      <c r="N16" s="152"/>
    </row>
    <row r="17" spans="1:14" ht="13.5" customHeight="1">
      <c r="A17" s="784" t="s">
        <v>79</v>
      </c>
      <c r="B17" s="781"/>
      <c r="C17" s="781">
        <v>1500</v>
      </c>
      <c r="D17" s="781">
        <v>100</v>
      </c>
      <c r="E17" s="781"/>
      <c r="F17" s="782">
        <f>SUM(C17*D17)/1000</f>
        <v>150</v>
      </c>
      <c r="G17" s="781"/>
      <c r="H17" s="781">
        <v>1500</v>
      </c>
      <c r="I17" s="781">
        <v>100</v>
      </c>
      <c r="J17" s="781"/>
      <c r="K17" s="781">
        <f>SUM(H17*I17)/1000</f>
        <v>150</v>
      </c>
      <c r="M17" s="152"/>
      <c r="N17" s="152"/>
    </row>
    <row r="18" spans="1:14" ht="13.5" customHeight="1">
      <c r="A18" s="780" t="s">
        <v>137</v>
      </c>
      <c r="B18" s="781"/>
      <c r="C18" s="781"/>
      <c r="D18" s="781"/>
      <c r="E18" s="781"/>
      <c r="F18" s="782"/>
      <c r="G18" s="781"/>
      <c r="H18" s="781"/>
      <c r="I18" s="781"/>
      <c r="J18" s="781"/>
      <c r="K18" s="781"/>
      <c r="M18" s="152"/>
      <c r="N18" s="152"/>
    </row>
    <row r="19" spans="1:14" ht="24.75" customHeight="1">
      <c r="A19" s="786" t="s">
        <v>201</v>
      </c>
      <c r="B19" s="781"/>
      <c r="C19" s="781"/>
      <c r="D19" s="781"/>
      <c r="E19" s="781"/>
      <c r="F19" s="782"/>
      <c r="G19" s="781"/>
      <c r="H19" s="781"/>
      <c r="I19" s="781"/>
      <c r="J19" s="781"/>
      <c r="K19" s="781"/>
      <c r="M19" s="152"/>
      <c r="N19" s="152"/>
    </row>
    <row r="20" spans="1:14" ht="15" customHeight="1">
      <c r="A20" s="786" t="s">
        <v>80</v>
      </c>
      <c r="B20" s="781"/>
      <c r="C20" s="787">
        <v>144.3</v>
      </c>
      <c r="D20" s="785">
        <v>2674666.67</v>
      </c>
      <c r="E20" s="785"/>
      <c r="F20" s="782">
        <f>SUM(C20*D20)/1000</f>
        <v>385954.400481</v>
      </c>
      <c r="G20" s="781"/>
      <c r="H20" s="787">
        <v>144.1</v>
      </c>
      <c r="I20" s="785">
        <v>2674666.67</v>
      </c>
      <c r="J20" s="785"/>
      <c r="K20" s="781">
        <v>385418</v>
      </c>
      <c r="M20" s="152"/>
      <c r="N20" s="152"/>
    </row>
    <row r="21" spans="1:14" ht="15" customHeight="1">
      <c r="A21" s="786" t="s">
        <v>81</v>
      </c>
      <c r="B21" s="781"/>
      <c r="C21" s="787">
        <v>141.2</v>
      </c>
      <c r="D21" s="785">
        <v>1337333.33</v>
      </c>
      <c r="E21" s="785"/>
      <c r="F21" s="782">
        <f>SUM(C21*D21)/1000</f>
        <v>188831.46619600002</v>
      </c>
      <c r="G21" s="781"/>
      <c r="H21" s="787">
        <v>141.5</v>
      </c>
      <c r="I21" s="785">
        <v>1337333.33</v>
      </c>
      <c r="J21" s="785"/>
      <c r="K21" s="781">
        <f>SUM(H21*I21)/1000</f>
        <v>189232.66619500003</v>
      </c>
      <c r="M21" s="152"/>
      <c r="N21" s="152"/>
    </row>
    <row r="22" spans="1:14" ht="15" customHeight="1">
      <c r="A22" s="788" t="s">
        <v>82</v>
      </c>
      <c r="B22" s="781"/>
      <c r="C22" s="787">
        <v>141.2</v>
      </c>
      <c r="D22" s="781">
        <v>34400</v>
      </c>
      <c r="E22" s="781"/>
      <c r="F22" s="782">
        <f>SUM(C22*D22)/1000</f>
        <v>4857.28</v>
      </c>
      <c r="G22" s="781"/>
      <c r="H22" s="787">
        <v>141.5</v>
      </c>
      <c r="I22" s="781">
        <v>34400</v>
      </c>
      <c r="J22" s="781"/>
      <c r="K22" s="781">
        <f>SUM(H22*I22)/1000</f>
        <v>4867.6</v>
      </c>
      <c r="M22" s="152"/>
      <c r="N22" s="152"/>
    </row>
    <row r="23" spans="1:14" ht="24.75" customHeight="1">
      <c r="A23" s="786" t="s">
        <v>83</v>
      </c>
      <c r="B23" s="781"/>
      <c r="C23" s="781">
        <v>90</v>
      </c>
      <c r="D23" s="781">
        <v>1200000</v>
      </c>
      <c r="E23" s="789"/>
      <c r="F23" s="782">
        <f>SUM(C23*D23)/1000</f>
        <v>108000</v>
      </c>
      <c r="G23" s="781"/>
      <c r="H23" s="781">
        <v>90</v>
      </c>
      <c r="I23" s="781">
        <v>1200000</v>
      </c>
      <c r="J23" s="789"/>
      <c r="K23" s="781">
        <f>SUM(H23*I23)/1000</f>
        <v>108000</v>
      </c>
      <c r="M23" s="152"/>
      <c r="N23" s="152"/>
    </row>
    <row r="24" spans="1:14" ht="24.75" customHeight="1">
      <c r="A24" s="786" t="s">
        <v>84</v>
      </c>
      <c r="B24" s="781"/>
      <c r="C24" s="781">
        <v>90</v>
      </c>
      <c r="D24" s="781">
        <v>600000</v>
      </c>
      <c r="E24" s="789"/>
      <c r="F24" s="782">
        <f>SUM(C24*D24)/1000</f>
        <v>54000</v>
      </c>
      <c r="G24" s="781"/>
      <c r="H24" s="781">
        <v>90</v>
      </c>
      <c r="I24" s="781">
        <v>600000</v>
      </c>
      <c r="J24" s="789"/>
      <c r="K24" s="781">
        <f>SUM(H24*I24)/1000</f>
        <v>54000</v>
      </c>
      <c r="M24" s="152"/>
      <c r="N24" s="152"/>
    </row>
    <row r="25" spans="1:14" ht="13.5" customHeight="1">
      <c r="A25" s="784" t="s">
        <v>202</v>
      </c>
      <c r="B25" s="785">
        <v>1621.67</v>
      </c>
      <c r="C25" s="781"/>
      <c r="D25" s="781">
        <v>56000</v>
      </c>
      <c r="E25" s="789"/>
      <c r="F25" s="782">
        <v>90814</v>
      </c>
      <c r="G25" s="785">
        <v>1616.34</v>
      </c>
      <c r="H25" s="781"/>
      <c r="I25" s="781">
        <v>56000</v>
      </c>
      <c r="J25" s="789"/>
      <c r="K25" s="781">
        <v>90516</v>
      </c>
      <c r="M25" s="152"/>
      <c r="N25" s="152"/>
    </row>
    <row r="26" spans="1:14" ht="13.5" customHeight="1">
      <c r="A26" s="780" t="s">
        <v>203</v>
      </c>
      <c r="B26" s="781"/>
      <c r="C26" s="781"/>
      <c r="D26" s="789"/>
      <c r="E26" s="789"/>
      <c r="F26" s="782"/>
      <c r="G26" s="781"/>
      <c r="H26" s="781"/>
      <c r="I26" s="789"/>
      <c r="J26" s="789"/>
      <c r="K26" s="781"/>
      <c r="M26" s="152"/>
      <c r="N26" s="152"/>
    </row>
    <row r="27" spans="1:14" ht="13.5" customHeight="1">
      <c r="A27" s="784" t="s">
        <v>205</v>
      </c>
      <c r="B27" s="781">
        <v>59859</v>
      </c>
      <c r="C27" s="790">
        <v>11.9718</v>
      </c>
      <c r="D27" s="781">
        <v>3950000</v>
      </c>
      <c r="E27" s="781"/>
      <c r="F27" s="782">
        <f>SUM(C27*D27)/1000</f>
        <v>47288.61</v>
      </c>
      <c r="G27" s="781">
        <v>59859</v>
      </c>
      <c r="H27" s="790">
        <v>11.9718</v>
      </c>
      <c r="I27" s="781">
        <v>3950000</v>
      </c>
      <c r="J27" s="781"/>
      <c r="K27" s="781">
        <v>47289</v>
      </c>
      <c r="M27" s="152"/>
      <c r="N27" s="152"/>
    </row>
    <row r="28" spans="1:14" ht="13.5" customHeight="1">
      <c r="A28" s="784" t="s">
        <v>1142</v>
      </c>
      <c r="B28" s="781">
        <v>59859</v>
      </c>
      <c r="C28" s="781"/>
      <c r="D28" s="781">
        <v>300</v>
      </c>
      <c r="E28" s="781"/>
      <c r="F28" s="782">
        <f>SUM(B28*D28)/1000</f>
        <v>17957.7</v>
      </c>
      <c r="G28" s="781">
        <v>59859</v>
      </c>
      <c r="H28" s="781"/>
      <c r="I28" s="781">
        <v>300</v>
      </c>
      <c r="J28" s="781"/>
      <c r="K28" s="781">
        <v>17958</v>
      </c>
      <c r="M28" s="152"/>
      <c r="N28" s="152"/>
    </row>
    <row r="29" spans="1:14" ht="24.75" customHeight="1">
      <c r="A29" s="786" t="s">
        <v>1143</v>
      </c>
      <c r="B29" s="781">
        <v>9067</v>
      </c>
      <c r="C29" s="781"/>
      <c r="D29" s="781">
        <v>1200</v>
      </c>
      <c r="E29" s="781"/>
      <c r="F29" s="782">
        <f>SUM(B29*D29)/1000</f>
        <v>10880.4</v>
      </c>
      <c r="G29" s="781">
        <v>9067</v>
      </c>
      <c r="H29" s="781"/>
      <c r="I29" s="781">
        <v>1200</v>
      </c>
      <c r="J29" s="781"/>
      <c r="K29" s="781">
        <v>10880</v>
      </c>
      <c r="M29" s="152"/>
      <c r="N29" s="152"/>
    </row>
    <row r="30" spans="1:14" ht="13.5" customHeight="1">
      <c r="A30" s="784" t="s">
        <v>1144</v>
      </c>
      <c r="B30" s="781"/>
      <c r="C30" s="781"/>
      <c r="D30" s="781"/>
      <c r="E30" s="781"/>
      <c r="F30" s="782"/>
      <c r="G30" s="781"/>
      <c r="H30" s="781"/>
      <c r="I30" s="781"/>
      <c r="J30" s="781"/>
      <c r="K30" s="781"/>
      <c r="M30" s="152"/>
      <c r="N30" s="152"/>
    </row>
    <row r="31" spans="1:14" ht="13.5" customHeight="1">
      <c r="A31" s="784" t="s">
        <v>447</v>
      </c>
      <c r="B31" s="781"/>
      <c r="C31" s="781">
        <v>1</v>
      </c>
      <c r="D31" s="781">
        <v>2099400</v>
      </c>
      <c r="E31" s="781"/>
      <c r="F31" s="782">
        <f aca="true" t="shared" si="0" ref="F31:F36">SUM(C31*D31)/1000</f>
        <v>2099.4</v>
      </c>
      <c r="G31" s="781"/>
      <c r="H31" s="781">
        <v>1</v>
      </c>
      <c r="I31" s="781">
        <v>2099400</v>
      </c>
      <c r="J31" s="781"/>
      <c r="K31" s="781">
        <v>2099</v>
      </c>
      <c r="M31" s="152"/>
      <c r="N31" s="152"/>
    </row>
    <row r="32" spans="1:14" ht="13.5" customHeight="1">
      <c r="A32" s="784" t="s">
        <v>448</v>
      </c>
      <c r="B32" s="791"/>
      <c r="C32" s="781">
        <v>450</v>
      </c>
      <c r="D32" s="781">
        <v>60896</v>
      </c>
      <c r="E32" s="781"/>
      <c r="F32" s="782">
        <f t="shared" si="0"/>
        <v>27403.2</v>
      </c>
      <c r="G32" s="791"/>
      <c r="H32" s="781">
        <v>390</v>
      </c>
      <c r="I32" s="781">
        <v>60896</v>
      </c>
      <c r="J32" s="781"/>
      <c r="K32" s="781">
        <v>23750</v>
      </c>
      <c r="M32" s="152"/>
      <c r="N32" s="152"/>
    </row>
    <row r="33" spans="1:14" ht="13.5" customHeight="1">
      <c r="A33" s="784" t="s">
        <v>449</v>
      </c>
      <c r="B33" s="791"/>
      <c r="C33" s="781">
        <v>65</v>
      </c>
      <c r="D33" s="781">
        <v>188500</v>
      </c>
      <c r="E33" s="781"/>
      <c r="F33" s="782">
        <f t="shared" si="0"/>
        <v>12252.5</v>
      </c>
      <c r="G33" s="791"/>
      <c r="H33" s="781">
        <v>65</v>
      </c>
      <c r="I33" s="781">
        <v>188500</v>
      </c>
      <c r="J33" s="781"/>
      <c r="K33" s="781">
        <v>12253</v>
      </c>
      <c r="M33" s="152"/>
      <c r="N33" s="152"/>
    </row>
    <row r="34" spans="1:14" ht="13.5" customHeight="1">
      <c r="A34" s="786" t="s">
        <v>450</v>
      </c>
      <c r="B34" s="792"/>
      <c r="C34" s="781">
        <v>83</v>
      </c>
      <c r="D34" s="781">
        <v>163500</v>
      </c>
      <c r="E34" s="781"/>
      <c r="F34" s="782">
        <f t="shared" si="0"/>
        <v>13570.5</v>
      </c>
      <c r="G34" s="792"/>
      <c r="H34" s="781">
        <v>80</v>
      </c>
      <c r="I34" s="781">
        <v>163500</v>
      </c>
      <c r="J34" s="781"/>
      <c r="K34" s="781">
        <v>13080</v>
      </c>
      <c r="M34" s="152"/>
      <c r="N34" s="152"/>
    </row>
    <row r="35" spans="1:14" ht="13.5" customHeight="1">
      <c r="A35" s="786" t="s">
        <v>451</v>
      </c>
      <c r="B35" s="792"/>
      <c r="C35" s="781">
        <v>6</v>
      </c>
      <c r="D35" s="781">
        <v>550000</v>
      </c>
      <c r="E35" s="781"/>
      <c r="F35" s="782">
        <f t="shared" si="0"/>
        <v>3300</v>
      </c>
      <c r="G35" s="792"/>
      <c r="H35" s="781">
        <v>6</v>
      </c>
      <c r="I35" s="781">
        <v>550000</v>
      </c>
      <c r="J35" s="781"/>
      <c r="K35" s="781">
        <v>3300</v>
      </c>
      <c r="M35" s="152"/>
      <c r="N35" s="152"/>
    </row>
    <row r="36" spans="1:14" ht="13.5" customHeight="1">
      <c r="A36" s="786" t="s">
        <v>452</v>
      </c>
      <c r="B36" s="792"/>
      <c r="C36" s="781">
        <v>21</v>
      </c>
      <c r="D36" s="781">
        <v>372000</v>
      </c>
      <c r="E36" s="781"/>
      <c r="F36" s="782">
        <f t="shared" si="0"/>
        <v>7812</v>
      </c>
      <c r="G36" s="792"/>
      <c r="H36" s="781">
        <v>21</v>
      </c>
      <c r="I36" s="781">
        <v>372000</v>
      </c>
      <c r="J36" s="781"/>
      <c r="K36" s="781">
        <v>7812</v>
      </c>
      <c r="M36" s="152"/>
      <c r="N36" s="152"/>
    </row>
    <row r="37" spans="1:14" ht="15" customHeight="1">
      <c r="A37" s="786" t="s">
        <v>453</v>
      </c>
      <c r="B37" s="792"/>
      <c r="C37" s="781"/>
      <c r="D37" s="781"/>
      <c r="E37" s="781"/>
      <c r="F37" s="782"/>
      <c r="G37" s="792"/>
      <c r="H37" s="781"/>
      <c r="I37" s="781"/>
      <c r="J37" s="781"/>
      <c r="K37" s="781"/>
      <c r="M37" s="152"/>
      <c r="N37" s="152"/>
    </row>
    <row r="38" spans="1:14" ht="13.5" customHeight="1">
      <c r="A38" s="784" t="s">
        <v>454</v>
      </c>
      <c r="B38" s="784"/>
      <c r="C38" s="784">
        <v>258</v>
      </c>
      <c r="D38" s="791">
        <v>494100</v>
      </c>
      <c r="E38" s="791"/>
      <c r="F38" s="782">
        <f>SUM(C38*D38)/1000</f>
        <v>127477.8</v>
      </c>
      <c r="G38" s="784"/>
      <c r="H38" s="784">
        <v>258</v>
      </c>
      <c r="I38" s="791">
        <v>494100</v>
      </c>
      <c r="J38" s="791"/>
      <c r="K38" s="781">
        <v>127478</v>
      </c>
      <c r="M38" s="152"/>
      <c r="N38" s="152"/>
    </row>
    <row r="39" spans="1:14" ht="13.5" customHeight="1">
      <c r="A39" s="784" t="s">
        <v>1152</v>
      </c>
      <c r="B39" s="784"/>
      <c r="C39" s="793">
        <v>4</v>
      </c>
      <c r="D39" s="781">
        <v>741150</v>
      </c>
      <c r="E39" s="781"/>
      <c r="F39" s="782">
        <f>SUM(C39*D39)/1000</f>
        <v>2964.6</v>
      </c>
      <c r="G39" s="784"/>
      <c r="H39" s="793">
        <v>4</v>
      </c>
      <c r="I39" s="781">
        <v>741150</v>
      </c>
      <c r="J39" s="781"/>
      <c r="K39" s="781">
        <v>2965</v>
      </c>
      <c r="M39" s="152"/>
      <c r="N39" s="152"/>
    </row>
    <row r="40" spans="1:11" ht="13.5" customHeight="1">
      <c r="A40" s="784" t="s">
        <v>85</v>
      </c>
      <c r="B40" s="794"/>
      <c r="C40" s="781">
        <v>20</v>
      </c>
      <c r="D40" s="781">
        <v>518805</v>
      </c>
      <c r="E40" s="781"/>
      <c r="F40" s="782">
        <f>SUM(C40*D40)/1000</f>
        <v>10376.1</v>
      </c>
      <c r="G40" s="794"/>
      <c r="H40" s="781"/>
      <c r="I40" s="781"/>
      <c r="J40" s="781"/>
      <c r="K40" s="781">
        <f>SUM(H40*I40)/1000</f>
        <v>0</v>
      </c>
    </row>
    <row r="41" spans="1:11" ht="13.5" customHeight="1">
      <c r="A41" s="784" t="s">
        <v>467</v>
      </c>
      <c r="B41" s="794"/>
      <c r="C41" s="781">
        <v>1</v>
      </c>
      <c r="D41" s="781">
        <v>635650</v>
      </c>
      <c r="E41" s="781"/>
      <c r="F41" s="782">
        <f>SUM(C41*D41)/1000</f>
        <v>635.65</v>
      </c>
      <c r="G41" s="794"/>
      <c r="H41" s="781">
        <v>1</v>
      </c>
      <c r="I41" s="781">
        <v>635650</v>
      </c>
      <c r="J41" s="781"/>
      <c r="K41" s="781">
        <v>636</v>
      </c>
    </row>
    <row r="42" spans="1:11" ht="24.75" customHeight="1">
      <c r="A42" s="786" t="s">
        <v>1165</v>
      </c>
      <c r="B42" s="791"/>
      <c r="C42" s="781"/>
      <c r="D42" s="781"/>
      <c r="E42" s="781"/>
      <c r="F42" s="782"/>
      <c r="G42" s="791"/>
      <c r="H42" s="781"/>
      <c r="I42" s="781"/>
      <c r="J42" s="781"/>
      <c r="K42" s="781"/>
    </row>
    <row r="43" spans="1:11" ht="15" customHeight="1">
      <c r="A43" s="786" t="s">
        <v>1166</v>
      </c>
      <c r="B43" s="791"/>
      <c r="C43" s="781">
        <v>37</v>
      </c>
      <c r="D43" s="781">
        <v>2606040</v>
      </c>
      <c r="E43" s="781"/>
      <c r="F43" s="782">
        <f>SUM(C43*D43)/1000</f>
        <v>96423.48</v>
      </c>
      <c r="G43" s="791"/>
      <c r="H43" s="781">
        <v>37</v>
      </c>
      <c r="I43" s="781">
        <v>2606040</v>
      </c>
      <c r="J43" s="781"/>
      <c r="K43" s="781">
        <v>96423</v>
      </c>
    </row>
    <row r="44" spans="1:11" ht="13.5" customHeight="1">
      <c r="A44" s="784" t="s">
        <v>1167</v>
      </c>
      <c r="B44" s="791"/>
      <c r="C44" s="781"/>
      <c r="D44" s="781"/>
      <c r="E44" s="781"/>
      <c r="F44" s="782">
        <v>18351</v>
      </c>
      <c r="G44" s="791"/>
      <c r="H44" s="781"/>
      <c r="I44" s="781"/>
      <c r="J44" s="781"/>
      <c r="K44" s="781">
        <v>10301</v>
      </c>
    </row>
    <row r="45" spans="1:11" ht="13.5" customHeight="1">
      <c r="A45" s="795" t="s">
        <v>86</v>
      </c>
      <c r="B45" s="781"/>
      <c r="C45" s="781"/>
      <c r="D45" s="789"/>
      <c r="E45" s="789"/>
      <c r="F45" s="782"/>
      <c r="G45" s="781"/>
      <c r="H45" s="781"/>
      <c r="I45" s="789"/>
      <c r="J45" s="789"/>
      <c r="K45" s="781"/>
    </row>
    <row r="46" spans="1:11" ht="13.5" customHeight="1">
      <c r="A46" s="796" t="s">
        <v>722</v>
      </c>
      <c r="B46" s="785">
        <v>113.67</v>
      </c>
      <c r="C46" s="781"/>
      <c r="D46" s="781">
        <v>1632000</v>
      </c>
      <c r="E46" s="789"/>
      <c r="F46" s="782">
        <v>185509</v>
      </c>
      <c r="G46" s="785">
        <v>113.27</v>
      </c>
      <c r="H46" s="781"/>
      <c r="I46" s="781">
        <v>1632000</v>
      </c>
      <c r="J46" s="789"/>
      <c r="K46" s="781">
        <v>184856</v>
      </c>
    </row>
    <row r="47" spans="1:11" ht="13.5" customHeight="1">
      <c r="A47" s="796" t="s">
        <v>723</v>
      </c>
      <c r="B47" s="781"/>
      <c r="C47" s="781"/>
      <c r="D47" s="789"/>
      <c r="E47" s="789"/>
      <c r="F47" s="782">
        <v>44543</v>
      </c>
      <c r="G47" s="781"/>
      <c r="H47" s="781"/>
      <c r="I47" s="789"/>
      <c r="J47" s="789"/>
      <c r="K47" s="781">
        <v>37248</v>
      </c>
    </row>
    <row r="48" spans="1:11" ht="13.5" customHeight="1">
      <c r="A48" s="796" t="s">
        <v>760</v>
      </c>
      <c r="B48" s="781"/>
      <c r="C48" s="781"/>
      <c r="D48" s="789"/>
      <c r="E48" s="789"/>
      <c r="F48" s="782"/>
      <c r="G48" s="781"/>
      <c r="H48" s="781"/>
      <c r="I48" s="789"/>
      <c r="J48" s="789"/>
      <c r="K48" s="781">
        <v>244209</v>
      </c>
    </row>
    <row r="49" spans="1:11" ht="13.5" customHeight="1">
      <c r="A49" s="796" t="s">
        <v>761</v>
      </c>
      <c r="B49" s="781"/>
      <c r="C49" s="781"/>
      <c r="D49" s="789"/>
      <c r="E49" s="789"/>
      <c r="F49" s="782"/>
      <c r="G49" s="781"/>
      <c r="H49" s="781"/>
      <c r="I49" s="789"/>
      <c r="J49" s="789"/>
      <c r="K49" s="781">
        <v>130</v>
      </c>
    </row>
    <row r="50" spans="1:11" ht="13.5" customHeight="1">
      <c r="A50" s="797" t="s">
        <v>1168</v>
      </c>
      <c r="B50" s="791"/>
      <c r="C50" s="781"/>
      <c r="D50" s="798"/>
      <c r="E50" s="798"/>
      <c r="F50" s="782"/>
      <c r="G50" s="791"/>
      <c r="H50" s="781"/>
      <c r="I50" s="798"/>
      <c r="J50" s="798"/>
      <c r="K50" s="781"/>
    </row>
    <row r="51" spans="1:11" ht="13.5" customHeight="1">
      <c r="A51" s="786" t="s">
        <v>230</v>
      </c>
      <c r="B51" s="791"/>
      <c r="C51" s="781"/>
      <c r="D51" s="798"/>
      <c r="E51" s="798"/>
      <c r="F51" s="782">
        <v>101100</v>
      </c>
      <c r="G51" s="791"/>
      <c r="H51" s="781"/>
      <c r="I51" s="798"/>
      <c r="J51" s="798"/>
      <c r="K51" s="781">
        <v>101100</v>
      </c>
    </row>
    <row r="52" spans="1:11" ht="24.75" customHeight="1">
      <c r="A52" s="786" t="s">
        <v>246</v>
      </c>
      <c r="B52" s="791"/>
      <c r="C52" s="781"/>
      <c r="D52" s="798"/>
      <c r="E52" s="798"/>
      <c r="F52" s="782">
        <v>112600</v>
      </c>
      <c r="G52" s="791"/>
      <c r="H52" s="781"/>
      <c r="I52" s="798"/>
      <c r="J52" s="798"/>
      <c r="K52" s="781">
        <v>112600</v>
      </c>
    </row>
    <row r="53" spans="1:11" ht="13.5" customHeight="1">
      <c r="A53" s="786" t="s">
        <v>231</v>
      </c>
      <c r="B53" s="799">
        <v>59097</v>
      </c>
      <c r="C53" s="781"/>
      <c r="D53" s="798">
        <v>400</v>
      </c>
      <c r="E53" s="798"/>
      <c r="F53" s="782">
        <f>SUM(B53*D53)/1000</f>
        <v>23638.8</v>
      </c>
      <c r="G53" s="799">
        <v>59097</v>
      </c>
      <c r="H53" s="781"/>
      <c r="I53" s="798">
        <v>400</v>
      </c>
      <c r="J53" s="798"/>
      <c r="K53" s="781">
        <f>SUM(G53*I53)/1000</f>
        <v>23638.8</v>
      </c>
    </row>
    <row r="54" spans="1:11" ht="24.75" customHeight="1">
      <c r="A54" s="786" t="s">
        <v>247</v>
      </c>
      <c r="B54" s="791"/>
      <c r="C54" s="781"/>
      <c r="D54" s="781"/>
      <c r="E54" s="781"/>
      <c r="F54" s="782">
        <v>167444</v>
      </c>
      <c r="G54" s="791"/>
      <c r="H54" s="781"/>
      <c r="I54" s="781"/>
      <c r="J54" s="781"/>
      <c r="K54" s="781">
        <v>167456</v>
      </c>
    </row>
    <row r="55" spans="1:11" ht="15" customHeight="1">
      <c r="A55" s="786" t="s">
        <v>232</v>
      </c>
      <c r="B55" s="791"/>
      <c r="C55" s="781"/>
      <c r="D55" s="781"/>
      <c r="E55" s="781"/>
      <c r="F55" s="782"/>
      <c r="G55" s="791"/>
      <c r="H55" s="781"/>
      <c r="I55" s="781"/>
      <c r="J55" s="781"/>
      <c r="K55" s="781"/>
    </row>
    <row r="56" spans="1:11" ht="15" customHeight="1">
      <c r="A56" s="786" t="s">
        <v>233</v>
      </c>
      <c r="B56" s="791"/>
      <c r="C56" s="781"/>
      <c r="D56" s="781"/>
      <c r="E56" s="781"/>
      <c r="F56" s="782"/>
      <c r="G56" s="791"/>
      <c r="H56" s="781"/>
      <c r="I56" s="781"/>
      <c r="J56" s="781"/>
      <c r="K56" s="781"/>
    </row>
    <row r="57" spans="1:11" ht="15" customHeight="1">
      <c r="A57" s="793" t="s">
        <v>234</v>
      </c>
      <c r="B57" s="791"/>
      <c r="C57" s="781"/>
      <c r="D57" s="781"/>
      <c r="E57" s="781"/>
      <c r="F57" s="782">
        <v>246600</v>
      </c>
      <c r="G57" s="791"/>
      <c r="H57" s="781"/>
      <c r="I57" s="781"/>
      <c r="J57" s="781"/>
      <c r="K57" s="781">
        <v>246600</v>
      </c>
    </row>
    <row r="58" spans="1:11" ht="15" customHeight="1">
      <c r="A58" s="800" t="s">
        <v>724</v>
      </c>
      <c r="B58" s="791"/>
      <c r="C58" s="781"/>
      <c r="D58" s="781"/>
      <c r="E58" s="781"/>
      <c r="F58" s="782"/>
      <c r="G58" s="791"/>
      <c r="H58" s="781"/>
      <c r="I58" s="781"/>
      <c r="J58" s="781"/>
      <c r="K58" s="781"/>
    </row>
    <row r="59" spans="1:11" ht="15" customHeight="1">
      <c r="A59" s="786" t="s">
        <v>590</v>
      </c>
      <c r="B59" s="791"/>
      <c r="C59" s="781"/>
      <c r="D59" s="781"/>
      <c r="E59" s="781"/>
      <c r="F59" s="782">
        <v>8699</v>
      </c>
      <c r="G59" s="791"/>
      <c r="H59" s="781"/>
      <c r="I59" s="781"/>
      <c r="J59" s="781"/>
      <c r="K59" s="781">
        <v>8698</v>
      </c>
    </row>
    <row r="60" spans="1:11" ht="15" customHeight="1">
      <c r="A60" s="786" t="s">
        <v>591</v>
      </c>
      <c r="B60" s="791"/>
      <c r="C60" s="791">
        <v>6955723</v>
      </c>
      <c r="D60" s="787">
        <v>1.5</v>
      </c>
      <c r="E60" s="787"/>
      <c r="F60" s="782">
        <f>SUM(C60*D60)/1000</f>
        <v>10433.5845</v>
      </c>
      <c r="G60" s="791"/>
      <c r="H60" s="791">
        <v>6955723</v>
      </c>
      <c r="I60" s="787">
        <v>1.5</v>
      </c>
      <c r="J60" s="787"/>
      <c r="K60" s="781">
        <f>SUM(H60*I60)/1000</f>
        <v>10433.5845</v>
      </c>
    </row>
    <row r="61" spans="1:11" ht="15" customHeight="1">
      <c r="A61" s="786" t="s">
        <v>592</v>
      </c>
      <c r="B61" s="791"/>
      <c r="C61" s="791"/>
      <c r="D61" s="787"/>
      <c r="E61" s="787"/>
      <c r="F61" s="782"/>
      <c r="G61" s="791"/>
      <c r="H61" s="791"/>
      <c r="I61" s="787"/>
      <c r="J61" s="787"/>
      <c r="K61" s="781">
        <v>32091</v>
      </c>
    </row>
    <row r="62" spans="1:11" ht="15" customHeight="1">
      <c r="A62" s="786" t="s">
        <v>593</v>
      </c>
      <c r="B62" s="791"/>
      <c r="C62" s="791"/>
      <c r="D62" s="787"/>
      <c r="E62" s="787"/>
      <c r="F62" s="782"/>
      <c r="G62" s="791"/>
      <c r="H62" s="791"/>
      <c r="I62" s="787"/>
      <c r="J62" s="787"/>
      <c r="K62" s="781">
        <v>8084</v>
      </c>
    </row>
    <row r="63" spans="1:11" ht="15" customHeight="1">
      <c r="A63" s="786" t="s">
        <v>594</v>
      </c>
      <c r="B63" s="791"/>
      <c r="C63" s="791"/>
      <c r="D63" s="787"/>
      <c r="E63" s="787"/>
      <c r="F63" s="782"/>
      <c r="G63" s="791"/>
      <c r="H63" s="791"/>
      <c r="I63" s="787"/>
      <c r="J63" s="787"/>
      <c r="K63" s="781">
        <v>24</v>
      </c>
    </row>
    <row r="64" spans="1:11" ht="15" customHeight="1">
      <c r="A64" s="786" t="s">
        <v>595</v>
      </c>
      <c r="B64" s="791"/>
      <c r="C64" s="791"/>
      <c r="D64" s="787"/>
      <c r="E64" s="787"/>
      <c r="F64" s="782"/>
      <c r="G64" s="791"/>
      <c r="H64" s="791"/>
      <c r="I64" s="787"/>
      <c r="J64" s="787"/>
      <c r="K64" s="781">
        <v>117161</v>
      </c>
    </row>
    <row r="65" spans="1:11" ht="15" customHeight="1">
      <c r="A65" s="786" t="s">
        <v>596</v>
      </c>
      <c r="B65" s="791"/>
      <c r="C65" s="791"/>
      <c r="D65" s="787"/>
      <c r="E65" s="787"/>
      <c r="F65" s="782"/>
      <c r="G65" s="791"/>
      <c r="H65" s="791"/>
      <c r="I65" s="787"/>
      <c r="J65" s="787"/>
      <c r="K65" s="781">
        <v>6000</v>
      </c>
    </row>
    <row r="66" spans="1:11" ht="15" customHeight="1">
      <c r="A66" s="786" t="s">
        <v>762</v>
      </c>
      <c r="B66" s="791"/>
      <c r="C66" s="791"/>
      <c r="D66" s="787"/>
      <c r="E66" s="787"/>
      <c r="F66" s="782"/>
      <c r="G66" s="791"/>
      <c r="H66" s="791"/>
      <c r="I66" s="787"/>
      <c r="J66" s="787"/>
      <c r="K66" s="781">
        <v>2528</v>
      </c>
    </row>
    <row r="67" spans="1:11" ht="15" customHeight="1">
      <c r="A67" s="786" t="s">
        <v>763</v>
      </c>
      <c r="B67" s="791"/>
      <c r="C67" s="791"/>
      <c r="D67" s="787"/>
      <c r="E67" s="787"/>
      <c r="F67" s="782"/>
      <c r="G67" s="791"/>
      <c r="H67" s="791"/>
      <c r="I67" s="787"/>
      <c r="J67" s="787"/>
      <c r="K67" s="781">
        <v>63</v>
      </c>
    </row>
    <row r="68" spans="1:11" ht="15" customHeight="1">
      <c r="A68" s="786" t="s">
        <v>764</v>
      </c>
      <c r="B68" s="791"/>
      <c r="C68" s="791"/>
      <c r="D68" s="787"/>
      <c r="E68" s="787"/>
      <c r="F68" s="782"/>
      <c r="G68" s="791"/>
      <c r="H68" s="791"/>
      <c r="I68" s="787"/>
      <c r="J68" s="787"/>
      <c r="K68" s="781">
        <v>4349</v>
      </c>
    </row>
    <row r="69" spans="1:11" ht="15" customHeight="1">
      <c r="A69" s="786" t="s">
        <v>506</v>
      </c>
      <c r="B69" s="791"/>
      <c r="C69" s="791"/>
      <c r="D69" s="787"/>
      <c r="E69" s="787"/>
      <c r="F69" s="782"/>
      <c r="G69" s="791"/>
      <c r="H69" s="791"/>
      <c r="I69" s="787"/>
      <c r="J69" s="787"/>
      <c r="K69" s="781">
        <v>2045</v>
      </c>
    </row>
    <row r="70" spans="1:11" ht="15" customHeight="1">
      <c r="A70" s="786" t="s">
        <v>507</v>
      </c>
      <c r="B70" s="791"/>
      <c r="C70" s="791"/>
      <c r="D70" s="787"/>
      <c r="E70" s="787"/>
      <c r="F70" s="782"/>
      <c r="G70" s="791"/>
      <c r="H70" s="791"/>
      <c r="I70" s="787"/>
      <c r="J70" s="787"/>
      <c r="K70" s="781">
        <v>32053</v>
      </c>
    </row>
    <row r="71" spans="1:11" ht="15" customHeight="1">
      <c r="A71" s="797" t="s">
        <v>597</v>
      </c>
      <c r="B71" s="791"/>
      <c r="C71" s="791"/>
      <c r="D71" s="787"/>
      <c r="E71" s="787"/>
      <c r="F71" s="782"/>
      <c r="G71" s="791"/>
      <c r="H71" s="791"/>
      <c r="I71" s="787"/>
      <c r="J71" s="787"/>
      <c r="K71" s="781"/>
    </row>
    <row r="72" spans="1:11" ht="15" customHeight="1">
      <c r="A72" s="786" t="s">
        <v>598</v>
      </c>
      <c r="B72" s="791"/>
      <c r="C72" s="791"/>
      <c r="D72" s="787"/>
      <c r="E72" s="787"/>
      <c r="F72" s="782"/>
      <c r="G72" s="791"/>
      <c r="H72" s="791"/>
      <c r="I72" s="787"/>
      <c r="J72" s="787"/>
      <c r="K72" s="781">
        <v>80422</v>
      </c>
    </row>
    <row r="73" spans="1:11" ht="15" customHeight="1">
      <c r="A73" s="786" t="s">
        <v>599</v>
      </c>
      <c r="B73" s="791"/>
      <c r="C73" s="791"/>
      <c r="D73" s="787"/>
      <c r="E73" s="787"/>
      <c r="F73" s="782"/>
      <c r="G73" s="791"/>
      <c r="H73" s="791"/>
      <c r="I73" s="787"/>
      <c r="J73" s="787"/>
      <c r="K73" s="781">
        <v>1243940</v>
      </c>
    </row>
    <row r="74" spans="1:11" ht="15" customHeight="1">
      <c r="A74" s="796" t="s">
        <v>765</v>
      </c>
      <c r="B74" s="781"/>
      <c r="C74" s="781"/>
      <c r="D74" s="789"/>
      <c r="E74" s="789"/>
      <c r="F74" s="782"/>
      <c r="G74" s="781"/>
      <c r="H74" s="781"/>
      <c r="I74" s="789"/>
      <c r="J74" s="789"/>
      <c r="K74" s="781">
        <v>37294</v>
      </c>
    </row>
    <row r="75" spans="1:11" ht="15" customHeight="1">
      <c r="A75" s="796" t="s">
        <v>1009</v>
      </c>
      <c r="B75" s="781"/>
      <c r="C75" s="781"/>
      <c r="D75" s="789"/>
      <c r="E75" s="789"/>
      <c r="F75" s="782"/>
      <c r="G75" s="781"/>
      <c r="H75" s="781"/>
      <c r="I75" s="789"/>
      <c r="J75" s="789"/>
      <c r="K75" s="781">
        <v>31964</v>
      </c>
    </row>
    <row r="76" spans="1:11" ht="15" customHeight="1">
      <c r="A76" s="796" t="s">
        <v>319</v>
      </c>
      <c r="B76" s="781"/>
      <c r="C76" s="781"/>
      <c r="D76" s="789"/>
      <c r="E76" s="789"/>
      <c r="F76" s="782"/>
      <c r="G76" s="781"/>
      <c r="H76" s="781"/>
      <c r="I76" s="789"/>
      <c r="J76" s="789"/>
      <c r="K76" s="781">
        <v>800000</v>
      </c>
    </row>
    <row r="77" spans="1:14" s="154" customFormat="1" ht="13.5" customHeight="1">
      <c r="A77" s="801" t="s">
        <v>248</v>
      </c>
      <c r="B77" s="802"/>
      <c r="C77" s="802"/>
      <c r="D77" s="802"/>
      <c r="E77" s="802"/>
      <c r="F77" s="803">
        <f>SUM(F4:F60)</f>
        <v>2399699.4711769996</v>
      </c>
      <c r="G77" s="802"/>
      <c r="H77" s="802"/>
      <c r="I77" s="802"/>
      <c r="J77" s="802"/>
      <c r="K77" s="802">
        <f>SUM(K4:K76)</f>
        <v>5011126.650695</v>
      </c>
      <c r="L77" s="153"/>
      <c r="M77" s="153"/>
      <c r="N77" s="153"/>
    </row>
    <row r="78" spans="1:6" ht="12.75" customHeight="1">
      <c r="A78" s="155"/>
      <c r="B78" s="155"/>
      <c r="C78" s="155"/>
      <c r="D78" s="155"/>
      <c r="E78" s="155"/>
      <c r="F78" s="156"/>
    </row>
    <row r="79" spans="1:6" ht="18" customHeight="1">
      <c r="A79" s="157"/>
      <c r="B79" s="158"/>
      <c r="C79" s="158"/>
      <c r="D79" s="158"/>
      <c r="E79" s="158"/>
      <c r="F79" s="159"/>
    </row>
    <row r="80" ht="12" hidden="1"/>
    <row r="81" ht="12" hidden="1"/>
  </sheetData>
  <sheetProtection selectLockedCells="1" selectUnlockedCells="1"/>
  <mergeCells count="2">
    <mergeCell ref="B1:F1"/>
    <mergeCell ref="G1:K1"/>
  </mergeCells>
  <printOptions horizontalCentered="1" verticalCentered="1"/>
  <pageMargins left="0.07874015748031496" right="0.07874015748031496" top="0.7086614173228347" bottom="0.1968503937007874" header="0.3937007874015748" footer="0.1968503937007874"/>
  <pageSetup horizontalDpi="300" verticalDpi="300" orientation="landscape" paperSize="9" scale="80" r:id="rId1"/>
  <headerFooter alignWithMargins="0">
    <oddHeader>&amp;C&amp;"Times New Roman,Félkövér dőlt"ÁLLAMI HOZZÁJÁRULÁSOK  ÉS SZJA BEVÉTEL 2014. ÉVBEN&amp;R&amp;"Times New Roman,Dőlt"3. melléklet
</oddHeader>
  </headerFooter>
  <rowBreaks count="1" manualBreakCount="1">
    <brk id="81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B79"/>
  <sheetViews>
    <sheetView zoomScalePageLayoutView="0" workbookViewId="0" topLeftCell="A1">
      <selection activeCell="B71" sqref="B71"/>
    </sheetView>
  </sheetViews>
  <sheetFormatPr defaultColWidth="10.625" defaultRowHeight="12.75"/>
  <cols>
    <col min="1" max="1" width="4.50390625" style="382" customWidth="1"/>
    <col min="2" max="2" width="88.125" style="368" customWidth="1"/>
    <col min="3" max="16384" width="10.625" style="368" customWidth="1"/>
  </cols>
  <sheetData>
    <row r="1" spans="1:2" ht="15">
      <c r="A1" s="366"/>
      <c r="B1" s="367"/>
    </row>
    <row r="2" spans="1:2" ht="15">
      <c r="A2" s="369"/>
      <c r="B2" s="370"/>
    </row>
    <row r="3" spans="1:2" ht="15">
      <c r="A3" s="371" t="s">
        <v>138</v>
      </c>
      <c r="B3" s="372" t="s">
        <v>139</v>
      </c>
    </row>
    <row r="4" spans="1:2" ht="15">
      <c r="A4" s="371" t="s">
        <v>1608</v>
      </c>
      <c r="B4" s="372" t="s">
        <v>1445</v>
      </c>
    </row>
    <row r="5" spans="1:2" ht="15">
      <c r="A5" s="371"/>
      <c r="B5" s="367" t="s">
        <v>140</v>
      </c>
    </row>
    <row r="6" spans="1:2" ht="30">
      <c r="A6" s="371"/>
      <c r="B6" s="373" t="s">
        <v>141</v>
      </c>
    </row>
    <row r="7" spans="1:2" ht="30">
      <c r="A7" s="371"/>
      <c r="B7" s="373" t="s">
        <v>142</v>
      </c>
    </row>
    <row r="8" spans="1:2" ht="30">
      <c r="A8" s="371"/>
      <c r="B8" s="373" t="s">
        <v>143</v>
      </c>
    </row>
    <row r="9" spans="1:2" ht="15">
      <c r="A9" s="371"/>
      <c r="B9" s="374" t="s">
        <v>144</v>
      </c>
    </row>
    <row r="10" spans="1:2" ht="15">
      <c r="A10" s="371"/>
      <c r="B10" s="374" t="s">
        <v>145</v>
      </c>
    </row>
    <row r="11" spans="1:2" ht="15">
      <c r="A11" s="371"/>
      <c r="B11" s="374" t="s">
        <v>146</v>
      </c>
    </row>
    <row r="12" spans="1:2" ht="15" hidden="1">
      <c r="A12" s="371"/>
      <c r="B12" s="374"/>
    </row>
    <row r="13" spans="1:2" ht="15" hidden="1">
      <c r="A13" s="371"/>
      <c r="B13" s="374"/>
    </row>
    <row r="14" spans="1:2" ht="30">
      <c r="A14" s="371"/>
      <c r="B14" s="374" t="s">
        <v>147</v>
      </c>
    </row>
    <row r="15" spans="1:2" ht="27" customHeight="1">
      <c r="A15" s="371"/>
      <c r="B15" s="374" t="s">
        <v>148</v>
      </c>
    </row>
    <row r="16" spans="1:2" ht="15">
      <c r="A16" s="371"/>
      <c r="B16" s="374" t="s">
        <v>149</v>
      </c>
    </row>
    <row r="17" spans="1:2" ht="15">
      <c r="A17" s="371"/>
      <c r="B17" s="374" t="s">
        <v>150</v>
      </c>
    </row>
    <row r="18" spans="1:2" ht="15">
      <c r="A18" s="371"/>
      <c r="B18" s="367" t="s">
        <v>151</v>
      </c>
    </row>
    <row r="19" spans="1:2" ht="24.75" customHeight="1">
      <c r="A19" s="371"/>
      <c r="B19" s="373" t="s">
        <v>152</v>
      </c>
    </row>
    <row r="20" spans="1:2" ht="24.75" customHeight="1">
      <c r="A20" s="371"/>
      <c r="B20" s="373" t="s">
        <v>153</v>
      </c>
    </row>
    <row r="21" spans="1:2" ht="15" hidden="1">
      <c r="A21" s="371"/>
      <c r="B21" s="367"/>
    </row>
    <row r="22" spans="1:2" ht="15">
      <c r="A22" s="371" t="s">
        <v>903</v>
      </c>
      <c r="B22" s="375" t="s">
        <v>963</v>
      </c>
    </row>
    <row r="23" spans="1:2" ht="15">
      <c r="A23" s="371"/>
      <c r="B23" s="374" t="s">
        <v>140</v>
      </c>
    </row>
    <row r="24" spans="1:2" ht="15">
      <c r="A24" s="371"/>
      <c r="B24" s="374" t="s">
        <v>154</v>
      </c>
    </row>
    <row r="25" spans="1:2" ht="15">
      <c r="A25" s="371"/>
      <c r="B25" s="374" t="s">
        <v>155</v>
      </c>
    </row>
    <row r="26" spans="1:2" ht="15">
      <c r="A26" s="371"/>
      <c r="B26" s="374" t="s">
        <v>156</v>
      </c>
    </row>
    <row r="27" spans="1:2" ht="15">
      <c r="A27" s="371" t="s">
        <v>905</v>
      </c>
      <c r="B27" s="372" t="s">
        <v>957</v>
      </c>
    </row>
    <row r="28" spans="1:2" ht="15">
      <c r="A28" s="371"/>
      <c r="B28" s="367" t="s">
        <v>157</v>
      </c>
    </row>
    <row r="29" spans="1:2" ht="15">
      <c r="A29" s="371"/>
      <c r="B29" s="367" t="s">
        <v>158</v>
      </c>
    </row>
    <row r="30" spans="1:2" ht="15">
      <c r="A30" s="371"/>
      <c r="B30" s="367" t="s">
        <v>159</v>
      </c>
    </row>
    <row r="31" spans="1:2" ht="15">
      <c r="A31" s="371"/>
      <c r="B31" s="367" t="s">
        <v>160</v>
      </c>
    </row>
    <row r="32" spans="1:2" ht="26.25" customHeight="1">
      <c r="A32" s="376" t="s">
        <v>1387</v>
      </c>
      <c r="B32" s="377" t="s">
        <v>195</v>
      </c>
    </row>
    <row r="33" spans="1:2" ht="15">
      <c r="A33" s="371" t="s">
        <v>1385</v>
      </c>
      <c r="B33" s="372" t="s">
        <v>196</v>
      </c>
    </row>
    <row r="34" spans="1:2" ht="27" customHeight="1">
      <c r="A34" s="378" t="s">
        <v>1390</v>
      </c>
      <c r="B34" s="377" t="s">
        <v>197</v>
      </c>
    </row>
    <row r="35" spans="1:2" ht="15">
      <c r="A35" s="371"/>
      <c r="B35" s="367" t="s">
        <v>161</v>
      </c>
    </row>
    <row r="36" spans="1:2" ht="15">
      <c r="A36" s="371"/>
      <c r="B36" s="367" t="s">
        <v>162</v>
      </c>
    </row>
    <row r="37" spans="1:2" ht="15">
      <c r="A37" s="371"/>
      <c r="B37" s="367" t="s">
        <v>163</v>
      </c>
    </row>
    <row r="38" spans="1:2" ht="15">
      <c r="A38" s="371"/>
      <c r="B38" s="367" t="s">
        <v>164</v>
      </c>
    </row>
    <row r="39" spans="1:2" ht="15">
      <c r="A39" s="371"/>
      <c r="B39" s="367" t="s">
        <v>165</v>
      </c>
    </row>
    <row r="40" spans="1:2" ht="15">
      <c r="A40" s="371"/>
      <c r="B40" s="367" t="s">
        <v>166</v>
      </c>
    </row>
    <row r="41" spans="1:2" ht="15">
      <c r="A41" s="371" t="s">
        <v>1392</v>
      </c>
      <c r="B41" s="372" t="s">
        <v>167</v>
      </c>
    </row>
    <row r="42" spans="1:2" ht="15">
      <c r="A42" s="371"/>
      <c r="B42" s="367" t="s">
        <v>168</v>
      </c>
    </row>
    <row r="43" spans="1:2" ht="15">
      <c r="A43" s="371"/>
      <c r="B43" s="367" t="s">
        <v>169</v>
      </c>
    </row>
    <row r="44" spans="1:2" ht="15">
      <c r="A44" s="371"/>
      <c r="B44" s="367" t="s">
        <v>170</v>
      </c>
    </row>
    <row r="45" spans="1:2" ht="15">
      <c r="A45" s="371"/>
      <c r="B45" s="367" t="s">
        <v>171</v>
      </c>
    </row>
    <row r="46" spans="1:2" ht="15">
      <c r="A46" s="371" t="s">
        <v>1394</v>
      </c>
      <c r="B46" s="372" t="s">
        <v>172</v>
      </c>
    </row>
    <row r="47" spans="1:2" ht="30">
      <c r="A47" s="371"/>
      <c r="B47" s="373" t="s">
        <v>173</v>
      </c>
    </row>
    <row r="48" spans="1:2" ht="15">
      <c r="A48" s="371"/>
      <c r="B48" s="367" t="s">
        <v>174</v>
      </c>
    </row>
    <row r="49" spans="1:2" ht="30">
      <c r="A49" s="371"/>
      <c r="B49" s="373" t="s">
        <v>175</v>
      </c>
    </row>
    <row r="50" spans="1:2" ht="30">
      <c r="A50" s="371"/>
      <c r="B50" s="373" t="s">
        <v>176</v>
      </c>
    </row>
    <row r="51" spans="1:2" ht="15">
      <c r="A51" s="371" t="s">
        <v>1224</v>
      </c>
      <c r="B51" s="372" t="s">
        <v>177</v>
      </c>
    </row>
    <row r="52" spans="1:2" ht="15">
      <c r="A52" s="371"/>
      <c r="B52" s="367" t="s">
        <v>178</v>
      </c>
    </row>
    <row r="53" spans="1:2" ht="15">
      <c r="A53" s="371"/>
      <c r="B53" s="367" t="s">
        <v>179</v>
      </c>
    </row>
    <row r="54" spans="1:2" ht="15">
      <c r="A54" s="371"/>
      <c r="B54" s="367" t="s">
        <v>180</v>
      </c>
    </row>
    <row r="55" spans="1:2" ht="15">
      <c r="A55" s="371" t="s">
        <v>1225</v>
      </c>
      <c r="B55" s="372" t="s">
        <v>962</v>
      </c>
    </row>
    <row r="56" spans="1:2" ht="15">
      <c r="A56" s="371"/>
      <c r="B56" s="367" t="s">
        <v>181</v>
      </c>
    </row>
    <row r="57" spans="1:2" ht="30">
      <c r="A57" s="371"/>
      <c r="B57" s="373" t="s">
        <v>182</v>
      </c>
    </row>
    <row r="58" spans="1:2" ht="15">
      <c r="A58" s="371"/>
      <c r="B58" s="367" t="s">
        <v>183</v>
      </c>
    </row>
    <row r="59" spans="1:2" ht="15">
      <c r="A59" s="371"/>
      <c r="B59" s="367" t="s">
        <v>184</v>
      </c>
    </row>
    <row r="60" spans="1:2" ht="15">
      <c r="A60" s="371" t="s">
        <v>1226</v>
      </c>
      <c r="B60" s="372" t="s">
        <v>198</v>
      </c>
    </row>
    <row r="61" spans="1:2" ht="15">
      <c r="A61" s="371"/>
      <c r="B61" s="367" t="s">
        <v>185</v>
      </c>
    </row>
    <row r="62" spans="1:2" ht="15">
      <c r="A62" s="371"/>
      <c r="B62" s="367" t="s">
        <v>186</v>
      </c>
    </row>
    <row r="63" spans="1:2" ht="15">
      <c r="A63" s="371"/>
      <c r="B63" s="367" t="s">
        <v>187</v>
      </c>
    </row>
    <row r="64" spans="1:2" ht="15">
      <c r="A64" s="371"/>
      <c r="B64" s="367" t="s">
        <v>188</v>
      </c>
    </row>
    <row r="65" spans="1:2" ht="15">
      <c r="A65" s="371" t="s">
        <v>1227</v>
      </c>
      <c r="B65" s="372" t="s">
        <v>199</v>
      </c>
    </row>
    <row r="66" spans="1:2" ht="15">
      <c r="A66" s="371" t="s">
        <v>1228</v>
      </c>
      <c r="B66" s="372" t="s">
        <v>200</v>
      </c>
    </row>
    <row r="67" spans="1:2" ht="15">
      <c r="A67" s="371" t="s">
        <v>1229</v>
      </c>
      <c r="B67" s="372" t="s">
        <v>189</v>
      </c>
    </row>
    <row r="68" spans="1:2" ht="15">
      <c r="A68" s="376" t="s">
        <v>871</v>
      </c>
      <c r="B68" s="372" t="s">
        <v>966</v>
      </c>
    </row>
    <row r="69" spans="1:2" ht="15">
      <c r="A69" s="376" t="s">
        <v>1230</v>
      </c>
      <c r="B69" s="372" t="s">
        <v>955</v>
      </c>
    </row>
    <row r="70" spans="1:2" ht="15">
      <c r="A70" s="366"/>
      <c r="B70" s="367" t="s">
        <v>140</v>
      </c>
    </row>
    <row r="71" spans="1:2" ht="15">
      <c r="A71" s="366"/>
      <c r="B71" s="379" t="s">
        <v>190</v>
      </c>
    </row>
    <row r="72" spans="1:2" ht="15">
      <c r="A72" s="366"/>
      <c r="B72" s="379" t="s">
        <v>191</v>
      </c>
    </row>
    <row r="73" spans="1:2" ht="15">
      <c r="A73" s="376" t="s">
        <v>1231</v>
      </c>
      <c r="B73" s="380" t="s">
        <v>956</v>
      </c>
    </row>
    <row r="74" spans="1:2" ht="15">
      <c r="A74" s="366"/>
      <c r="B74" s="379" t="s">
        <v>140</v>
      </c>
    </row>
    <row r="75" spans="1:2" ht="15">
      <c r="A75" s="366"/>
      <c r="B75" s="379" t="s">
        <v>192</v>
      </c>
    </row>
    <row r="76" spans="1:2" ht="15">
      <c r="A76" s="366"/>
      <c r="B76" s="379" t="s">
        <v>193</v>
      </c>
    </row>
    <row r="77" spans="1:2" ht="25.5" customHeight="1">
      <c r="A77" s="366"/>
      <c r="B77" s="381" t="s">
        <v>194</v>
      </c>
    </row>
    <row r="78" spans="1:2" ht="15">
      <c r="A78" s="366"/>
      <c r="B78" s="379"/>
    </row>
    <row r="79" spans="1:2" ht="15">
      <c r="A79" s="369"/>
      <c r="B79" s="379"/>
    </row>
  </sheetData>
  <sheetProtection/>
  <printOptions/>
  <pageMargins left="0.7874015748031497" right="0.7874015748031497" top="0.984251968503937" bottom="0.984251968503937" header="0.5118110236220472" footer="0.5118110236220472"/>
  <pageSetup fitToHeight="0" horizontalDpi="600" verticalDpi="600" orientation="portrait" paperSize="9" r:id="rId1"/>
  <headerFooter alignWithMargins="0">
    <oddHeader>&amp;CA közbeszerzés hatálya alá tartozó költségvetési szervek köre
(villamosenergia és gáz beszerzés)&amp;R17. melléklet</oddHeader>
  </headerFooter>
  <rowBreaks count="1" manualBreakCount="1">
    <brk id="4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D10" sqref="D10"/>
    </sheetView>
  </sheetViews>
  <sheetFormatPr defaultColWidth="9.00390625" defaultRowHeight="12.75"/>
  <cols>
    <col min="1" max="1" width="9.375" style="24" customWidth="1"/>
    <col min="2" max="2" width="50.50390625" style="24" customWidth="1"/>
    <col min="3" max="3" width="16.375" style="24" customWidth="1"/>
    <col min="4" max="4" width="14.50390625" style="24" customWidth="1"/>
    <col min="5" max="5" width="15.125" style="24" customWidth="1"/>
    <col min="6" max="16384" width="9.375" style="24" customWidth="1"/>
  </cols>
  <sheetData>
    <row r="1" spans="1:5" s="43" customFormat="1" ht="49.5" customHeight="1">
      <c r="A1" s="804" t="s">
        <v>1827</v>
      </c>
      <c r="B1" s="804" t="s">
        <v>46</v>
      </c>
      <c r="C1" s="804" t="s">
        <v>1002</v>
      </c>
      <c r="D1" s="805" t="s">
        <v>1003</v>
      </c>
      <c r="E1" s="805" t="s">
        <v>1005</v>
      </c>
    </row>
    <row r="2" spans="1:5" s="43" customFormat="1" ht="19.5" customHeight="1">
      <c r="A2" s="806"/>
      <c r="B2" s="807" t="s">
        <v>60</v>
      </c>
      <c r="C2" s="806"/>
      <c r="D2" s="808"/>
      <c r="E2" s="808"/>
    </row>
    <row r="3" spans="1:5" s="44" customFormat="1" ht="12.75">
      <c r="A3" s="809" t="s">
        <v>1828</v>
      </c>
      <c r="B3" s="810" t="s">
        <v>280</v>
      </c>
      <c r="C3" s="811">
        <v>2951765</v>
      </c>
      <c r="D3" s="11">
        <v>225403</v>
      </c>
      <c r="E3" s="11">
        <f>SUM(C3:D3)</f>
        <v>3177168</v>
      </c>
    </row>
    <row r="4" spans="1:5" s="34" customFormat="1" ht="12.75">
      <c r="A4" s="809" t="s">
        <v>1829</v>
      </c>
      <c r="B4" s="812" t="s">
        <v>408</v>
      </c>
      <c r="C4" s="813">
        <v>809399</v>
      </c>
      <c r="D4" s="814">
        <v>53136</v>
      </c>
      <c r="E4" s="11">
        <f>SUM(C4:D4)</f>
        <v>862535</v>
      </c>
    </row>
    <row r="5" spans="1:5" s="34" customFormat="1" ht="12.75">
      <c r="A5" s="809" t="s">
        <v>1830</v>
      </c>
      <c r="B5" s="815" t="s">
        <v>409</v>
      </c>
      <c r="C5" s="813">
        <v>4417840</v>
      </c>
      <c r="D5" s="814">
        <v>654113</v>
      </c>
      <c r="E5" s="11">
        <f>SUM(C5:D5)</f>
        <v>5071953</v>
      </c>
    </row>
    <row r="6" spans="1:5" s="34" customFormat="1" ht="12.75">
      <c r="A6" s="809" t="s">
        <v>1831</v>
      </c>
      <c r="B6" s="815" t="s">
        <v>992</v>
      </c>
      <c r="C6" s="816">
        <v>143280</v>
      </c>
      <c r="D6" s="814">
        <v>270326</v>
      </c>
      <c r="E6" s="11">
        <f>SUM(C6:D6)</f>
        <v>413606</v>
      </c>
    </row>
    <row r="7" spans="1:5" s="34" customFormat="1" ht="12.75">
      <c r="A7" s="809" t="s">
        <v>1832</v>
      </c>
      <c r="B7" s="815" t="s">
        <v>1238</v>
      </c>
      <c r="C7" s="813">
        <v>1583144</v>
      </c>
      <c r="D7" s="814">
        <v>1002971</v>
      </c>
      <c r="E7" s="11">
        <f>SUM(C7:D7)</f>
        <v>2586115</v>
      </c>
    </row>
    <row r="8" spans="1:5" s="34" customFormat="1" ht="13.5">
      <c r="A8" s="809"/>
      <c r="B8" s="817" t="s">
        <v>410</v>
      </c>
      <c r="C8" s="818">
        <f>SUM(C3:C7)</f>
        <v>9905428</v>
      </c>
      <c r="D8" s="818">
        <f>SUM(D3:D7)</f>
        <v>2205949</v>
      </c>
      <c r="E8" s="818">
        <f>SUM(E3:E7)</f>
        <v>12111377</v>
      </c>
    </row>
    <row r="9" spans="1:5" s="34" customFormat="1" ht="12.75">
      <c r="A9" s="819" t="s">
        <v>1833</v>
      </c>
      <c r="B9" s="813" t="s">
        <v>1222</v>
      </c>
      <c r="C9" s="813">
        <v>6800899</v>
      </c>
      <c r="D9" s="814">
        <v>-262472</v>
      </c>
      <c r="E9" s="11">
        <f>SUM(C9:D9)</f>
        <v>6538427</v>
      </c>
    </row>
    <row r="10" spans="1:5" s="34" customFormat="1" ht="12.75">
      <c r="A10" s="819" t="s">
        <v>1834</v>
      </c>
      <c r="B10" s="813" t="s">
        <v>1221</v>
      </c>
      <c r="C10" s="813">
        <v>701881</v>
      </c>
      <c r="D10" s="814">
        <v>657297</v>
      </c>
      <c r="E10" s="11">
        <f>SUM(C10:D10)</f>
        <v>1359178</v>
      </c>
    </row>
    <row r="11" spans="1:5" s="34" customFormat="1" ht="12.75">
      <c r="A11" s="819" t="s">
        <v>1835</v>
      </c>
      <c r="B11" s="813" t="s">
        <v>1368</v>
      </c>
      <c r="C11" s="816">
        <v>516142</v>
      </c>
      <c r="D11" s="814">
        <v>500841</v>
      </c>
      <c r="E11" s="11">
        <f>SUM(C11:D11)</f>
        <v>1016983</v>
      </c>
    </row>
    <row r="12" spans="1:5" s="34" customFormat="1" ht="13.5">
      <c r="A12" s="819"/>
      <c r="B12" s="820" t="s">
        <v>411</v>
      </c>
      <c r="C12" s="821">
        <f>SUM(C9:C11)</f>
        <v>8018922</v>
      </c>
      <c r="D12" s="821">
        <f>SUM(D9:D11)</f>
        <v>895666</v>
      </c>
      <c r="E12" s="821">
        <f>SUM(E9:E11)</f>
        <v>8914588</v>
      </c>
    </row>
    <row r="13" spans="1:5" s="34" customFormat="1" ht="18" customHeight="1">
      <c r="A13" s="819" t="s">
        <v>1369</v>
      </c>
      <c r="B13" s="820" t="s">
        <v>1370</v>
      </c>
      <c r="C13" s="821">
        <f>SUM(C8+C12)</f>
        <v>17924350</v>
      </c>
      <c r="D13" s="821">
        <f>SUM(D8+D12)</f>
        <v>3101615</v>
      </c>
      <c r="E13" s="821">
        <f>SUM(E8+E12)</f>
        <v>21025965</v>
      </c>
    </row>
    <row r="14" spans="1:5" s="34" customFormat="1" ht="16.5" customHeight="1">
      <c r="A14" s="819" t="s">
        <v>1371</v>
      </c>
      <c r="B14" s="820" t="s">
        <v>59</v>
      </c>
      <c r="C14" s="821">
        <v>34668</v>
      </c>
      <c r="D14" s="822">
        <v>1368977</v>
      </c>
      <c r="E14" s="821">
        <f>SUM(C14:D14)</f>
        <v>1403645</v>
      </c>
    </row>
    <row r="15" spans="1:5" s="36" customFormat="1" ht="18.75" customHeight="1">
      <c r="A15" s="823"/>
      <c r="B15" s="824" t="s">
        <v>1514</v>
      </c>
      <c r="C15" s="825">
        <f>SUM(C13:C14)</f>
        <v>17959018</v>
      </c>
      <c r="D15" s="825">
        <f>SUM(D13:D14)</f>
        <v>4470592</v>
      </c>
      <c r="E15" s="825">
        <f>SUM(E13:E14)</f>
        <v>22429610</v>
      </c>
    </row>
    <row r="16" spans="1:3" s="20" customFormat="1" ht="12.75">
      <c r="A16" s="53"/>
      <c r="B16" s="52"/>
      <c r="C16" s="52"/>
    </row>
    <row r="17" spans="1:3" s="7" customFormat="1" ht="12.75">
      <c r="A17" s="53"/>
      <c r="B17" s="53"/>
      <c r="C17" s="53"/>
    </row>
    <row r="18" spans="1:3" s="7" customFormat="1" ht="12.75">
      <c r="A18" s="53"/>
      <c r="B18" s="53"/>
      <c r="C18" s="53"/>
    </row>
    <row r="19" spans="1:3" s="7" customFormat="1" ht="12.75">
      <c r="A19" s="53"/>
      <c r="B19" s="53"/>
      <c r="C19" s="53"/>
    </row>
    <row r="20" spans="1:3" s="7" customFormat="1" ht="12.75">
      <c r="A20" s="53"/>
      <c r="B20" s="53"/>
      <c r="C20" s="53"/>
    </row>
    <row r="21" spans="1:3" s="7" customFormat="1" ht="12.75">
      <c r="A21" s="53"/>
      <c r="B21" s="53"/>
      <c r="C21" s="53"/>
    </row>
    <row r="22" spans="1:3" s="7" customFormat="1" ht="12.75">
      <c r="A22" s="53"/>
      <c r="B22" s="53"/>
      <c r="C22" s="53"/>
    </row>
    <row r="23" spans="1:3" s="7" customFormat="1" ht="12.75">
      <c r="A23" s="53"/>
      <c r="B23" s="53"/>
      <c r="C23" s="53"/>
    </row>
    <row r="24" spans="1:3" s="7" customFormat="1" ht="12.75">
      <c r="A24" s="53"/>
      <c r="B24" s="53"/>
      <c r="C24" s="53"/>
    </row>
    <row r="25" spans="1:3" s="7" customFormat="1" ht="12.75">
      <c r="A25" s="53"/>
      <c r="B25" s="53"/>
      <c r="C25" s="53"/>
    </row>
    <row r="26" spans="1:3" s="7" customFormat="1" ht="12.75">
      <c r="A26" s="54"/>
      <c r="B26" s="53"/>
      <c r="C26" s="53"/>
    </row>
    <row r="27" spans="1:3" ht="12.75">
      <c r="A27" s="54"/>
      <c r="B27" s="54"/>
      <c r="C27" s="54"/>
    </row>
    <row r="28" spans="1:3" ht="12.75">
      <c r="A28" s="54"/>
      <c r="B28" s="54"/>
      <c r="C28" s="54"/>
    </row>
    <row r="29" spans="1:3" ht="12.75">
      <c r="A29" s="54"/>
      <c r="B29" s="54"/>
      <c r="C29" s="54"/>
    </row>
    <row r="30" spans="1:3" ht="12.75">
      <c r="A30" s="54"/>
      <c r="B30" s="54"/>
      <c r="C30" s="54"/>
    </row>
    <row r="31" spans="1:3" ht="12.75">
      <c r="A31" s="54"/>
      <c r="B31" s="54"/>
      <c r="C31" s="54"/>
    </row>
    <row r="32" spans="2:3" ht="12.75">
      <c r="B32" s="54"/>
      <c r="C32" s="54"/>
    </row>
  </sheetData>
  <sheetProtection/>
  <printOptions horizontalCentered="1"/>
  <pageMargins left="0.3937007874015748" right="0.35433070866141736" top="1.3779527559055118" bottom="0.6692913385826772" header="0.7874015748031497" footer="0.5118110236220472"/>
  <pageSetup horizontalDpi="300" verticalDpi="300" orientation="landscape" paperSize="9" r:id="rId1"/>
  <headerFooter alignWithMargins="0">
    <oddHeader>&amp;C&amp;"Times New Roman CE,Félkövér dőlt"ZALAEGERSZEG MEGYEI  JOGÚ  VÁROS  ÖNKORMÁNYZATA
A  KIADÁSI  ELŐIRÁNYZATAI
ROVATONKÉNT 2014.  ÉVBEN&amp;R&amp;"Times New Roman CE,Félkövér dőlt"4. melléklet
Adatok ezer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K15" sqref="K15:M15"/>
    </sheetView>
  </sheetViews>
  <sheetFormatPr defaultColWidth="9.00390625" defaultRowHeight="12.75"/>
  <cols>
    <col min="1" max="1" width="5.375" style="29" customWidth="1"/>
    <col min="2" max="2" width="7.00390625" style="29" customWidth="1"/>
    <col min="3" max="3" width="32.00390625" style="29" customWidth="1"/>
    <col min="4" max="4" width="11.50390625" style="29" customWidth="1"/>
    <col min="5" max="5" width="14.875" style="29" customWidth="1"/>
    <col min="6" max="6" width="11.625" style="29" customWidth="1"/>
    <col min="7" max="7" width="10.375" style="29" customWidth="1"/>
    <col min="8" max="8" width="11.875" style="29" customWidth="1"/>
    <col min="9" max="9" width="12.00390625" style="29" customWidth="1"/>
    <col min="10" max="11" width="10.875" style="29" customWidth="1"/>
    <col min="12" max="12" width="12.50390625" style="29" customWidth="1"/>
    <col min="13" max="13" width="12.625" style="29" customWidth="1"/>
    <col min="14" max="14" width="15.625" style="29" customWidth="1"/>
    <col min="15" max="16384" width="9.375" style="29" customWidth="1"/>
  </cols>
  <sheetData>
    <row r="1" spans="1:14" s="30" customFormat="1" ht="42" customHeight="1">
      <c r="A1" s="1305" t="s">
        <v>600</v>
      </c>
      <c r="B1" s="1305" t="s">
        <v>601</v>
      </c>
      <c r="C1" s="1309" t="s">
        <v>46</v>
      </c>
      <c r="D1" s="1305" t="s">
        <v>61</v>
      </c>
      <c r="E1" s="1305"/>
      <c r="F1" s="1305"/>
      <c r="G1" s="1305"/>
      <c r="H1" s="1305"/>
      <c r="I1" s="1305"/>
      <c r="J1" s="1305"/>
      <c r="K1" s="1306" t="s">
        <v>990</v>
      </c>
      <c r="L1" s="1305"/>
      <c r="M1" s="1305"/>
      <c r="N1" s="1307" t="s">
        <v>49</v>
      </c>
    </row>
    <row r="2" spans="1:14" s="30" customFormat="1" ht="84.75" customHeight="1">
      <c r="A2" s="1305"/>
      <c r="B2" s="1305"/>
      <c r="C2" s="1309"/>
      <c r="D2" s="446" t="s">
        <v>436</v>
      </c>
      <c r="E2" s="446" t="s">
        <v>437</v>
      </c>
      <c r="F2" s="445" t="s">
        <v>438</v>
      </c>
      <c r="G2" s="446" t="s">
        <v>443</v>
      </c>
      <c r="H2" s="446" t="s">
        <v>444</v>
      </c>
      <c r="I2" s="446" t="s">
        <v>445</v>
      </c>
      <c r="J2" s="446" t="s">
        <v>446</v>
      </c>
      <c r="K2" s="446" t="s">
        <v>62</v>
      </c>
      <c r="L2" s="446" t="s">
        <v>63</v>
      </c>
      <c r="M2" s="446" t="s">
        <v>65</v>
      </c>
      <c r="N2" s="1308"/>
    </row>
    <row r="3" spans="1:14" ht="16.5" customHeight="1">
      <c r="A3" s="826">
        <v>1</v>
      </c>
      <c r="B3" s="827"/>
      <c r="C3" s="827" t="s">
        <v>397</v>
      </c>
      <c r="D3" s="827"/>
      <c r="E3" s="827"/>
      <c r="F3" s="827"/>
      <c r="G3" s="827"/>
      <c r="H3" s="827"/>
      <c r="I3" s="827"/>
      <c r="J3" s="827"/>
      <c r="K3" s="827"/>
      <c r="L3" s="827"/>
      <c r="M3" s="827"/>
      <c r="N3" s="827"/>
    </row>
    <row r="4" spans="1:14" ht="16.5" customHeight="1">
      <c r="A4" s="828"/>
      <c r="B4" s="828">
        <v>12</v>
      </c>
      <c r="C4" s="46" t="s">
        <v>249</v>
      </c>
      <c r="D4" s="47">
        <f>13115+'[5]11'!D7</f>
        <v>13115</v>
      </c>
      <c r="E4" s="47">
        <f>0+'[5]11'!E7</f>
        <v>0</v>
      </c>
      <c r="F4" s="47">
        <f>0+'[5]11'!F7</f>
        <v>0</v>
      </c>
      <c r="G4" s="47">
        <f>18363+'[5]11'!G7</f>
        <v>18363</v>
      </c>
      <c r="H4" s="47">
        <f>0+'[5]11'!H7</f>
        <v>0</v>
      </c>
      <c r="I4" s="47">
        <f>0+'[5]11'!I7</f>
        <v>0</v>
      </c>
      <c r="J4" s="47">
        <f>0+'[5]11'!J7</f>
        <v>0</v>
      </c>
      <c r="K4" s="47">
        <f>0+'[5]11'!K7</f>
        <v>0</v>
      </c>
      <c r="L4" s="47">
        <f>0+'[5]11'!L7</f>
        <v>0</v>
      </c>
      <c r="M4" s="47">
        <f>0+'[5]11'!M7</f>
        <v>0</v>
      </c>
      <c r="N4" s="47">
        <f aca="true" t="shared" si="0" ref="N4:N12">SUM(D4:M4)</f>
        <v>31478</v>
      </c>
    </row>
    <row r="5" spans="1:14" ht="16.5" customHeight="1">
      <c r="A5" s="828"/>
      <c r="B5" s="828">
        <v>13</v>
      </c>
      <c r="C5" s="46" t="s">
        <v>250</v>
      </c>
      <c r="D5" s="47">
        <f>49150+'[5]11'!D11</f>
        <v>49150</v>
      </c>
      <c r="E5" s="47">
        <f>200441+'[5]11'!E11</f>
        <v>200441</v>
      </c>
      <c r="F5" s="47">
        <f>0+'[5]11'!F11</f>
        <v>0</v>
      </c>
      <c r="G5" s="47">
        <f>5461+'[5]11'!G11</f>
        <v>5461</v>
      </c>
      <c r="H5" s="47">
        <f>0+'[5]11'!H11</f>
        <v>0</v>
      </c>
      <c r="I5" s="47">
        <f>4400+'[5]11'!I11</f>
        <v>4400</v>
      </c>
      <c r="J5" s="47">
        <f>0+'[5]11'!J11</f>
        <v>0</v>
      </c>
      <c r="K5" s="47">
        <f>0+'[5]11'!K11</f>
        <v>0</v>
      </c>
      <c r="L5" s="47">
        <f>0+'[5]11'!L11</f>
        <v>0</v>
      </c>
      <c r="M5" s="47">
        <f>0+'[5]11'!M11</f>
        <v>0</v>
      </c>
      <c r="N5" s="47">
        <f t="shared" si="0"/>
        <v>259452</v>
      </c>
    </row>
    <row r="6" spans="1:14" ht="16.5" customHeight="1">
      <c r="A6" s="828"/>
      <c r="B6" s="828">
        <v>15</v>
      </c>
      <c r="C6" s="46" t="s">
        <v>51</v>
      </c>
      <c r="D6" s="47">
        <f>1711+'[5]11'!D15</f>
        <v>1711</v>
      </c>
      <c r="E6" s="47">
        <f>577891+'[5]11'!E15</f>
        <v>577891</v>
      </c>
      <c r="F6" s="47">
        <f>564+'[5]11'!F15</f>
        <v>564</v>
      </c>
      <c r="G6" s="47">
        <f>669477+'[5]11'!G15</f>
        <v>681312</v>
      </c>
      <c r="H6" s="47">
        <f>0+'[5]11'!H15</f>
        <v>0</v>
      </c>
      <c r="I6" s="47">
        <f>0+'[5]11'!I15</f>
        <v>0</v>
      </c>
      <c r="J6" s="47">
        <f>4906+'[5]11'!J15</f>
        <v>4906</v>
      </c>
      <c r="K6" s="47">
        <f>0+'[5]11'!K15</f>
        <v>0</v>
      </c>
      <c r="L6" s="47">
        <f>0+'[5]11'!L15</f>
        <v>0</v>
      </c>
      <c r="M6" s="47">
        <f>0+'[5]11'!M15</f>
        <v>0</v>
      </c>
      <c r="N6" s="47">
        <f t="shared" si="0"/>
        <v>1266384</v>
      </c>
    </row>
    <row r="7" spans="1:14" ht="16.5" customHeight="1">
      <c r="A7" s="828"/>
      <c r="B7" s="828">
        <v>16</v>
      </c>
      <c r="C7" s="46" t="s">
        <v>1493</v>
      </c>
      <c r="D7" s="47">
        <f>0+'[5]11'!D18</f>
        <v>0</v>
      </c>
      <c r="E7" s="47">
        <f>4314385+'[5]11'!E18</f>
        <v>4314385</v>
      </c>
      <c r="F7" s="47">
        <f>0+'[5]11'!F18</f>
        <v>0</v>
      </c>
      <c r="G7" s="47">
        <f>3080+'[5]11'!G18</f>
        <v>3080</v>
      </c>
      <c r="H7" s="47">
        <f>0+'[5]11'!H18</f>
        <v>0</v>
      </c>
      <c r="I7" s="47">
        <f>0+'[5]11'!I18</f>
        <v>0</v>
      </c>
      <c r="J7" s="47">
        <f>220000+'[5]11'!J18</f>
        <v>220000</v>
      </c>
      <c r="K7" s="47">
        <f>0+'[5]11'!K18</f>
        <v>0</v>
      </c>
      <c r="L7" s="47">
        <f>0+'[5]11'!L18</f>
        <v>0</v>
      </c>
      <c r="M7" s="47">
        <f>0+'[5]11'!M18</f>
        <v>0</v>
      </c>
      <c r="N7" s="47">
        <f t="shared" si="0"/>
        <v>4537465</v>
      </c>
    </row>
    <row r="8" spans="1:14" ht="16.5" customHeight="1">
      <c r="A8" s="828"/>
      <c r="B8" s="828">
        <v>17</v>
      </c>
      <c r="C8" s="46" t="s">
        <v>52</v>
      </c>
      <c r="D8" s="47">
        <f>0+'[5]11'!D24</f>
        <v>0</v>
      </c>
      <c r="E8" s="47">
        <f>0+'[5]11'!E24</f>
        <v>0</v>
      </c>
      <c r="F8" s="47">
        <f>0+'[5]11'!F24</f>
        <v>0</v>
      </c>
      <c r="G8" s="47">
        <f>407669+'[5]11'!G24</f>
        <v>407669</v>
      </c>
      <c r="H8" s="47">
        <f>362607+'[5]11'!H24</f>
        <v>363807</v>
      </c>
      <c r="I8" s="47">
        <f>2500+'[5]11'!I24</f>
        <v>2500</v>
      </c>
      <c r="J8" s="47">
        <f>20000+'[5]11'!J24</f>
        <v>20000</v>
      </c>
      <c r="K8" s="47">
        <f>0+'[5]11'!K24</f>
        <v>0</v>
      </c>
      <c r="L8" s="47">
        <f>342239+'[5]11'!L24</f>
        <v>301918</v>
      </c>
      <c r="M8" s="47">
        <f>0+'[5]11'!M24</f>
        <v>40321</v>
      </c>
      <c r="N8" s="47">
        <f t="shared" si="0"/>
        <v>1136215</v>
      </c>
    </row>
    <row r="9" spans="1:14" ht="16.5" customHeight="1">
      <c r="A9" s="828"/>
      <c r="B9" s="828">
        <v>18</v>
      </c>
      <c r="C9" s="46" t="s">
        <v>389</v>
      </c>
      <c r="D9" s="47">
        <f>0+'[5]11'!D28</f>
        <v>0</v>
      </c>
      <c r="E9" s="47">
        <f>0+'[5]11'!E28</f>
        <v>0</v>
      </c>
      <c r="F9" s="47">
        <f>8000+'[5]11'!F28</f>
        <v>8000</v>
      </c>
      <c r="G9" s="47">
        <f>39510+'[5]11'!G28</f>
        <v>41115</v>
      </c>
      <c r="H9" s="47">
        <f>0+'[5]11'!H28</f>
        <v>0</v>
      </c>
      <c r="I9" s="47">
        <f>0+'[5]11'!I28</f>
        <v>0</v>
      </c>
      <c r="J9" s="47">
        <f>0+'[5]11'!J28</f>
        <v>0</v>
      </c>
      <c r="K9" s="47">
        <f>0+'[5]11'!K28</f>
        <v>0</v>
      </c>
      <c r="L9" s="47">
        <f>0+'[5]11'!L28</f>
        <v>0</v>
      </c>
      <c r="M9" s="47">
        <f>0+'[5]11'!M28</f>
        <v>0</v>
      </c>
      <c r="N9" s="47">
        <f t="shared" si="0"/>
        <v>49115</v>
      </c>
    </row>
    <row r="10" spans="1:14" ht="16.5" customHeight="1">
      <c r="A10" s="828"/>
      <c r="B10" s="828">
        <v>19</v>
      </c>
      <c r="C10" s="46" t="s">
        <v>893</v>
      </c>
      <c r="D10" s="47">
        <f>2976447+'[5]11'!D38</f>
        <v>2976448</v>
      </c>
      <c r="E10" s="47">
        <f>1181447+'[5]11'!E38</f>
        <v>1981447</v>
      </c>
      <c r="F10" s="47">
        <f>3653768+'[5]11'!F38</f>
        <v>3628768</v>
      </c>
      <c r="G10" s="47">
        <f>501770+'[5]11'!G38</f>
        <v>501770</v>
      </c>
      <c r="H10" s="47">
        <f>0+'[5]11'!H38</f>
        <v>0</v>
      </c>
      <c r="I10" s="47">
        <f>0+'[5]11'!I38</f>
        <v>0</v>
      </c>
      <c r="J10" s="47">
        <f>0+'[5]11'!J38</f>
        <v>0</v>
      </c>
      <c r="K10" s="47">
        <f>473892+'[5]11'!K38</f>
        <v>473892</v>
      </c>
      <c r="L10" s="47">
        <f>3332613+'[5]11'!L38</f>
        <v>3166756</v>
      </c>
      <c r="M10" s="47">
        <f>0+'[5]11'!M38</f>
        <v>165857</v>
      </c>
      <c r="N10" s="47">
        <f t="shared" si="0"/>
        <v>12894938</v>
      </c>
    </row>
    <row r="11" spans="1:14" ht="16.5" customHeight="1">
      <c r="A11" s="828"/>
      <c r="B11" s="828">
        <v>20</v>
      </c>
      <c r="C11" s="14" t="s">
        <v>1886</v>
      </c>
      <c r="D11" s="47">
        <f>0+'[5]11'!D41</f>
        <v>0</v>
      </c>
      <c r="E11" s="47">
        <f>0+'[5]11'!E41</f>
        <v>0</v>
      </c>
      <c r="F11" s="47">
        <f>162+'[5]11'!F41</f>
        <v>162</v>
      </c>
      <c r="G11" s="47">
        <f>0+'[5]11'!G41</f>
        <v>0</v>
      </c>
      <c r="H11" s="47">
        <f>0+'[5]11'!H41</f>
        <v>0</v>
      </c>
      <c r="I11" s="47">
        <f>0+'[5]11'!I41</f>
        <v>0</v>
      </c>
      <c r="J11" s="47">
        <f>0+'[5]11'!J41</f>
        <v>0</v>
      </c>
      <c r="K11" s="47">
        <f>0+'[5]11'!K41</f>
        <v>0</v>
      </c>
      <c r="L11" s="47">
        <f>0+'[5]11'!L41</f>
        <v>0</v>
      </c>
      <c r="M11" s="47">
        <f>0+'[5]11'!M41</f>
        <v>0</v>
      </c>
      <c r="N11" s="47">
        <f t="shared" si="0"/>
        <v>162</v>
      </c>
    </row>
    <row r="12" spans="1:14" ht="16.5" customHeight="1">
      <c r="A12" s="828"/>
      <c r="B12" s="828">
        <v>22</v>
      </c>
      <c r="C12" s="46" t="s">
        <v>1090</v>
      </c>
      <c r="D12" s="47">
        <f>7185+'[5]11'!D44</f>
        <v>7185</v>
      </c>
      <c r="E12" s="47">
        <f>0+'[5]11'!E44</f>
        <v>0</v>
      </c>
      <c r="F12" s="47">
        <f>0+'[5]11'!F44</f>
        <v>0</v>
      </c>
      <c r="G12" s="47">
        <f>2183+'[5]11'!G44</f>
        <v>2183</v>
      </c>
      <c r="H12" s="47">
        <f>180+'[5]11'!H44</f>
        <v>180</v>
      </c>
      <c r="I12" s="47">
        <f>1000+'[5]11'!I44</f>
        <v>1000</v>
      </c>
      <c r="J12" s="47">
        <f>2671+'[5]11'!J44</f>
        <v>2671</v>
      </c>
      <c r="K12" s="47">
        <f>0+'[5]11'!K44</f>
        <v>0</v>
      </c>
      <c r="L12" s="47">
        <f>0+'[5]11'!L44</f>
        <v>0</v>
      </c>
      <c r="M12" s="47">
        <f>0+'[5]11'!M44</f>
        <v>0</v>
      </c>
      <c r="N12" s="47">
        <f t="shared" si="0"/>
        <v>13219</v>
      </c>
    </row>
    <row r="13" spans="1:14" ht="27.75" customHeight="1">
      <c r="A13" s="48"/>
      <c r="B13" s="48"/>
      <c r="C13" s="147" t="s">
        <v>602</v>
      </c>
      <c r="D13" s="55">
        <f aca="true" t="shared" si="1" ref="D13:N13">SUM(D4:D12)</f>
        <v>3047609</v>
      </c>
      <c r="E13" s="55">
        <f t="shared" si="1"/>
        <v>7074164</v>
      </c>
      <c r="F13" s="55">
        <f t="shared" si="1"/>
        <v>3637494</v>
      </c>
      <c r="G13" s="55">
        <f t="shared" si="1"/>
        <v>1660953</v>
      </c>
      <c r="H13" s="55">
        <f t="shared" si="1"/>
        <v>363987</v>
      </c>
      <c r="I13" s="55">
        <f t="shared" si="1"/>
        <v>7900</v>
      </c>
      <c r="J13" s="55">
        <f t="shared" si="1"/>
        <v>247577</v>
      </c>
      <c r="K13" s="55">
        <f t="shared" si="1"/>
        <v>473892</v>
      </c>
      <c r="L13" s="55">
        <f t="shared" si="1"/>
        <v>3468674</v>
      </c>
      <c r="M13" s="55">
        <f t="shared" si="1"/>
        <v>206178</v>
      </c>
      <c r="N13" s="55">
        <f t="shared" si="1"/>
        <v>20188428</v>
      </c>
    </row>
    <row r="14" spans="1:14" ht="16.5" customHeight="1">
      <c r="A14" s="829">
        <v>2</v>
      </c>
      <c r="B14" s="829"/>
      <c r="C14" s="46" t="s">
        <v>398</v>
      </c>
      <c r="D14" s="47">
        <f>512166+'[5]táj.1.'!C20</f>
        <v>512166</v>
      </c>
      <c r="E14" s="47">
        <f>95891+'[5]táj.1.'!D20</f>
        <v>95982</v>
      </c>
      <c r="F14" s="47">
        <f>0+'[5]táj.1.'!E20</f>
        <v>0</v>
      </c>
      <c r="G14" s="47">
        <f>1198725+'[5]táj.1.'!F20</f>
        <v>1207042</v>
      </c>
      <c r="H14" s="47">
        <f>664+'[5]táj.1.'!G20</f>
        <v>664</v>
      </c>
      <c r="I14" s="47">
        <f>69565+'[5]táj.1.'!H20</f>
        <v>69565</v>
      </c>
      <c r="J14" s="47">
        <f>0+'[5]táj.1.'!I20</f>
        <v>0</v>
      </c>
      <c r="K14" s="47"/>
      <c r="L14" s="47">
        <f>355763+'[5]táj.1.'!J20</f>
        <v>355763</v>
      </c>
      <c r="M14" s="47">
        <f>0+'[5]táj.1.'!L20</f>
        <v>0</v>
      </c>
      <c r="N14" s="47">
        <f>SUM(D14:M14)</f>
        <v>2241182</v>
      </c>
    </row>
    <row r="15" spans="1:14" ht="16.5" customHeight="1">
      <c r="A15" s="48"/>
      <c r="B15" s="48"/>
      <c r="C15" s="49" t="s">
        <v>376</v>
      </c>
      <c r="D15" s="55">
        <f aca="true" t="shared" si="2" ref="D15:N15">SUM(D13:D14)</f>
        <v>3559775</v>
      </c>
      <c r="E15" s="55">
        <f t="shared" si="2"/>
        <v>7170146</v>
      </c>
      <c r="F15" s="55">
        <f t="shared" si="2"/>
        <v>3637494</v>
      </c>
      <c r="G15" s="55">
        <f t="shared" si="2"/>
        <v>2867995</v>
      </c>
      <c r="H15" s="55">
        <f t="shared" si="2"/>
        <v>364651</v>
      </c>
      <c r="I15" s="55">
        <f t="shared" si="2"/>
        <v>77465</v>
      </c>
      <c r="J15" s="55">
        <f t="shared" si="2"/>
        <v>247577</v>
      </c>
      <c r="K15" s="55">
        <f t="shared" si="2"/>
        <v>473892</v>
      </c>
      <c r="L15" s="55">
        <f t="shared" si="2"/>
        <v>3824437</v>
      </c>
      <c r="M15" s="55">
        <f t="shared" si="2"/>
        <v>206178</v>
      </c>
      <c r="N15" s="55">
        <f t="shared" si="2"/>
        <v>22429610</v>
      </c>
    </row>
    <row r="16" spans="3:12" ht="16.5" customHeight="1">
      <c r="C16" s="31"/>
      <c r="D16" s="32"/>
      <c r="E16" s="32"/>
      <c r="F16" s="32"/>
      <c r="G16" s="32"/>
      <c r="H16" s="32"/>
      <c r="I16" s="32"/>
      <c r="J16" s="32"/>
      <c r="K16" s="32"/>
      <c r="L16" s="32"/>
    </row>
    <row r="17" spans="3:11" ht="13.5" customHeight="1">
      <c r="C17" s="31"/>
      <c r="D17" s="32"/>
      <c r="E17" s="32"/>
      <c r="F17" s="32"/>
      <c r="G17" s="32"/>
      <c r="H17" s="32"/>
      <c r="I17" s="32"/>
      <c r="J17" s="32"/>
      <c r="K17" s="32"/>
    </row>
    <row r="18" spans="4:11" ht="13.5" customHeight="1">
      <c r="D18" s="32"/>
      <c r="E18" s="32"/>
      <c r="F18" s="32"/>
      <c r="G18" s="32"/>
      <c r="H18" s="32"/>
      <c r="I18" s="32"/>
      <c r="J18" s="32"/>
      <c r="K18" s="32"/>
    </row>
    <row r="19" spans="4:11" ht="13.5" customHeight="1">
      <c r="D19" s="32"/>
      <c r="E19" s="32"/>
      <c r="F19" s="32"/>
      <c r="G19" s="32"/>
      <c r="H19" s="32"/>
      <c r="I19" s="32"/>
      <c r="J19" s="32"/>
      <c r="K19" s="32"/>
    </row>
    <row r="20" spans="4:11" ht="13.5" customHeight="1">
      <c r="D20" s="32"/>
      <c r="E20" s="32"/>
      <c r="F20" s="32"/>
      <c r="G20" s="32"/>
      <c r="H20" s="32"/>
      <c r="I20" s="32"/>
      <c r="J20" s="32"/>
      <c r="K20" s="32"/>
    </row>
    <row r="21" spans="4:11" ht="13.5" customHeight="1">
      <c r="D21" s="32"/>
      <c r="E21" s="32"/>
      <c r="F21" s="32"/>
      <c r="G21" s="32"/>
      <c r="H21" s="32"/>
      <c r="I21" s="32"/>
      <c r="J21" s="32"/>
      <c r="K21" s="32"/>
    </row>
    <row r="22" spans="4:11" ht="13.5" customHeight="1">
      <c r="D22" s="32"/>
      <c r="E22" s="32"/>
      <c r="F22" s="32"/>
      <c r="G22" s="32"/>
      <c r="H22" s="32"/>
      <c r="I22" s="32"/>
      <c r="J22" s="32"/>
      <c r="K22" s="32"/>
    </row>
    <row r="23" spans="4:11" ht="13.5" customHeight="1">
      <c r="D23" s="32"/>
      <c r="E23" s="32"/>
      <c r="F23" s="32"/>
      <c r="G23" s="32"/>
      <c r="H23" s="32"/>
      <c r="I23" s="32"/>
      <c r="J23" s="32"/>
      <c r="K23" s="32"/>
    </row>
    <row r="24" spans="4:11" ht="13.5" customHeight="1">
      <c r="D24" s="32"/>
      <c r="E24" s="32"/>
      <c r="F24" s="32"/>
      <c r="G24" s="32"/>
      <c r="H24" s="32"/>
      <c r="I24" s="32"/>
      <c r="J24" s="32"/>
      <c r="K24" s="32"/>
    </row>
    <row r="25" spans="4:11" ht="13.5" customHeight="1">
      <c r="D25" s="32"/>
      <c r="E25" s="32"/>
      <c r="F25" s="32"/>
      <c r="G25" s="32"/>
      <c r="H25" s="32"/>
      <c r="I25" s="32"/>
      <c r="J25" s="32"/>
      <c r="K25" s="32"/>
    </row>
    <row r="26" ht="13.5" customHeight="1"/>
    <row r="27" ht="13.5" customHeight="1"/>
    <row r="28" ht="13.5" customHeight="1"/>
  </sheetData>
  <sheetProtection/>
  <mergeCells count="6">
    <mergeCell ref="A1:A2"/>
    <mergeCell ref="D1:J1"/>
    <mergeCell ref="K1:M1"/>
    <mergeCell ref="N1:N2"/>
    <mergeCell ref="B1:B2"/>
    <mergeCell ref="C1:C2"/>
  </mergeCells>
  <printOptions horizontalCentered="1"/>
  <pageMargins left="0.1968503937007874" right="0.1968503937007874" top="1.6141732283464567" bottom="0.984251968503937" header="0.8661417322834646" footer="0.5118110236220472"/>
  <pageSetup horizontalDpi="300" verticalDpi="300" orientation="landscape" paperSize="9" scale="90" r:id="rId1"/>
  <headerFooter alignWithMargins="0">
    <oddHeader>&amp;C&amp;"Times New Roman,Félkövér dőlt"ZALAEGERSZEG MEGYEI JOGÚ VÁROS ÖNKORMÁNYZATA
 2014. ÉVI  BEVÉTELI ELŐIRÁNYZATAI CíMENKÉNTI BONTÁSBAN &amp;R&amp;"Times New Roman,Félkövér dőlt"5. melléklet
Adatok: ezer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45"/>
  <sheetViews>
    <sheetView zoomScalePageLayoutView="0" workbookViewId="0" topLeftCell="A1">
      <pane ySplit="2" topLeftCell="BM94" activePane="bottomLeft" state="frozen"/>
      <selection pane="topLeft" activeCell="A1" sqref="A1"/>
      <selection pane="bottomLeft" activeCell="N1" sqref="N1:N2"/>
    </sheetView>
  </sheetViews>
  <sheetFormatPr defaultColWidth="9.00390625" defaultRowHeight="12.75"/>
  <cols>
    <col min="1" max="1" width="5.625" style="124" customWidth="1"/>
    <col min="2" max="2" width="6.50390625" style="124" customWidth="1"/>
    <col min="3" max="3" width="37.375" style="124" customWidth="1"/>
    <col min="4" max="4" width="13.625" style="124" customWidth="1"/>
    <col min="5" max="5" width="13.125" style="124" customWidth="1"/>
    <col min="6" max="6" width="12.375" style="124" customWidth="1"/>
    <col min="7" max="7" width="11.375" style="124" customWidth="1"/>
    <col min="8" max="8" width="13.00390625" style="124" customWidth="1"/>
    <col min="9" max="9" width="12.00390625" style="124" customWidth="1"/>
    <col min="10" max="10" width="13.125" style="124" customWidth="1"/>
    <col min="11" max="11" width="13.875" style="124" customWidth="1"/>
    <col min="12" max="12" width="11.50390625" style="124" customWidth="1"/>
    <col min="13" max="13" width="10.625" style="124" customWidth="1"/>
    <col min="14" max="14" width="13.125" style="124" customWidth="1"/>
    <col min="15" max="15" width="10.875" style="124" bestFit="1" customWidth="1"/>
    <col min="16" max="16" width="12.125" style="124" bestFit="1" customWidth="1"/>
    <col min="17" max="16384" width="9.375" style="124" customWidth="1"/>
  </cols>
  <sheetData>
    <row r="1" spans="1:14" ht="14.25" thickBot="1">
      <c r="A1" s="1291" t="s">
        <v>896</v>
      </c>
      <c r="B1" s="1293" t="s">
        <v>897</v>
      </c>
      <c r="C1" s="1310" t="s">
        <v>46</v>
      </c>
      <c r="D1" s="1300" t="s">
        <v>61</v>
      </c>
      <c r="E1" s="1301"/>
      <c r="F1" s="1301"/>
      <c r="G1" s="1301"/>
      <c r="H1" s="1301"/>
      <c r="I1" s="1301"/>
      <c r="J1" s="1296"/>
      <c r="K1" s="1297" t="s">
        <v>990</v>
      </c>
      <c r="L1" s="1298"/>
      <c r="M1" s="1298"/>
      <c r="N1" s="1310" t="s">
        <v>435</v>
      </c>
    </row>
    <row r="2" spans="1:14" s="108" customFormat="1" ht="54.75" customHeight="1" thickBot="1">
      <c r="A2" s="1292"/>
      <c r="B2" s="1294"/>
      <c r="C2" s="1299"/>
      <c r="D2" s="231" t="s">
        <v>436</v>
      </c>
      <c r="E2" s="228" t="s">
        <v>437</v>
      </c>
      <c r="F2" s="227" t="s">
        <v>438</v>
      </c>
      <c r="G2" s="229" t="s">
        <v>443</v>
      </c>
      <c r="H2" s="227" t="s">
        <v>444</v>
      </c>
      <c r="I2" s="227" t="s">
        <v>445</v>
      </c>
      <c r="J2" s="227" t="s">
        <v>446</v>
      </c>
      <c r="K2" s="227" t="s">
        <v>62</v>
      </c>
      <c r="L2" s="227" t="s">
        <v>63</v>
      </c>
      <c r="M2" s="440" t="s">
        <v>65</v>
      </c>
      <c r="N2" s="1299"/>
    </row>
    <row r="3" spans="1:14" s="108" customFormat="1" ht="12.75" customHeight="1">
      <c r="A3" s="1">
        <v>1</v>
      </c>
      <c r="B3" s="1"/>
      <c r="C3" s="232" t="s">
        <v>396</v>
      </c>
      <c r="D3" s="3"/>
      <c r="E3" s="3"/>
      <c r="F3" s="3"/>
      <c r="G3" s="3"/>
      <c r="H3" s="3"/>
      <c r="I3" s="3"/>
      <c r="J3" s="3"/>
      <c r="K3" s="3"/>
      <c r="L3" s="3"/>
      <c r="M3" s="3"/>
      <c r="N3" s="175"/>
    </row>
    <row r="4" spans="1:14" s="108" customFormat="1" ht="12.75" customHeight="1">
      <c r="A4" s="1">
        <v>1</v>
      </c>
      <c r="B4" s="1">
        <v>1</v>
      </c>
      <c r="C4" s="162" t="s">
        <v>1885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112" customFormat="1" ht="13.5" customHeight="1">
      <c r="A5" s="163">
        <v>1</v>
      </c>
      <c r="B5" s="163">
        <v>12</v>
      </c>
      <c r="C5" s="164" t="s">
        <v>249</v>
      </c>
      <c r="D5" s="165"/>
      <c r="E5" s="165"/>
      <c r="F5" s="113"/>
      <c r="G5" s="113"/>
      <c r="H5" s="113"/>
      <c r="I5" s="113"/>
      <c r="J5" s="113"/>
      <c r="K5" s="113"/>
      <c r="L5" s="113"/>
      <c r="M5" s="113"/>
      <c r="N5" s="113"/>
    </row>
    <row r="6" spans="1:14" s="112" customFormat="1" ht="24.75" customHeight="1">
      <c r="A6" s="163"/>
      <c r="B6" s="163"/>
      <c r="C6" s="316" t="s">
        <v>1553</v>
      </c>
      <c r="D6" s="165"/>
      <c r="E6" s="165"/>
      <c r="F6" s="113"/>
      <c r="G6" s="113"/>
      <c r="H6" s="113"/>
      <c r="I6" s="113"/>
      <c r="J6" s="113"/>
      <c r="K6" s="113"/>
      <c r="L6" s="113"/>
      <c r="M6" s="113"/>
      <c r="N6" s="113"/>
    </row>
    <row r="7" spans="1:14" s="112" customFormat="1" ht="16.5" customHeight="1">
      <c r="A7" s="114"/>
      <c r="B7" s="114"/>
      <c r="C7" s="180" t="s">
        <v>1091</v>
      </c>
      <c r="D7" s="115"/>
      <c r="E7" s="115"/>
      <c r="F7" s="113"/>
      <c r="G7" s="113">
        <v>12325</v>
      </c>
      <c r="H7" s="113"/>
      <c r="I7" s="113"/>
      <c r="J7" s="113"/>
      <c r="K7" s="113"/>
      <c r="L7" s="113"/>
      <c r="M7" s="113"/>
      <c r="N7" s="113">
        <f>SUM(G7:M7)</f>
        <v>12325</v>
      </c>
    </row>
    <row r="8" spans="1:14" s="112" customFormat="1" ht="13.5" customHeight="1">
      <c r="A8" s="110"/>
      <c r="B8" s="110"/>
      <c r="C8" s="73" t="s">
        <v>256</v>
      </c>
      <c r="D8" s="111">
        <f>SUM(D5:D7)</f>
        <v>0</v>
      </c>
      <c r="E8" s="111">
        <f aca="true" t="shared" si="0" ref="E8:J8">SUM(E5:E7)</f>
        <v>0</v>
      </c>
      <c r="F8" s="111">
        <f t="shared" si="0"/>
        <v>0</v>
      </c>
      <c r="G8" s="111">
        <f t="shared" si="0"/>
        <v>12325</v>
      </c>
      <c r="H8" s="111">
        <f t="shared" si="0"/>
        <v>0</v>
      </c>
      <c r="I8" s="111">
        <f t="shared" si="0"/>
        <v>0</v>
      </c>
      <c r="J8" s="111">
        <f t="shared" si="0"/>
        <v>0</v>
      </c>
      <c r="K8" s="111"/>
      <c r="L8" s="111"/>
      <c r="M8" s="111">
        <f>SUM(M7:M7)</f>
        <v>0</v>
      </c>
      <c r="N8" s="111">
        <f>SUM(N7:N7)</f>
        <v>12325</v>
      </c>
    </row>
    <row r="9" spans="1:14" s="112" customFormat="1" ht="13.5" customHeight="1">
      <c r="A9" s="116">
        <v>1</v>
      </c>
      <c r="B9" s="116">
        <v>13</v>
      </c>
      <c r="C9" s="164" t="s">
        <v>250</v>
      </c>
      <c r="D9" s="182"/>
      <c r="E9" s="117"/>
      <c r="F9" s="117"/>
      <c r="G9" s="117"/>
      <c r="H9" s="117"/>
      <c r="I9" s="117"/>
      <c r="J9" s="117"/>
      <c r="K9" s="117"/>
      <c r="L9" s="117"/>
      <c r="M9" s="117"/>
      <c r="N9" s="117"/>
    </row>
    <row r="10" spans="1:14" s="112" customFormat="1" ht="13.5" customHeight="1">
      <c r="A10" s="116"/>
      <c r="B10" s="116"/>
      <c r="C10" s="5" t="s">
        <v>1558</v>
      </c>
      <c r="D10" s="115"/>
      <c r="E10" s="115"/>
      <c r="F10" s="113"/>
      <c r="G10" s="113"/>
      <c r="H10" s="113"/>
      <c r="I10" s="113"/>
      <c r="J10" s="113"/>
      <c r="K10" s="113"/>
      <c r="L10" s="113"/>
      <c r="M10" s="113"/>
      <c r="N10" s="113"/>
    </row>
    <row r="11" spans="1:14" s="112" customFormat="1" ht="24.75" customHeight="1">
      <c r="A11" s="116"/>
      <c r="B11" s="116"/>
      <c r="C11" s="160" t="s">
        <v>405</v>
      </c>
      <c r="D11" s="115">
        <v>19516</v>
      </c>
      <c r="E11" s="115"/>
      <c r="F11" s="113"/>
      <c r="G11" s="113"/>
      <c r="H11" s="113"/>
      <c r="I11" s="113"/>
      <c r="J11" s="113"/>
      <c r="K11" s="113"/>
      <c r="L11" s="113"/>
      <c r="M11" s="113"/>
      <c r="N11" s="113">
        <f>SUM(D11:M11)</f>
        <v>19516</v>
      </c>
    </row>
    <row r="12" spans="1:14" s="112" customFormat="1" ht="24.75" customHeight="1">
      <c r="A12" s="116"/>
      <c r="B12" s="116"/>
      <c r="C12" s="166" t="s">
        <v>1805</v>
      </c>
      <c r="D12" s="115"/>
      <c r="E12" s="115"/>
      <c r="F12" s="113"/>
      <c r="G12" s="113"/>
      <c r="H12" s="113"/>
      <c r="I12" s="113"/>
      <c r="J12" s="113"/>
      <c r="K12" s="113"/>
      <c r="L12" s="113"/>
      <c r="M12" s="113"/>
      <c r="N12" s="161"/>
    </row>
    <row r="13" spans="1:14" s="112" customFormat="1" ht="24.75" customHeight="1">
      <c r="A13" s="116"/>
      <c r="B13" s="116"/>
      <c r="C13" s="166" t="s">
        <v>402</v>
      </c>
      <c r="D13" s="115"/>
      <c r="E13" s="115"/>
      <c r="F13" s="113"/>
      <c r="G13" s="113">
        <v>5461</v>
      </c>
      <c r="H13" s="113"/>
      <c r="I13" s="113"/>
      <c r="J13" s="113"/>
      <c r="K13" s="113"/>
      <c r="L13" s="113"/>
      <c r="M13" s="113"/>
      <c r="N13" s="113">
        <f>SUM(D13:M13)</f>
        <v>5461</v>
      </c>
    </row>
    <row r="14" spans="1:14" s="112" customFormat="1" ht="38.25" customHeight="1">
      <c r="A14" s="116"/>
      <c r="B14" s="116"/>
      <c r="C14" s="364" t="s">
        <v>1806</v>
      </c>
      <c r="D14" s="312"/>
      <c r="E14" s="115"/>
      <c r="F14" s="115"/>
      <c r="G14" s="115"/>
      <c r="H14" s="115"/>
      <c r="I14" s="115"/>
      <c r="J14" s="115"/>
      <c r="K14" s="115"/>
      <c r="L14" s="115"/>
      <c r="M14" s="115"/>
      <c r="N14" s="113">
        <f>SUM(D14:M14)</f>
        <v>0</v>
      </c>
    </row>
    <row r="15" spans="1:14" s="112" customFormat="1" ht="24.75" customHeight="1">
      <c r="A15" s="116"/>
      <c r="B15" s="116"/>
      <c r="C15" s="268" t="s">
        <v>101</v>
      </c>
      <c r="D15" s="329">
        <v>17719</v>
      </c>
      <c r="E15" s="115"/>
      <c r="F15" s="115"/>
      <c r="G15" s="115"/>
      <c r="H15" s="115"/>
      <c r="I15" s="115"/>
      <c r="J15" s="115"/>
      <c r="K15" s="115"/>
      <c r="L15" s="115"/>
      <c r="M15" s="115"/>
      <c r="N15" s="113">
        <f>SUM(D15:M15)</f>
        <v>17719</v>
      </c>
    </row>
    <row r="16" spans="1:14" s="112" customFormat="1" ht="24.75" customHeight="1">
      <c r="A16" s="116"/>
      <c r="B16" s="116"/>
      <c r="C16" s="166" t="s">
        <v>1807</v>
      </c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3">
        <f>SUM(D16:M16)</f>
        <v>0</v>
      </c>
    </row>
    <row r="17" spans="1:14" s="112" customFormat="1" ht="49.5" customHeight="1">
      <c r="A17" s="116"/>
      <c r="B17" s="116"/>
      <c r="C17" s="187" t="s">
        <v>1506</v>
      </c>
      <c r="D17" s="115"/>
      <c r="E17" s="115">
        <v>200441</v>
      </c>
      <c r="F17" s="115"/>
      <c r="G17" s="115"/>
      <c r="H17" s="115"/>
      <c r="I17" s="115"/>
      <c r="J17" s="115"/>
      <c r="K17" s="115"/>
      <c r="L17" s="115"/>
      <c r="M17" s="115"/>
      <c r="N17" s="115">
        <f>SUM(D17:M17)</f>
        <v>200441</v>
      </c>
    </row>
    <row r="18" spans="1:14" s="112" customFormat="1" ht="13.5" customHeight="1">
      <c r="A18" s="110"/>
      <c r="B18" s="110"/>
      <c r="C18" s="73" t="s">
        <v>252</v>
      </c>
      <c r="D18" s="167">
        <f aca="true" t="shared" si="1" ref="D18:N18">SUM(D11:D17)</f>
        <v>37235</v>
      </c>
      <c r="E18" s="167">
        <f t="shared" si="1"/>
        <v>200441</v>
      </c>
      <c r="F18" s="167">
        <f t="shared" si="1"/>
        <v>0</v>
      </c>
      <c r="G18" s="167">
        <f t="shared" si="1"/>
        <v>5461</v>
      </c>
      <c r="H18" s="167">
        <f t="shared" si="1"/>
        <v>0</v>
      </c>
      <c r="I18" s="167">
        <f t="shared" si="1"/>
        <v>0</v>
      </c>
      <c r="J18" s="167">
        <f t="shared" si="1"/>
        <v>0</v>
      </c>
      <c r="K18" s="167"/>
      <c r="L18" s="167"/>
      <c r="M18" s="167">
        <f t="shared" si="1"/>
        <v>0</v>
      </c>
      <c r="N18" s="167">
        <f t="shared" si="1"/>
        <v>243137</v>
      </c>
    </row>
    <row r="19" spans="1:14" s="108" customFormat="1" ht="13.5" customHeight="1">
      <c r="A19" s="1">
        <v>1</v>
      </c>
      <c r="B19" s="1">
        <v>15</v>
      </c>
      <c r="C19" s="162" t="s">
        <v>51</v>
      </c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</row>
    <row r="20" spans="1:14" s="108" customFormat="1" ht="24.75" customHeight="1">
      <c r="A20" s="1"/>
      <c r="B20" s="1"/>
      <c r="C20" s="313" t="s">
        <v>1428</v>
      </c>
      <c r="D20" s="183"/>
      <c r="E20" s="109"/>
      <c r="F20" s="109"/>
      <c r="G20" s="109"/>
      <c r="H20" s="109"/>
      <c r="I20" s="109"/>
      <c r="J20" s="109"/>
      <c r="K20" s="109"/>
      <c r="L20" s="109"/>
      <c r="M20" s="109"/>
      <c r="N20" s="109"/>
    </row>
    <row r="21" spans="1:14" s="108" customFormat="1" ht="24.75" customHeight="1">
      <c r="A21" s="1"/>
      <c r="B21" s="1"/>
      <c r="C21" s="57" t="s">
        <v>1099</v>
      </c>
      <c r="D21" s="109"/>
      <c r="E21" s="109"/>
      <c r="F21" s="109"/>
      <c r="G21" s="109">
        <v>32947</v>
      </c>
      <c r="H21" s="109"/>
      <c r="I21" s="109"/>
      <c r="J21" s="109"/>
      <c r="K21" s="109"/>
      <c r="L21" s="109"/>
      <c r="M21" s="109"/>
      <c r="N21" s="109">
        <f>SUM(D21:M21)</f>
        <v>32947</v>
      </c>
    </row>
    <row r="22" spans="1:14" s="108" customFormat="1" ht="12.75" customHeight="1">
      <c r="A22" s="1"/>
      <c r="B22" s="1"/>
      <c r="C22" s="168" t="s">
        <v>38</v>
      </c>
      <c r="D22" s="109"/>
      <c r="E22" s="109"/>
      <c r="F22" s="109"/>
      <c r="G22" s="109">
        <v>194406</v>
      </c>
      <c r="H22" s="109"/>
      <c r="I22" s="109"/>
      <c r="J22" s="109"/>
      <c r="K22" s="109"/>
      <c r="L22" s="109"/>
      <c r="M22" s="109"/>
      <c r="N22" s="109">
        <f>SUM(D22:M22)</f>
        <v>194406</v>
      </c>
    </row>
    <row r="23" spans="1:14" s="108" customFormat="1" ht="12.75" customHeight="1">
      <c r="A23" s="1"/>
      <c r="B23" s="1"/>
      <c r="C23" s="168" t="s">
        <v>1705</v>
      </c>
      <c r="D23" s="109"/>
      <c r="E23" s="109"/>
      <c r="F23" s="109"/>
      <c r="G23" s="109">
        <v>1334</v>
      </c>
      <c r="H23" s="109"/>
      <c r="I23" s="109"/>
      <c r="J23" s="109"/>
      <c r="K23" s="109"/>
      <c r="L23" s="109"/>
      <c r="M23" s="109"/>
      <c r="N23" s="109">
        <f>SUM(D23:M23)</f>
        <v>1334</v>
      </c>
    </row>
    <row r="24" spans="1:14" s="108" customFormat="1" ht="12.75" customHeight="1">
      <c r="A24" s="1"/>
      <c r="B24" s="1"/>
      <c r="C24" s="314" t="s">
        <v>1696</v>
      </c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</row>
    <row r="25" spans="1:14" s="108" customFormat="1" ht="12.75" customHeight="1">
      <c r="A25" s="1"/>
      <c r="B25" s="1"/>
      <c r="C25" s="168" t="s">
        <v>1404</v>
      </c>
      <c r="D25" s="109"/>
      <c r="E25" s="109"/>
      <c r="F25" s="109"/>
      <c r="G25" s="109">
        <v>10160</v>
      </c>
      <c r="H25" s="109"/>
      <c r="I25" s="109"/>
      <c r="J25" s="109"/>
      <c r="K25" s="109"/>
      <c r="L25" s="109"/>
      <c r="M25" s="109"/>
      <c r="N25" s="109">
        <f>SUM(D25:M25)</f>
        <v>10160</v>
      </c>
    </row>
    <row r="26" spans="1:14" s="108" customFormat="1" ht="24.75" customHeight="1">
      <c r="A26" s="1"/>
      <c r="B26" s="1"/>
      <c r="C26" s="170" t="s">
        <v>1698</v>
      </c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</row>
    <row r="27" spans="1:15" s="108" customFormat="1" ht="24.75" customHeight="1">
      <c r="A27" s="1"/>
      <c r="B27" s="1"/>
      <c r="C27" s="170" t="s">
        <v>118</v>
      </c>
      <c r="D27" s="109"/>
      <c r="E27" s="113">
        <v>15000</v>
      </c>
      <c r="F27" s="109"/>
      <c r="G27" s="109"/>
      <c r="H27" s="109"/>
      <c r="I27" s="109"/>
      <c r="J27" s="109"/>
      <c r="K27" s="109"/>
      <c r="L27" s="109"/>
      <c r="M27" s="109"/>
      <c r="N27" s="109">
        <f>SUM(D27:M27)</f>
        <v>15000</v>
      </c>
      <c r="O27" s="130"/>
    </row>
    <row r="28" spans="1:15" s="108" customFormat="1" ht="24.75" customHeight="1">
      <c r="A28" s="1"/>
      <c r="B28" s="1"/>
      <c r="C28" s="318" t="s">
        <v>1424</v>
      </c>
      <c r="D28" s="109"/>
      <c r="E28" s="113"/>
      <c r="F28" s="109"/>
      <c r="G28" s="109"/>
      <c r="H28" s="109"/>
      <c r="I28" s="109"/>
      <c r="J28" s="109"/>
      <c r="K28" s="109"/>
      <c r="L28" s="109"/>
      <c r="M28" s="109"/>
      <c r="N28" s="109"/>
      <c r="O28" s="130"/>
    </row>
    <row r="29" spans="1:15" s="108" customFormat="1" ht="36" customHeight="1">
      <c r="A29" s="1"/>
      <c r="B29" s="1"/>
      <c r="C29" s="246" t="s">
        <v>1422</v>
      </c>
      <c r="D29" s="109"/>
      <c r="E29" s="113">
        <v>355893</v>
      </c>
      <c r="F29" s="109"/>
      <c r="G29" s="109"/>
      <c r="H29" s="109"/>
      <c r="I29" s="109"/>
      <c r="J29" s="109"/>
      <c r="K29" s="109"/>
      <c r="L29" s="109"/>
      <c r="M29" s="109"/>
      <c r="N29" s="109">
        <f>SUM(D29:M29)</f>
        <v>355893</v>
      </c>
      <c r="O29" s="130"/>
    </row>
    <row r="30" spans="1:14" s="108" customFormat="1" ht="24.75" customHeight="1">
      <c r="A30" s="1"/>
      <c r="B30" s="1"/>
      <c r="C30" s="57" t="s">
        <v>1470</v>
      </c>
      <c r="D30" s="118"/>
      <c r="E30" s="118"/>
      <c r="F30" s="109"/>
      <c r="G30" s="113"/>
      <c r="H30" s="113"/>
      <c r="I30" s="113"/>
      <c r="J30" s="113"/>
      <c r="K30" s="113"/>
      <c r="L30" s="113"/>
      <c r="M30" s="113"/>
      <c r="N30" s="109"/>
    </row>
    <row r="31" spans="1:14" s="108" customFormat="1" ht="24.75" customHeight="1">
      <c r="A31" s="1"/>
      <c r="B31" s="1"/>
      <c r="C31" s="160" t="s">
        <v>126</v>
      </c>
      <c r="D31" s="171"/>
      <c r="E31" s="118"/>
      <c r="F31" s="109"/>
      <c r="G31" s="113">
        <v>179358</v>
      </c>
      <c r="H31" s="113"/>
      <c r="I31" s="113"/>
      <c r="J31" s="113"/>
      <c r="K31" s="113"/>
      <c r="L31" s="113"/>
      <c r="M31" s="113"/>
      <c r="N31" s="109">
        <f>SUM(D31:M31)</f>
        <v>179358</v>
      </c>
    </row>
    <row r="32" spans="1:14" s="108" customFormat="1" ht="12.75" customHeight="1">
      <c r="A32" s="110"/>
      <c r="B32" s="110"/>
      <c r="C32" s="172" t="s">
        <v>1674</v>
      </c>
      <c r="D32" s="111">
        <f aca="true" t="shared" si="2" ref="D32:J32">SUM(D20:D31)</f>
        <v>0</v>
      </c>
      <c r="E32" s="111">
        <f t="shared" si="2"/>
        <v>370893</v>
      </c>
      <c r="F32" s="111">
        <f t="shared" si="2"/>
        <v>0</v>
      </c>
      <c r="G32" s="111">
        <f t="shared" si="2"/>
        <v>418205</v>
      </c>
      <c r="H32" s="111">
        <f t="shared" si="2"/>
        <v>0</v>
      </c>
      <c r="I32" s="111">
        <f t="shared" si="2"/>
        <v>0</v>
      </c>
      <c r="J32" s="111">
        <f t="shared" si="2"/>
        <v>0</v>
      </c>
      <c r="K32" s="111"/>
      <c r="L32" s="111"/>
      <c r="M32" s="111">
        <f>SUM(M20:M31)</f>
        <v>0</v>
      </c>
      <c r="N32" s="111">
        <f>SUM(N20:N31)</f>
        <v>789098</v>
      </c>
    </row>
    <row r="33" spans="1:14" s="108" customFormat="1" ht="12.75" customHeight="1">
      <c r="A33" s="1">
        <v>1</v>
      </c>
      <c r="B33" s="1" t="s">
        <v>871</v>
      </c>
      <c r="C33" s="162" t="s">
        <v>1493</v>
      </c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</row>
    <row r="34" spans="1:14" s="108" customFormat="1" ht="27" customHeight="1">
      <c r="A34" s="1"/>
      <c r="B34" s="1"/>
      <c r="C34" s="145" t="s">
        <v>1699</v>
      </c>
      <c r="D34" s="184"/>
      <c r="E34" s="109"/>
      <c r="F34" s="109"/>
      <c r="G34" s="109"/>
      <c r="H34" s="109"/>
      <c r="I34" s="109"/>
      <c r="J34" s="109"/>
      <c r="K34" s="109"/>
      <c r="L34" s="109"/>
      <c r="M34" s="109"/>
      <c r="N34" s="109"/>
    </row>
    <row r="35" spans="1:14" s="108" customFormat="1" ht="15" customHeight="1">
      <c r="A35" s="1"/>
      <c r="B35" s="1"/>
      <c r="C35" s="5" t="s">
        <v>429</v>
      </c>
      <c r="D35" s="118"/>
      <c r="E35" s="118"/>
      <c r="F35" s="109"/>
      <c r="G35" s="109"/>
      <c r="H35" s="109"/>
      <c r="I35" s="109"/>
      <c r="J35" s="109">
        <v>100000</v>
      </c>
      <c r="K35" s="109"/>
      <c r="L35" s="109"/>
      <c r="M35" s="109"/>
      <c r="N35" s="109">
        <f aca="true" t="shared" si="3" ref="N35:N40">SUM(D35:M35)</f>
        <v>100000</v>
      </c>
    </row>
    <row r="36" spans="1:14" s="108" customFormat="1" ht="24.75" customHeight="1">
      <c r="A36" s="1"/>
      <c r="B36" s="1"/>
      <c r="C36" s="5" t="s">
        <v>1708</v>
      </c>
      <c r="D36" s="118"/>
      <c r="E36" s="118"/>
      <c r="F36" s="109"/>
      <c r="G36" s="109"/>
      <c r="H36" s="109"/>
      <c r="I36" s="109"/>
      <c r="J36" s="109">
        <v>100000</v>
      </c>
      <c r="K36" s="109"/>
      <c r="L36" s="109"/>
      <c r="M36" s="109"/>
      <c r="N36" s="109">
        <f t="shared" si="3"/>
        <v>100000</v>
      </c>
    </row>
    <row r="37" spans="1:14" s="108" customFormat="1" ht="15" customHeight="1">
      <c r="A37" s="1"/>
      <c r="B37" s="1"/>
      <c r="C37" s="3" t="s">
        <v>1700</v>
      </c>
      <c r="D37" s="109"/>
      <c r="E37" s="109"/>
      <c r="F37" s="109"/>
      <c r="G37" s="113"/>
      <c r="H37" s="113"/>
      <c r="I37" s="113"/>
      <c r="J37" s="113"/>
      <c r="K37" s="113"/>
      <c r="L37" s="113"/>
      <c r="M37" s="113"/>
      <c r="N37" s="109">
        <f t="shared" si="3"/>
        <v>0</v>
      </c>
    </row>
    <row r="38" spans="1:14" s="108" customFormat="1" ht="36" customHeight="1">
      <c r="A38" s="1"/>
      <c r="B38" s="1"/>
      <c r="C38" s="242" t="s">
        <v>698</v>
      </c>
      <c r="D38" s="109"/>
      <c r="E38" s="109">
        <v>261239</v>
      </c>
      <c r="F38" s="109"/>
      <c r="G38" s="113"/>
      <c r="H38" s="113"/>
      <c r="I38" s="113"/>
      <c r="J38" s="113"/>
      <c r="K38" s="113"/>
      <c r="L38" s="113"/>
      <c r="M38" s="113"/>
      <c r="N38" s="109">
        <f t="shared" si="3"/>
        <v>261239</v>
      </c>
    </row>
    <row r="39" spans="1:14" s="108" customFormat="1" ht="36" customHeight="1">
      <c r="A39" s="1"/>
      <c r="B39" s="1"/>
      <c r="C39" s="242" t="s">
        <v>699</v>
      </c>
      <c r="D39" s="109"/>
      <c r="E39" s="109">
        <v>342265</v>
      </c>
      <c r="F39" s="109"/>
      <c r="G39" s="113"/>
      <c r="H39" s="113"/>
      <c r="I39" s="113"/>
      <c r="J39" s="113"/>
      <c r="K39" s="113"/>
      <c r="L39" s="113"/>
      <c r="M39" s="113"/>
      <c r="N39" s="109">
        <f t="shared" si="3"/>
        <v>342265</v>
      </c>
    </row>
    <row r="40" spans="1:14" s="108" customFormat="1" ht="36" customHeight="1">
      <c r="A40" s="1"/>
      <c r="B40" s="1"/>
      <c r="C40" s="243" t="s">
        <v>700</v>
      </c>
      <c r="D40" s="109"/>
      <c r="E40" s="109">
        <v>282579</v>
      </c>
      <c r="F40" s="109"/>
      <c r="G40" s="113"/>
      <c r="H40" s="113"/>
      <c r="I40" s="113"/>
      <c r="J40" s="113"/>
      <c r="K40" s="113"/>
      <c r="L40" s="113"/>
      <c r="M40" s="113"/>
      <c r="N40" s="109">
        <f t="shared" si="3"/>
        <v>282579</v>
      </c>
    </row>
    <row r="41" spans="1:14" s="108" customFormat="1" ht="36" customHeight="1">
      <c r="A41" s="1"/>
      <c r="B41" s="1"/>
      <c r="C41" s="145" t="s">
        <v>1425</v>
      </c>
      <c r="D41" s="109"/>
      <c r="E41" s="109"/>
      <c r="F41" s="109"/>
      <c r="G41" s="113"/>
      <c r="H41" s="113"/>
      <c r="I41" s="113"/>
      <c r="J41" s="113"/>
      <c r="K41" s="113"/>
      <c r="L41" s="113"/>
      <c r="M41" s="113"/>
      <c r="N41" s="109"/>
    </row>
    <row r="42" spans="1:14" s="108" customFormat="1" ht="49.5" customHeight="1">
      <c r="A42" s="1"/>
      <c r="B42" s="1"/>
      <c r="C42" s="243" t="s">
        <v>706</v>
      </c>
      <c r="D42" s="109"/>
      <c r="E42" s="109">
        <v>754396</v>
      </c>
      <c r="F42" s="109"/>
      <c r="G42" s="113"/>
      <c r="H42" s="113"/>
      <c r="I42" s="113"/>
      <c r="J42" s="113"/>
      <c r="K42" s="113"/>
      <c r="L42" s="113"/>
      <c r="M42" s="113"/>
      <c r="N42" s="109">
        <f aca="true" t="shared" si="4" ref="N42:N48">SUM(D42:M42)</f>
        <v>754396</v>
      </c>
    </row>
    <row r="43" spans="1:14" s="108" customFormat="1" ht="24.75" customHeight="1">
      <c r="A43" s="1"/>
      <c r="B43" s="1"/>
      <c r="C43" s="297" t="s">
        <v>1563</v>
      </c>
      <c r="D43" s="319"/>
      <c r="E43" s="109"/>
      <c r="F43" s="109"/>
      <c r="G43" s="113"/>
      <c r="H43" s="113"/>
      <c r="I43" s="113"/>
      <c r="J43" s="113"/>
      <c r="K43" s="113"/>
      <c r="L43" s="113"/>
      <c r="M43" s="113"/>
      <c r="N43" s="109">
        <f t="shared" si="4"/>
        <v>0</v>
      </c>
    </row>
    <row r="44" spans="1:14" s="108" customFormat="1" ht="24.75" customHeight="1">
      <c r="A44" s="1"/>
      <c r="B44" s="1"/>
      <c r="C44" s="267" t="s">
        <v>219</v>
      </c>
      <c r="D44" s="109"/>
      <c r="E44" s="109">
        <v>500000</v>
      </c>
      <c r="F44" s="109"/>
      <c r="G44" s="113"/>
      <c r="H44" s="113"/>
      <c r="I44" s="113"/>
      <c r="J44" s="113"/>
      <c r="K44" s="113"/>
      <c r="L44" s="113"/>
      <c r="M44" s="113"/>
      <c r="N44" s="109">
        <f t="shared" si="4"/>
        <v>500000</v>
      </c>
    </row>
    <row r="45" spans="1:14" s="108" customFormat="1" ht="24.75" customHeight="1">
      <c r="A45" s="1"/>
      <c r="B45" s="1"/>
      <c r="C45" s="169" t="s">
        <v>1697</v>
      </c>
      <c r="D45" s="109"/>
      <c r="E45" s="109"/>
      <c r="F45" s="109"/>
      <c r="G45" s="113"/>
      <c r="H45" s="113"/>
      <c r="I45" s="113"/>
      <c r="J45" s="113"/>
      <c r="K45" s="113"/>
      <c r="L45" s="113"/>
      <c r="M45" s="113"/>
      <c r="N45" s="109">
        <f t="shared" si="4"/>
        <v>0</v>
      </c>
    </row>
    <row r="46" spans="1:14" s="108" customFormat="1" ht="49.5" customHeight="1">
      <c r="A46" s="1"/>
      <c r="B46" s="1"/>
      <c r="C46" s="244" t="s">
        <v>1863</v>
      </c>
      <c r="D46" s="109"/>
      <c r="E46" s="109">
        <v>29770</v>
      </c>
      <c r="F46" s="109"/>
      <c r="G46" s="113"/>
      <c r="H46" s="113"/>
      <c r="I46" s="113"/>
      <c r="J46" s="113"/>
      <c r="K46" s="113"/>
      <c r="L46" s="113"/>
      <c r="M46" s="113"/>
      <c r="N46" s="109">
        <f t="shared" si="4"/>
        <v>29770</v>
      </c>
    </row>
    <row r="47" spans="1:14" s="108" customFormat="1" ht="49.5" customHeight="1">
      <c r="A47" s="1"/>
      <c r="B47" s="1"/>
      <c r="C47" s="245" t="s">
        <v>1864</v>
      </c>
      <c r="D47" s="109"/>
      <c r="E47" s="109">
        <v>482483</v>
      </c>
      <c r="F47" s="109"/>
      <c r="G47" s="113"/>
      <c r="H47" s="113"/>
      <c r="I47" s="113"/>
      <c r="J47" s="113"/>
      <c r="K47" s="113"/>
      <c r="L47" s="113"/>
      <c r="M47" s="113"/>
      <c r="N47" s="109">
        <f t="shared" si="4"/>
        <v>482483</v>
      </c>
    </row>
    <row r="48" spans="1:14" s="108" customFormat="1" ht="37.5" customHeight="1">
      <c r="A48" s="1"/>
      <c r="B48" s="1"/>
      <c r="C48" s="242" t="s">
        <v>235</v>
      </c>
      <c r="D48" s="109"/>
      <c r="E48" s="109">
        <v>241925</v>
      </c>
      <c r="F48" s="109"/>
      <c r="G48" s="113"/>
      <c r="H48" s="113"/>
      <c r="I48" s="113"/>
      <c r="J48" s="113"/>
      <c r="K48" s="113"/>
      <c r="L48" s="113"/>
      <c r="M48" s="113"/>
      <c r="N48" s="109">
        <f t="shared" si="4"/>
        <v>241925</v>
      </c>
    </row>
    <row r="49" spans="1:14" s="108" customFormat="1" ht="15" customHeight="1">
      <c r="A49" s="1"/>
      <c r="B49" s="1"/>
      <c r="C49" s="80" t="s">
        <v>1430</v>
      </c>
      <c r="D49" s="294"/>
      <c r="E49" s="118"/>
      <c r="F49" s="109"/>
      <c r="G49" s="113"/>
      <c r="H49" s="113"/>
      <c r="I49" s="113"/>
      <c r="J49" s="113"/>
      <c r="K49" s="113"/>
      <c r="L49" s="113"/>
      <c r="M49" s="113"/>
      <c r="N49" s="109"/>
    </row>
    <row r="50" spans="1:14" s="108" customFormat="1" ht="39.75" customHeight="1">
      <c r="A50" s="1"/>
      <c r="B50" s="1"/>
      <c r="C50" s="203" t="s">
        <v>1714</v>
      </c>
      <c r="D50" s="118"/>
      <c r="E50" s="118">
        <v>491005</v>
      </c>
      <c r="F50" s="109"/>
      <c r="G50" s="113"/>
      <c r="H50" s="113"/>
      <c r="I50" s="113"/>
      <c r="J50" s="113"/>
      <c r="K50" s="113"/>
      <c r="L50" s="113"/>
      <c r="M50" s="113"/>
      <c r="N50" s="109">
        <f>SUM(D50:M50)</f>
        <v>491005</v>
      </c>
    </row>
    <row r="51" spans="1:14" s="108" customFormat="1" ht="39.75" customHeight="1">
      <c r="A51" s="1"/>
      <c r="B51" s="1"/>
      <c r="C51" s="203" t="s">
        <v>1715</v>
      </c>
      <c r="D51" s="118"/>
      <c r="E51" s="118">
        <v>494387</v>
      </c>
      <c r="F51" s="109"/>
      <c r="G51" s="113"/>
      <c r="H51" s="113"/>
      <c r="I51" s="113"/>
      <c r="J51" s="113"/>
      <c r="K51" s="113"/>
      <c r="L51" s="113"/>
      <c r="M51" s="113"/>
      <c r="N51" s="109">
        <f>SUM(D51:M51)</f>
        <v>494387</v>
      </c>
    </row>
    <row r="52" spans="1:14" s="108" customFormat="1" ht="24.75" customHeight="1">
      <c r="A52" s="1"/>
      <c r="B52" s="1"/>
      <c r="C52" s="169" t="s">
        <v>1697</v>
      </c>
      <c r="D52" s="118"/>
      <c r="E52" s="118"/>
      <c r="F52" s="109"/>
      <c r="G52" s="113"/>
      <c r="H52" s="113"/>
      <c r="I52" s="113"/>
      <c r="J52" s="113"/>
      <c r="K52" s="113"/>
      <c r="L52" s="113"/>
      <c r="M52" s="113"/>
      <c r="N52" s="109"/>
    </row>
    <row r="53" spans="1:15" s="108" customFormat="1" ht="40.5" customHeight="1">
      <c r="A53" s="1"/>
      <c r="B53" s="1"/>
      <c r="C53" s="432" t="s">
        <v>480</v>
      </c>
      <c r="D53" s="118"/>
      <c r="E53" s="118">
        <v>100891</v>
      </c>
      <c r="F53" s="109"/>
      <c r="G53" s="113">
        <v>5695</v>
      </c>
      <c r="H53" s="113"/>
      <c r="I53" s="113"/>
      <c r="J53" s="113"/>
      <c r="K53" s="113"/>
      <c r="L53" s="113"/>
      <c r="M53" s="113"/>
      <c r="N53" s="109">
        <f>SUM(D53:M53)</f>
        <v>106586</v>
      </c>
      <c r="O53" s="238"/>
    </row>
    <row r="54" spans="1:14" s="108" customFormat="1" ht="12.75" customHeight="1">
      <c r="A54" s="110"/>
      <c r="B54" s="110"/>
      <c r="C54" s="4" t="s">
        <v>986</v>
      </c>
      <c r="D54" s="111">
        <f aca="true" t="shared" si="5" ref="D54:N54">SUM(D34:D53)</f>
        <v>0</v>
      </c>
      <c r="E54" s="111">
        <f t="shared" si="5"/>
        <v>3980940</v>
      </c>
      <c r="F54" s="111">
        <f t="shared" si="5"/>
        <v>0</v>
      </c>
      <c r="G54" s="111">
        <f t="shared" si="5"/>
        <v>5695</v>
      </c>
      <c r="H54" s="111">
        <f t="shared" si="5"/>
        <v>0</v>
      </c>
      <c r="I54" s="111">
        <f t="shared" si="5"/>
        <v>0</v>
      </c>
      <c r="J54" s="111">
        <f t="shared" si="5"/>
        <v>200000</v>
      </c>
      <c r="K54" s="111"/>
      <c r="L54" s="111"/>
      <c r="M54" s="111">
        <f t="shared" si="5"/>
        <v>0</v>
      </c>
      <c r="N54" s="111">
        <f t="shared" si="5"/>
        <v>4186635</v>
      </c>
    </row>
    <row r="55" spans="1:14" s="108" customFormat="1" ht="12.75" customHeight="1">
      <c r="A55" s="1">
        <v>1</v>
      </c>
      <c r="B55" s="1">
        <v>17</v>
      </c>
      <c r="C55" s="162" t="s">
        <v>52</v>
      </c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</row>
    <row r="56" spans="1:14" s="108" customFormat="1" ht="24" customHeight="1">
      <c r="A56" s="1"/>
      <c r="B56" s="1"/>
      <c r="C56" s="145" t="s">
        <v>1565</v>
      </c>
      <c r="D56" s="173"/>
      <c r="E56" s="109"/>
      <c r="F56" s="109"/>
      <c r="G56" s="109"/>
      <c r="H56" s="109"/>
      <c r="I56" s="109"/>
      <c r="J56" s="109"/>
      <c r="K56" s="109"/>
      <c r="L56" s="109"/>
      <c r="M56" s="109"/>
      <c r="N56" s="109"/>
    </row>
    <row r="57" spans="1:14" s="108" customFormat="1" ht="13.5" customHeight="1">
      <c r="A57" s="1"/>
      <c r="B57" s="1"/>
      <c r="C57" s="3" t="s">
        <v>872</v>
      </c>
      <c r="D57" s="109"/>
      <c r="E57" s="109"/>
      <c r="F57" s="109"/>
      <c r="G57" s="109"/>
      <c r="H57" s="109">
        <v>95878</v>
      </c>
      <c r="I57" s="109"/>
      <c r="J57" s="109"/>
      <c r="K57" s="109"/>
      <c r="L57" s="109"/>
      <c r="M57" s="109"/>
      <c r="N57" s="109">
        <f>SUM(D57:M57)</f>
        <v>95878</v>
      </c>
    </row>
    <row r="58" spans="1:14" s="108" customFormat="1" ht="24.75" customHeight="1">
      <c r="A58" s="1"/>
      <c r="B58" s="1"/>
      <c r="C58" s="239" t="s">
        <v>1709</v>
      </c>
      <c r="D58" s="109"/>
      <c r="E58" s="109"/>
      <c r="F58" s="109"/>
      <c r="G58" s="109"/>
      <c r="H58" s="109">
        <v>24122</v>
      </c>
      <c r="I58" s="109"/>
      <c r="J58" s="109"/>
      <c r="K58" s="109"/>
      <c r="L58" s="109"/>
      <c r="M58" s="109"/>
      <c r="N58" s="109">
        <f>SUM(D58:M58)</f>
        <v>24122</v>
      </c>
    </row>
    <row r="59" spans="1:14" s="108" customFormat="1" ht="24.75" customHeight="1">
      <c r="A59" s="1"/>
      <c r="B59" s="1"/>
      <c r="C59" s="240" t="s">
        <v>1710</v>
      </c>
      <c r="D59" s="109"/>
      <c r="E59" s="109"/>
      <c r="F59" s="109"/>
      <c r="G59" s="109">
        <v>36558</v>
      </c>
      <c r="H59" s="109">
        <v>101100</v>
      </c>
      <c r="I59" s="109"/>
      <c r="J59" s="109"/>
      <c r="K59" s="109"/>
      <c r="L59" s="109"/>
      <c r="M59" s="109"/>
      <c r="N59" s="109">
        <f>SUM(D59:M59)</f>
        <v>137658</v>
      </c>
    </row>
    <row r="60" spans="1:14" s="108" customFormat="1" ht="24.75" customHeight="1">
      <c r="A60" s="1"/>
      <c r="B60" s="1"/>
      <c r="C60" s="290" t="s">
        <v>750</v>
      </c>
      <c r="D60" s="109"/>
      <c r="E60" s="109"/>
      <c r="F60" s="109"/>
      <c r="G60" s="109"/>
      <c r="H60" s="109">
        <v>30000</v>
      </c>
      <c r="I60" s="109"/>
      <c r="J60" s="109"/>
      <c r="K60" s="109"/>
      <c r="L60" s="109"/>
      <c r="M60" s="109"/>
      <c r="N60" s="109">
        <f>SUM(D60:M60)</f>
        <v>30000</v>
      </c>
    </row>
    <row r="61" spans="1:14" s="108" customFormat="1" ht="25.5" customHeight="1">
      <c r="A61" s="1"/>
      <c r="B61" s="1"/>
      <c r="C61" s="5" t="s">
        <v>1808</v>
      </c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</row>
    <row r="62" spans="1:14" s="108" customFormat="1" ht="13.5" customHeight="1">
      <c r="A62" s="1"/>
      <c r="B62" s="1"/>
      <c r="C62" s="123" t="s">
        <v>876</v>
      </c>
      <c r="D62" s="109"/>
      <c r="E62" s="109"/>
      <c r="F62" s="109"/>
      <c r="G62" s="113">
        <v>100000</v>
      </c>
      <c r="H62" s="109"/>
      <c r="I62" s="109"/>
      <c r="J62" s="109"/>
      <c r="K62" s="109"/>
      <c r="L62" s="109"/>
      <c r="M62" s="109"/>
      <c r="N62" s="109">
        <f>SUM(D62:M62)</f>
        <v>100000</v>
      </c>
    </row>
    <row r="63" spans="1:14" s="108" customFormat="1" ht="26.25" customHeight="1">
      <c r="A63" s="119"/>
      <c r="B63" s="119"/>
      <c r="C63" s="145" t="s">
        <v>1565</v>
      </c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09"/>
    </row>
    <row r="64" spans="1:14" s="108" customFormat="1" ht="13.5" customHeight="1">
      <c r="A64" s="119"/>
      <c r="B64" s="119"/>
      <c r="C64" s="174" t="s">
        <v>874</v>
      </c>
      <c r="D64" s="120"/>
      <c r="E64" s="120"/>
      <c r="F64" s="120"/>
      <c r="G64" s="120">
        <v>12700</v>
      </c>
      <c r="H64" s="120"/>
      <c r="I64" s="120"/>
      <c r="J64" s="120"/>
      <c r="K64" s="120"/>
      <c r="L64" s="120"/>
      <c r="M64" s="120"/>
      <c r="N64" s="109">
        <f>SUM(D64:M64)</f>
        <v>12700</v>
      </c>
    </row>
    <row r="65" spans="1:14" s="108" customFormat="1" ht="13.5" customHeight="1">
      <c r="A65" s="121"/>
      <c r="B65" s="121"/>
      <c r="C65" s="175" t="s">
        <v>875</v>
      </c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09"/>
    </row>
    <row r="66" spans="1:14" s="108" customFormat="1" ht="13.5" customHeight="1">
      <c r="A66" s="121"/>
      <c r="B66" s="121"/>
      <c r="C66" s="175" t="s">
        <v>914</v>
      </c>
      <c r="D66" s="122"/>
      <c r="E66" s="122"/>
      <c r="F66" s="122"/>
      <c r="G66" s="122">
        <v>2540</v>
      </c>
      <c r="H66" s="122"/>
      <c r="I66" s="122"/>
      <c r="J66" s="122"/>
      <c r="K66" s="122"/>
      <c r="L66" s="122"/>
      <c r="M66" s="122"/>
      <c r="N66" s="109">
        <f>SUM(D66:M66)</f>
        <v>2540</v>
      </c>
    </row>
    <row r="67" spans="1:14" s="108" customFormat="1" ht="13.5" customHeight="1">
      <c r="A67" s="121"/>
      <c r="B67" s="121"/>
      <c r="C67" s="175" t="s">
        <v>430</v>
      </c>
      <c r="D67" s="122"/>
      <c r="E67" s="122"/>
      <c r="F67" s="122"/>
      <c r="G67" s="122">
        <v>2000</v>
      </c>
      <c r="H67" s="122"/>
      <c r="I67" s="122"/>
      <c r="J67" s="122"/>
      <c r="K67" s="122"/>
      <c r="L67" s="122"/>
      <c r="M67" s="122"/>
      <c r="N67" s="109">
        <f>SUM(D67:M67)</f>
        <v>2000</v>
      </c>
    </row>
    <row r="68" spans="1:14" s="108" customFormat="1" ht="24.75" customHeight="1">
      <c r="A68" s="121"/>
      <c r="B68" s="121"/>
      <c r="C68" s="169" t="s">
        <v>1697</v>
      </c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09"/>
    </row>
    <row r="69" spans="1:14" s="108" customFormat="1" ht="15" customHeight="1">
      <c r="A69" s="121"/>
      <c r="B69" s="121"/>
      <c r="C69" s="3" t="s">
        <v>873</v>
      </c>
      <c r="D69" s="122"/>
      <c r="E69" s="122"/>
      <c r="F69" s="122"/>
      <c r="G69" s="122">
        <v>30607</v>
      </c>
      <c r="H69" s="122"/>
      <c r="I69" s="122"/>
      <c r="J69" s="122"/>
      <c r="K69" s="122"/>
      <c r="L69" s="122"/>
      <c r="M69" s="122"/>
      <c r="N69" s="109">
        <f>SUM(D69:M69)</f>
        <v>30607</v>
      </c>
    </row>
    <row r="70" spans="1:14" s="108" customFormat="1" ht="24.75" customHeight="1">
      <c r="A70" s="1"/>
      <c r="B70" s="1"/>
      <c r="C70" s="315" t="s">
        <v>1701</v>
      </c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</row>
    <row r="71" spans="1:14" s="108" customFormat="1" ht="24.75" customHeight="1">
      <c r="A71" s="1"/>
      <c r="B71" s="1"/>
      <c r="C71" s="295" t="s">
        <v>98</v>
      </c>
      <c r="D71" s="109"/>
      <c r="E71" s="109"/>
      <c r="F71" s="109"/>
      <c r="G71" s="109">
        <v>127000</v>
      </c>
      <c r="H71" s="109"/>
      <c r="I71" s="109"/>
      <c r="J71" s="109"/>
      <c r="K71" s="109"/>
      <c r="L71" s="109"/>
      <c r="M71" s="109"/>
      <c r="N71" s="109">
        <f>SUM(D71:M71)</f>
        <v>127000</v>
      </c>
    </row>
    <row r="72" spans="1:14" s="108" customFormat="1" ht="24.75" customHeight="1">
      <c r="A72" s="1"/>
      <c r="B72" s="1"/>
      <c r="C72" s="145" t="s">
        <v>1565</v>
      </c>
      <c r="D72" s="122"/>
      <c r="E72" s="109"/>
      <c r="F72" s="109"/>
      <c r="G72" s="109"/>
      <c r="H72" s="109"/>
      <c r="I72" s="109"/>
      <c r="J72" s="109"/>
      <c r="K72" s="109"/>
      <c r="L72" s="109"/>
      <c r="M72" s="109"/>
      <c r="N72" s="109"/>
    </row>
    <row r="73" spans="1:14" s="108" customFormat="1" ht="34.5" customHeight="1">
      <c r="A73" s="1"/>
      <c r="B73" s="1"/>
      <c r="C73" s="45" t="s">
        <v>404</v>
      </c>
      <c r="D73" s="146"/>
      <c r="E73" s="122"/>
      <c r="F73" s="122"/>
      <c r="G73" s="122">
        <v>44983</v>
      </c>
      <c r="H73" s="109"/>
      <c r="I73" s="109"/>
      <c r="J73" s="109"/>
      <c r="K73" s="109"/>
      <c r="L73" s="109"/>
      <c r="M73" s="109"/>
      <c r="N73" s="109">
        <f>SUM(D73:M73)</f>
        <v>44983</v>
      </c>
    </row>
    <row r="74" spans="1:14" s="108" customFormat="1" ht="13.5" customHeight="1">
      <c r="A74" s="1"/>
      <c r="B74" s="1"/>
      <c r="C74" s="176" t="s">
        <v>877</v>
      </c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</row>
    <row r="75" spans="1:14" s="108" customFormat="1" ht="24.75" customHeight="1">
      <c r="A75" s="1"/>
      <c r="B75" s="1"/>
      <c r="C75" s="296" t="s">
        <v>1551</v>
      </c>
      <c r="D75" s="143"/>
      <c r="E75" s="109"/>
      <c r="F75" s="109"/>
      <c r="G75" s="109"/>
      <c r="H75" s="109"/>
      <c r="I75" s="109"/>
      <c r="J75" s="109"/>
      <c r="K75" s="109"/>
      <c r="L75" s="109"/>
      <c r="M75" s="109"/>
      <c r="N75" s="109"/>
    </row>
    <row r="76" spans="1:14" s="108" customFormat="1" ht="24.75" customHeight="1">
      <c r="A76" s="1"/>
      <c r="B76" s="1"/>
      <c r="C76" s="5" t="s">
        <v>362</v>
      </c>
      <c r="D76" s="118"/>
      <c r="E76" s="171"/>
      <c r="F76" s="118"/>
      <c r="G76" s="109"/>
      <c r="H76" s="109"/>
      <c r="I76" s="109"/>
      <c r="J76" s="109">
        <v>20000</v>
      </c>
      <c r="K76" s="109"/>
      <c r="L76" s="109"/>
      <c r="M76" s="109"/>
      <c r="N76" s="109">
        <f>SUM(D76:M76)</f>
        <v>20000</v>
      </c>
    </row>
    <row r="77" spans="1:14" s="108" customFormat="1" ht="24.75" customHeight="1">
      <c r="A77" s="1"/>
      <c r="B77" s="1"/>
      <c r="C77" s="316" t="s">
        <v>1809</v>
      </c>
      <c r="D77" s="118"/>
      <c r="E77" s="171"/>
      <c r="F77" s="118"/>
      <c r="G77" s="109"/>
      <c r="H77" s="109"/>
      <c r="I77" s="109"/>
      <c r="J77" s="109"/>
      <c r="K77" s="109"/>
      <c r="L77" s="109"/>
      <c r="M77" s="109"/>
      <c r="N77" s="109"/>
    </row>
    <row r="78" spans="1:15" s="108" customFormat="1" ht="24.75" customHeight="1">
      <c r="A78" s="1"/>
      <c r="B78" s="1"/>
      <c r="C78" s="169" t="s">
        <v>363</v>
      </c>
      <c r="D78" s="118"/>
      <c r="E78" s="118"/>
      <c r="F78" s="118"/>
      <c r="G78" s="109"/>
      <c r="H78" s="109"/>
      <c r="I78" s="109"/>
      <c r="J78" s="109"/>
      <c r="K78" s="109"/>
      <c r="L78" s="113">
        <v>377239</v>
      </c>
      <c r="M78" s="109"/>
      <c r="N78" s="109">
        <f>SUM(D78:M78)</f>
        <v>377239</v>
      </c>
      <c r="O78" s="130"/>
    </row>
    <row r="79" spans="1:14" s="108" customFormat="1" ht="12" customHeight="1">
      <c r="A79" s="110"/>
      <c r="B79" s="110"/>
      <c r="C79" s="4" t="s">
        <v>878</v>
      </c>
      <c r="D79" s="111">
        <f>SUM(D55:D78)</f>
        <v>0</v>
      </c>
      <c r="E79" s="111">
        <f aca="true" t="shared" si="6" ref="E79:L79">SUM(E55:E78)</f>
        <v>0</v>
      </c>
      <c r="F79" s="111">
        <f t="shared" si="6"/>
        <v>0</v>
      </c>
      <c r="G79" s="111">
        <f t="shared" si="6"/>
        <v>356388</v>
      </c>
      <c r="H79" s="111">
        <f t="shared" si="6"/>
        <v>251100</v>
      </c>
      <c r="I79" s="111">
        <f t="shared" si="6"/>
        <v>0</v>
      </c>
      <c r="J79" s="111">
        <f t="shared" si="6"/>
        <v>20000</v>
      </c>
      <c r="K79" s="111">
        <f t="shared" si="6"/>
        <v>0</v>
      </c>
      <c r="L79" s="111">
        <f t="shared" si="6"/>
        <v>377239</v>
      </c>
      <c r="M79" s="111">
        <f>SUM(M55:M78)</f>
        <v>0</v>
      </c>
      <c r="N79" s="111">
        <f>SUM(N55:N78)</f>
        <v>1004727</v>
      </c>
    </row>
    <row r="80" spans="1:14" s="108" customFormat="1" ht="12" customHeight="1">
      <c r="A80" s="116">
        <v>1</v>
      </c>
      <c r="B80" s="116">
        <v>18</v>
      </c>
      <c r="C80" s="5" t="s">
        <v>879</v>
      </c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</row>
    <row r="81" spans="1:14" s="108" customFormat="1" ht="24.75" customHeight="1">
      <c r="A81" s="1"/>
      <c r="B81" s="1"/>
      <c r="C81" s="145" t="s">
        <v>1565</v>
      </c>
      <c r="D81" s="118"/>
      <c r="E81" s="118"/>
      <c r="F81" s="118"/>
      <c r="G81" s="109"/>
      <c r="H81" s="109"/>
      <c r="I81" s="109"/>
      <c r="J81" s="109"/>
      <c r="K81" s="109"/>
      <c r="L81" s="109"/>
      <c r="M81" s="109"/>
      <c r="N81" s="109"/>
    </row>
    <row r="82" spans="1:14" s="108" customFormat="1" ht="12" customHeight="1">
      <c r="A82" s="1"/>
      <c r="B82" s="1"/>
      <c r="C82" s="5" t="s">
        <v>1173</v>
      </c>
      <c r="D82" s="118"/>
      <c r="E82" s="118"/>
      <c r="F82" s="118"/>
      <c r="G82" s="109">
        <v>20320</v>
      </c>
      <c r="H82" s="109"/>
      <c r="I82" s="109"/>
      <c r="J82" s="109"/>
      <c r="K82" s="109"/>
      <c r="L82" s="109"/>
      <c r="M82" s="109"/>
      <c r="N82" s="109">
        <f>SUM(D82:M82)</f>
        <v>20320</v>
      </c>
    </row>
    <row r="83" spans="1:14" s="108" customFormat="1" ht="15" customHeight="1">
      <c r="A83" s="1"/>
      <c r="B83" s="1"/>
      <c r="C83" s="57" t="s">
        <v>1707</v>
      </c>
      <c r="D83" s="184"/>
      <c r="E83" s="118"/>
      <c r="F83" s="171">
        <v>5000</v>
      </c>
      <c r="G83" s="109"/>
      <c r="H83" s="109"/>
      <c r="I83" s="109"/>
      <c r="J83" s="109"/>
      <c r="K83" s="109"/>
      <c r="L83" s="109"/>
      <c r="M83" s="109"/>
      <c r="N83" s="109">
        <f>SUM(D83:M83)</f>
        <v>5000</v>
      </c>
    </row>
    <row r="84" spans="1:14" s="108" customFormat="1" ht="15" customHeight="1">
      <c r="A84" s="1" t="s">
        <v>894</v>
      </c>
      <c r="B84" s="1"/>
      <c r="C84" s="5" t="s">
        <v>39</v>
      </c>
      <c r="D84" s="118"/>
      <c r="E84" s="118"/>
      <c r="F84" s="118"/>
      <c r="G84" s="109">
        <v>21590</v>
      </c>
      <c r="H84" s="109"/>
      <c r="I84" s="109"/>
      <c r="J84" s="109"/>
      <c r="K84" s="109"/>
      <c r="L84" s="109"/>
      <c r="M84" s="109"/>
      <c r="N84" s="109">
        <f>SUM(D84:M84)</f>
        <v>21590</v>
      </c>
    </row>
    <row r="85" spans="1:14" s="108" customFormat="1" ht="14.25" customHeight="1">
      <c r="A85" s="110"/>
      <c r="B85" s="110"/>
      <c r="C85" s="4" t="s">
        <v>40</v>
      </c>
      <c r="D85" s="125">
        <f aca="true" t="shared" si="7" ref="D85:J85">SUM(D82:D84)</f>
        <v>0</v>
      </c>
      <c r="E85" s="125">
        <f t="shared" si="7"/>
        <v>0</v>
      </c>
      <c r="F85" s="125">
        <f t="shared" si="7"/>
        <v>5000</v>
      </c>
      <c r="G85" s="125">
        <f t="shared" si="7"/>
        <v>41910</v>
      </c>
      <c r="H85" s="125">
        <f t="shared" si="7"/>
        <v>0</v>
      </c>
      <c r="I85" s="125">
        <f t="shared" si="7"/>
        <v>0</v>
      </c>
      <c r="J85" s="125">
        <f t="shared" si="7"/>
        <v>0</v>
      </c>
      <c r="K85" s="125"/>
      <c r="L85" s="125"/>
      <c r="M85" s="125">
        <f>SUM(M82:M84)</f>
        <v>0</v>
      </c>
      <c r="N85" s="125">
        <f>SUM(N82:N84)</f>
        <v>46910</v>
      </c>
    </row>
    <row r="86" spans="1:14" s="108" customFormat="1" ht="12" customHeight="1">
      <c r="A86" s="1">
        <v>1</v>
      </c>
      <c r="B86" s="1">
        <v>19</v>
      </c>
      <c r="C86" s="162" t="s">
        <v>893</v>
      </c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</row>
    <row r="87" spans="1:14" s="108" customFormat="1" ht="26.25" customHeight="1">
      <c r="A87" s="1"/>
      <c r="B87" s="1"/>
      <c r="C87" s="317" t="s">
        <v>1442</v>
      </c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</row>
    <row r="88" spans="1:15" s="108" customFormat="1" ht="24.75" customHeight="1">
      <c r="A88" s="1"/>
      <c r="B88" s="1"/>
      <c r="C88" s="160" t="s">
        <v>1233</v>
      </c>
      <c r="D88" s="118"/>
      <c r="E88" s="118"/>
      <c r="F88" s="118"/>
      <c r="G88" s="109"/>
      <c r="H88" s="109"/>
      <c r="I88" s="109"/>
      <c r="J88" s="109"/>
      <c r="K88" s="109">
        <v>628892</v>
      </c>
      <c r="L88" s="109"/>
      <c r="M88" s="109"/>
      <c r="N88" s="109">
        <f>SUM(D88:M88)</f>
        <v>628892</v>
      </c>
      <c r="O88" s="130"/>
    </row>
    <row r="89" spans="1:15" s="108" customFormat="1" ht="24.75" customHeight="1">
      <c r="A89" s="1"/>
      <c r="B89" s="1"/>
      <c r="C89" s="5" t="s">
        <v>1712</v>
      </c>
      <c r="D89" s="118"/>
      <c r="E89" s="118"/>
      <c r="F89" s="118"/>
      <c r="G89" s="109"/>
      <c r="H89" s="109"/>
      <c r="I89" s="109"/>
      <c r="J89" s="109"/>
      <c r="K89" s="109">
        <v>30000</v>
      </c>
      <c r="L89" s="109"/>
      <c r="M89" s="109"/>
      <c r="N89" s="109">
        <f>SUM(D89:M89)</f>
        <v>30000</v>
      </c>
      <c r="O89" s="238"/>
    </row>
    <row r="90" spans="1:14" s="108" customFormat="1" ht="24.75" customHeight="1">
      <c r="A90" s="1"/>
      <c r="B90" s="1"/>
      <c r="C90" s="316" t="s">
        <v>1553</v>
      </c>
      <c r="D90" s="173"/>
      <c r="E90" s="118"/>
      <c r="F90" s="118"/>
      <c r="G90" s="109"/>
      <c r="H90" s="109"/>
      <c r="I90" s="109"/>
      <c r="J90" s="109"/>
      <c r="K90" s="109"/>
      <c r="L90" s="109"/>
      <c r="M90" s="109"/>
      <c r="N90" s="109"/>
    </row>
    <row r="91" spans="1:14" s="108" customFormat="1" ht="12.75">
      <c r="A91" s="1" t="s">
        <v>894</v>
      </c>
      <c r="B91" s="1"/>
      <c r="C91" s="3" t="s">
        <v>41</v>
      </c>
      <c r="D91" s="109"/>
      <c r="E91" s="109"/>
      <c r="F91" s="109"/>
      <c r="G91" s="109">
        <v>15000</v>
      </c>
      <c r="H91" s="109"/>
      <c r="I91" s="109"/>
      <c r="J91" s="109"/>
      <c r="K91" s="109"/>
      <c r="L91" s="109"/>
      <c r="M91" s="109"/>
      <c r="N91" s="109">
        <f>SUM(D91:M91)</f>
        <v>15000</v>
      </c>
    </row>
    <row r="92" spans="1:15" s="108" customFormat="1" ht="12.75">
      <c r="A92" s="1"/>
      <c r="B92" s="1"/>
      <c r="C92" s="3" t="s">
        <v>1089</v>
      </c>
      <c r="D92" s="109"/>
      <c r="E92" s="109"/>
      <c r="F92" s="109"/>
      <c r="G92" s="109">
        <v>139291</v>
      </c>
      <c r="H92" s="109"/>
      <c r="I92" s="109"/>
      <c r="J92" s="109"/>
      <c r="K92" s="109"/>
      <c r="L92" s="109"/>
      <c r="M92" s="109"/>
      <c r="N92" s="109">
        <f>SUM(D92:M92)</f>
        <v>139291</v>
      </c>
      <c r="O92" s="130"/>
    </row>
    <row r="93" spans="1:15" s="108" customFormat="1" ht="25.5">
      <c r="A93" s="1"/>
      <c r="B93" s="1"/>
      <c r="C93" s="5" t="s">
        <v>1711</v>
      </c>
      <c r="D93" s="109"/>
      <c r="E93" s="109"/>
      <c r="F93" s="109"/>
      <c r="G93" s="109"/>
      <c r="H93" s="109"/>
      <c r="I93" s="109"/>
      <c r="J93" s="109"/>
      <c r="K93" s="109"/>
      <c r="L93" s="109">
        <v>1139398</v>
      </c>
      <c r="M93" s="109"/>
      <c r="N93" s="109">
        <f>SUM(D93:M93)</f>
        <v>1139398</v>
      </c>
      <c r="O93" s="238"/>
    </row>
    <row r="94" spans="1:14" s="108" customFormat="1" ht="24.75" customHeight="1">
      <c r="A94" s="1"/>
      <c r="B94" s="1"/>
      <c r="C94" s="5" t="s">
        <v>1702</v>
      </c>
      <c r="D94" s="109"/>
      <c r="E94" s="109"/>
      <c r="F94" s="109"/>
      <c r="G94" s="109"/>
      <c r="H94" s="109"/>
      <c r="I94" s="123"/>
      <c r="J94" s="109"/>
      <c r="K94" s="109"/>
      <c r="L94" s="109"/>
      <c r="M94" s="109"/>
      <c r="N94" s="109"/>
    </row>
    <row r="95" spans="1:14" s="108" customFormat="1" ht="12.75">
      <c r="A95" s="1"/>
      <c r="B95" s="1"/>
      <c r="C95" s="3" t="s">
        <v>1706</v>
      </c>
      <c r="D95" s="109">
        <v>2133966</v>
      </c>
      <c r="E95" s="109"/>
      <c r="F95" s="109"/>
      <c r="G95" s="109"/>
      <c r="H95" s="109"/>
      <c r="I95" s="126"/>
      <c r="J95" s="109"/>
      <c r="K95" s="109"/>
      <c r="L95" s="109"/>
      <c r="M95" s="109"/>
      <c r="N95" s="109">
        <f aca="true" t="shared" si="8" ref="N95:N108">SUM(D95:M95)</f>
        <v>2133966</v>
      </c>
    </row>
    <row r="96" spans="1:14" s="108" customFormat="1" ht="12.75">
      <c r="A96" s="1"/>
      <c r="B96" s="1"/>
      <c r="C96" s="3" t="s">
        <v>407</v>
      </c>
      <c r="D96" s="109">
        <v>19133</v>
      </c>
      <c r="E96" s="109"/>
      <c r="F96" s="109"/>
      <c r="G96" s="109"/>
      <c r="H96" s="109"/>
      <c r="I96" s="126"/>
      <c r="J96" s="109"/>
      <c r="K96" s="109"/>
      <c r="L96" s="109"/>
      <c r="M96" s="109"/>
      <c r="N96" s="109">
        <f t="shared" si="8"/>
        <v>19133</v>
      </c>
    </row>
    <row r="97" spans="1:14" s="108" customFormat="1" ht="24" customHeight="1">
      <c r="A97" s="1"/>
      <c r="B97" s="1"/>
      <c r="C97" s="5" t="s">
        <v>426</v>
      </c>
      <c r="D97" s="109">
        <v>246600</v>
      </c>
      <c r="E97" s="109"/>
      <c r="F97" s="109"/>
      <c r="G97" s="109"/>
      <c r="H97" s="109"/>
      <c r="I97" s="109"/>
      <c r="J97" s="109"/>
      <c r="K97" s="109"/>
      <c r="L97" s="109"/>
      <c r="M97" s="109"/>
      <c r="N97" s="109">
        <f t="shared" si="8"/>
        <v>246600</v>
      </c>
    </row>
    <row r="98" spans="1:15" s="108" customFormat="1" ht="24" customHeight="1">
      <c r="A98" s="1"/>
      <c r="B98" s="1"/>
      <c r="C98" s="160" t="s">
        <v>1871</v>
      </c>
      <c r="D98" s="109"/>
      <c r="E98" s="109"/>
      <c r="F98" s="109"/>
      <c r="G98" s="109"/>
      <c r="H98" s="109"/>
      <c r="I98" s="113"/>
      <c r="J98" s="109"/>
      <c r="K98" s="109"/>
      <c r="L98" s="109">
        <v>1300000</v>
      </c>
      <c r="M98" s="109"/>
      <c r="N98" s="109">
        <f t="shared" si="8"/>
        <v>1300000</v>
      </c>
      <c r="O98" s="238"/>
    </row>
    <row r="99" spans="1:15" s="108" customFormat="1" ht="18" customHeight="1">
      <c r="A99" s="1"/>
      <c r="B99" s="1"/>
      <c r="C99" s="168" t="s">
        <v>1713</v>
      </c>
      <c r="D99" s="109"/>
      <c r="E99" s="109">
        <v>31964</v>
      </c>
      <c r="F99" s="109"/>
      <c r="G99" s="109"/>
      <c r="H99" s="109"/>
      <c r="I99" s="113"/>
      <c r="J99" s="109"/>
      <c r="K99" s="109"/>
      <c r="L99" s="109"/>
      <c r="M99" s="109"/>
      <c r="N99" s="109">
        <v>31964</v>
      </c>
      <c r="O99" s="238"/>
    </row>
    <row r="100" spans="1:15" s="108" customFormat="1" ht="28.5" customHeight="1">
      <c r="A100" s="1"/>
      <c r="B100" s="1"/>
      <c r="C100" s="170" t="s">
        <v>1810</v>
      </c>
      <c r="D100" s="109"/>
      <c r="E100" s="109"/>
      <c r="F100" s="109"/>
      <c r="G100" s="109"/>
      <c r="H100" s="109"/>
      <c r="I100" s="113"/>
      <c r="J100" s="109"/>
      <c r="K100" s="109"/>
      <c r="L100" s="109"/>
      <c r="M100" s="109"/>
      <c r="N100" s="109"/>
      <c r="O100" s="238"/>
    </row>
    <row r="101" spans="1:14" s="108" customFormat="1" ht="13.5" customHeight="1">
      <c r="A101" s="1"/>
      <c r="B101" s="1"/>
      <c r="C101" s="3" t="s">
        <v>1085</v>
      </c>
      <c r="D101" s="109"/>
      <c r="E101" s="109"/>
      <c r="F101" s="113">
        <v>4000000</v>
      </c>
      <c r="G101" s="109"/>
      <c r="H101" s="109"/>
      <c r="I101" s="109"/>
      <c r="J101" s="109"/>
      <c r="K101" s="109"/>
      <c r="L101" s="109"/>
      <c r="M101" s="109"/>
      <c r="N101" s="109">
        <f t="shared" si="8"/>
        <v>4000000</v>
      </c>
    </row>
    <row r="102" spans="1:14" s="108" customFormat="1" ht="13.5" customHeight="1">
      <c r="A102" s="1"/>
      <c r="B102" s="1"/>
      <c r="C102" s="3" t="s">
        <v>1086</v>
      </c>
      <c r="D102" s="109"/>
      <c r="E102" s="109"/>
      <c r="F102" s="109">
        <v>240000</v>
      </c>
      <c r="G102" s="109"/>
      <c r="H102" s="109"/>
      <c r="I102" s="109"/>
      <c r="J102" s="109"/>
      <c r="K102" s="109"/>
      <c r="L102" s="109"/>
      <c r="M102" s="109"/>
      <c r="N102" s="109">
        <f t="shared" si="8"/>
        <v>240000</v>
      </c>
    </row>
    <row r="103" spans="1:14" s="108" customFormat="1" ht="13.5" customHeight="1">
      <c r="A103" s="1"/>
      <c r="B103" s="1"/>
      <c r="C103" s="3" t="s">
        <v>1087</v>
      </c>
      <c r="D103" s="109"/>
      <c r="E103" s="109"/>
      <c r="F103" s="109">
        <v>8500</v>
      </c>
      <c r="G103" s="109"/>
      <c r="H103" s="109"/>
      <c r="I103" s="109"/>
      <c r="J103" s="109"/>
      <c r="K103" s="109"/>
      <c r="L103" s="109"/>
      <c r="M103" s="109"/>
      <c r="N103" s="109">
        <f t="shared" si="8"/>
        <v>8500</v>
      </c>
    </row>
    <row r="104" spans="1:14" s="108" customFormat="1" ht="13.5" customHeight="1">
      <c r="A104" s="1"/>
      <c r="B104" s="1"/>
      <c r="C104" s="3" t="s">
        <v>1088</v>
      </c>
      <c r="D104" s="109"/>
      <c r="E104" s="109"/>
      <c r="F104" s="109">
        <v>5000</v>
      </c>
      <c r="G104" s="109"/>
      <c r="H104" s="109"/>
      <c r="I104" s="109"/>
      <c r="J104" s="109"/>
      <c r="K104" s="109"/>
      <c r="L104" s="109"/>
      <c r="M104" s="109"/>
      <c r="N104" s="109">
        <f t="shared" si="8"/>
        <v>5000</v>
      </c>
    </row>
    <row r="105" spans="1:14" s="108" customFormat="1" ht="24.75" customHeight="1">
      <c r="A105" s="1"/>
      <c r="B105" s="1"/>
      <c r="C105" s="363" t="s">
        <v>1811</v>
      </c>
      <c r="D105" s="65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>
        <f t="shared" si="8"/>
        <v>0</v>
      </c>
    </row>
    <row r="106" spans="1:14" s="108" customFormat="1" ht="33.75" customHeight="1">
      <c r="A106" s="1"/>
      <c r="B106" s="1"/>
      <c r="C106" s="236" t="s">
        <v>1704</v>
      </c>
      <c r="D106" s="225">
        <v>16000</v>
      </c>
      <c r="E106" s="109"/>
      <c r="F106" s="109"/>
      <c r="G106" s="109"/>
      <c r="H106" s="109"/>
      <c r="I106" s="109"/>
      <c r="J106" s="109"/>
      <c r="K106" s="109"/>
      <c r="L106" s="109"/>
      <c r="M106" s="109"/>
      <c r="N106" s="109">
        <f t="shared" si="8"/>
        <v>16000</v>
      </c>
    </row>
    <row r="107" spans="1:14" s="108" customFormat="1" ht="24.75" customHeight="1">
      <c r="A107" s="1"/>
      <c r="B107" s="1"/>
      <c r="C107" s="236" t="s">
        <v>839</v>
      </c>
      <c r="D107" s="225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</row>
    <row r="108" spans="1:14" s="108" customFormat="1" ht="24.75" customHeight="1">
      <c r="A108" s="1"/>
      <c r="B108" s="1"/>
      <c r="C108" s="5" t="s">
        <v>401</v>
      </c>
      <c r="D108" s="109">
        <v>14524</v>
      </c>
      <c r="E108" s="109"/>
      <c r="F108" s="109"/>
      <c r="G108" s="109"/>
      <c r="H108" s="109"/>
      <c r="I108" s="109"/>
      <c r="J108" s="109"/>
      <c r="K108" s="109"/>
      <c r="L108" s="109"/>
      <c r="M108" s="113"/>
      <c r="N108" s="109">
        <f t="shared" si="8"/>
        <v>14524</v>
      </c>
    </row>
    <row r="109" spans="1:14" s="108" customFormat="1" ht="15.75" customHeight="1">
      <c r="A109" s="2"/>
      <c r="B109" s="110"/>
      <c r="C109" s="4" t="s">
        <v>895</v>
      </c>
      <c r="D109" s="111">
        <f aca="true" t="shared" si="9" ref="D109:M109">SUM(D87:D108)</f>
        <v>2430223</v>
      </c>
      <c r="E109" s="111">
        <f t="shared" si="9"/>
        <v>31964</v>
      </c>
      <c r="F109" s="111">
        <f t="shared" si="9"/>
        <v>4253500</v>
      </c>
      <c r="G109" s="111">
        <f t="shared" si="9"/>
        <v>154291</v>
      </c>
      <c r="H109" s="111">
        <f t="shared" si="9"/>
        <v>0</v>
      </c>
      <c r="I109" s="111">
        <f t="shared" si="9"/>
        <v>0</v>
      </c>
      <c r="J109" s="111">
        <f t="shared" si="9"/>
        <v>0</v>
      </c>
      <c r="K109" s="111">
        <f t="shared" si="9"/>
        <v>658892</v>
      </c>
      <c r="L109" s="111">
        <f t="shared" si="9"/>
        <v>2439398</v>
      </c>
      <c r="M109" s="111">
        <f t="shared" si="9"/>
        <v>0</v>
      </c>
      <c r="N109" s="111">
        <f>SUM(N86:N108)</f>
        <v>9968268</v>
      </c>
    </row>
    <row r="110" spans="1:14" s="108" customFormat="1" ht="27.75" customHeight="1">
      <c r="A110" s="114">
        <v>1</v>
      </c>
      <c r="B110" s="116">
        <v>21</v>
      </c>
      <c r="C110" s="145" t="s">
        <v>1565</v>
      </c>
      <c r="D110" s="185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</row>
    <row r="111" spans="1:14" s="108" customFormat="1" ht="15" customHeight="1">
      <c r="A111" s="2"/>
      <c r="B111" s="110"/>
      <c r="C111" s="178" t="s">
        <v>1515</v>
      </c>
      <c r="D111" s="186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>
        <f>SUM(D111:M111)</f>
        <v>0</v>
      </c>
    </row>
    <row r="112" spans="1:14" s="108" customFormat="1" ht="10.5" customHeight="1">
      <c r="A112" s="114">
        <v>1</v>
      </c>
      <c r="B112" s="116">
        <v>22</v>
      </c>
      <c r="C112" s="179" t="s">
        <v>1090</v>
      </c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</row>
    <row r="113" spans="1:14" s="108" customFormat="1" ht="24.75" customHeight="1">
      <c r="A113" s="114"/>
      <c r="B113" s="116"/>
      <c r="C113" s="316" t="s">
        <v>1553</v>
      </c>
      <c r="D113" s="17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</row>
    <row r="114" spans="1:14" s="108" customFormat="1" ht="15" customHeight="1">
      <c r="A114" s="114"/>
      <c r="B114" s="116"/>
      <c r="C114" s="188" t="s">
        <v>406</v>
      </c>
      <c r="D114" s="237">
        <v>7185</v>
      </c>
      <c r="E114" s="117"/>
      <c r="F114" s="117"/>
      <c r="G114" s="117"/>
      <c r="H114" s="117"/>
      <c r="I114" s="117"/>
      <c r="J114" s="117"/>
      <c r="K114" s="117"/>
      <c r="L114" s="117"/>
      <c r="M114" s="117"/>
      <c r="N114" s="113">
        <f>SUM(D114:M114)</f>
        <v>7185</v>
      </c>
    </row>
    <row r="115" spans="1:14" s="108" customFormat="1" ht="12" customHeight="1">
      <c r="A115" s="2"/>
      <c r="B115" s="110"/>
      <c r="C115" s="4" t="s">
        <v>1092</v>
      </c>
      <c r="D115" s="111">
        <f>SUM(D112:D114)</f>
        <v>7185</v>
      </c>
      <c r="E115" s="111"/>
      <c r="F115" s="111">
        <f>SUM(F112:F114)</f>
        <v>0</v>
      </c>
      <c r="G115" s="111">
        <f>SUM(G112:G114)</f>
        <v>0</v>
      </c>
      <c r="H115" s="111"/>
      <c r="I115" s="111">
        <f>SUM(I112:I114)</f>
        <v>0</v>
      </c>
      <c r="J115" s="111">
        <f>SUM(J112:J114)</f>
        <v>0</v>
      </c>
      <c r="K115" s="111"/>
      <c r="L115" s="111"/>
      <c r="M115" s="111">
        <f>SUM(M112:M114)</f>
        <v>0</v>
      </c>
      <c r="N115" s="111">
        <f>SUM(N112:N114)</f>
        <v>7185</v>
      </c>
    </row>
    <row r="116" spans="1:14" s="108" customFormat="1" ht="24.75" customHeight="1">
      <c r="A116" s="110"/>
      <c r="B116" s="110"/>
      <c r="C116" s="181" t="s">
        <v>978</v>
      </c>
      <c r="D116" s="111">
        <f aca="true" t="shared" si="10" ref="D116:N116">SUM(D8+D18+D32+D54+D79+D85+D109+D111+D115)</f>
        <v>2474643</v>
      </c>
      <c r="E116" s="111">
        <f t="shared" si="10"/>
        <v>4584238</v>
      </c>
      <c r="F116" s="111">
        <f t="shared" si="10"/>
        <v>4258500</v>
      </c>
      <c r="G116" s="111">
        <f t="shared" si="10"/>
        <v>994275</v>
      </c>
      <c r="H116" s="111">
        <f t="shared" si="10"/>
        <v>251100</v>
      </c>
      <c r="I116" s="111">
        <f t="shared" si="10"/>
        <v>0</v>
      </c>
      <c r="J116" s="111">
        <f t="shared" si="10"/>
        <v>220000</v>
      </c>
      <c r="K116" s="111">
        <f t="shared" si="10"/>
        <v>658892</v>
      </c>
      <c r="L116" s="111">
        <f t="shared" si="10"/>
        <v>2816637</v>
      </c>
      <c r="M116" s="111">
        <f t="shared" si="10"/>
        <v>0</v>
      </c>
      <c r="N116" s="111">
        <f t="shared" si="10"/>
        <v>16258285</v>
      </c>
    </row>
    <row r="117" spans="1:14" s="108" customFormat="1" ht="15.75" customHeight="1" thickBot="1">
      <c r="A117" s="1">
        <v>2</v>
      </c>
      <c r="B117" s="1"/>
      <c r="C117" s="164" t="s">
        <v>398</v>
      </c>
      <c r="D117" s="109">
        <v>346274</v>
      </c>
      <c r="E117" s="109">
        <v>23000</v>
      </c>
      <c r="F117" s="109"/>
      <c r="G117" s="109">
        <v>1121690</v>
      </c>
      <c r="H117" s="109"/>
      <c r="I117" s="109">
        <v>59600</v>
      </c>
      <c r="J117" s="127"/>
      <c r="K117" s="127"/>
      <c r="L117" s="127">
        <v>150169</v>
      </c>
      <c r="M117" s="109"/>
      <c r="N117" s="120">
        <f>SUM(D117:M117)</f>
        <v>1700733</v>
      </c>
    </row>
    <row r="118" spans="1:14" s="108" customFormat="1" ht="15.75" customHeight="1" thickBot="1">
      <c r="A118" s="110"/>
      <c r="B118" s="110"/>
      <c r="C118" s="6" t="s">
        <v>376</v>
      </c>
      <c r="D118" s="111">
        <f>SUM(D116:D117)</f>
        <v>2820917</v>
      </c>
      <c r="E118" s="111">
        <f>SUM(E116:E117)</f>
        <v>4607238</v>
      </c>
      <c r="F118" s="111">
        <f aca="true" t="shared" si="11" ref="F118:N118">SUM(F116:F117)+F110</f>
        <v>4258500</v>
      </c>
      <c r="G118" s="111">
        <f t="shared" si="11"/>
        <v>2115965</v>
      </c>
      <c r="H118" s="111">
        <f t="shared" si="11"/>
        <v>251100</v>
      </c>
      <c r="I118" s="111">
        <f t="shared" si="11"/>
        <v>59600</v>
      </c>
      <c r="J118" s="111">
        <f t="shared" si="11"/>
        <v>220000</v>
      </c>
      <c r="K118" s="111">
        <f t="shared" si="11"/>
        <v>658892</v>
      </c>
      <c r="L118" s="111">
        <f t="shared" si="11"/>
        <v>2966806</v>
      </c>
      <c r="M118" s="111">
        <f t="shared" si="11"/>
        <v>0</v>
      </c>
      <c r="N118" s="111">
        <f t="shared" si="11"/>
        <v>17959018</v>
      </c>
    </row>
    <row r="119" spans="1:15" s="108" customFormat="1" ht="18.75" customHeight="1">
      <c r="A119" s="128"/>
      <c r="B119" s="128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30"/>
    </row>
    <row r="120" spans="1:15" s="108" customFormat="1" ht="13.5" customHeight="1">
      <c r="A120" s="129"/>
      <c r="B120" s="129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30"/>
    </row>
    <row r="121" spans="1:14" ht="12.75">
      <c r="A121" s="129"/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50"/>
    </row>
    <row r="122" spans="1:14" ht="12.75">
      <c r="A122" s="129"/>
      <c r="B122" s="129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</row>
    <row r="123" spans="1:14" ht="12.75">
      <c r="A123" s="129"/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</row>
    <row r="124" spans="1:14" ht="12.75">
      <c r="A124" s="129"/>
      <c r="B124" s="129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</row>
    <row r="125" spans="1:14" ht="12.75">
      <c r="A125" s="129"/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</row>
    <row r="126" spans="1:14" ht="12.75">
      <c r="A126" s="129"/>
      <c r="B126" s="129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</row>
    <row r="127" spans="1:14" ht="12.75">
      <c r="A127" s="129"/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</row>
    <row r="128" spans="1:14" ht="12.75">
      <c r="A128" s="129"/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</row>
    <row r="129" spans="3:14" ht="12.75"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</row>
    <row r="130" spans="3:14" ht="12.75"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</row>
    <row r="131" spans="3:14" ht="12.75"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</row>
    <row r="132" spans="3:14" ht="12.75"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</row>
    <row r="133" spans="3:14" ht="12.75"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</row>
    <row r="134" spans="3:14" ht="12.75"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</row>
    <row r="135" spans="3:14" ht="12.75"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</row>
    <row r="136" spans="3:14" ht="12.75"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</row>
    <row r="137" spans="3:14" ht="12.75"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</row>
    <row r="138" spans="3:14" ht="12.75"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</row>
    <row r="139" spans="3:14" ht="12.75"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</row>
    <row r="140" spans="3:14" ht="12.75"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</row>
    <row r="141" spans="3:14" ht="12.75"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</row>
    <row r="142" spans="3:14" ht="12.75"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</row>
    <row r="143" spans="3:14" ht="12.75"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</row>
    <row r="144" spans="3:14" ht="12.75"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</row>
    <row r="145" spans="3:14" ht="12.75"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</row>
  </sheetData>
  <sheetProtection/>
  <mergeCells count="6">
    <mergeCell ref="N1:N2"/>
    <mergeCell ref="D1:J1"/>
    <mergeCell ref="K1:M1"/>
    <mergeCell ref="A1:A2"/>
    <mergeCell ref="B1:B2"/>
    <mergeCell ref="C1:C2"/>
  </mergeCells>
  <printOptions horizontalCentered="1" verticalCentered="1"/>
  <pageMargins left="0.1968503937007874" right="0.1968503937007874" top="0.984251968503937" bottom="0.8267716535433072" header="0.5905511811023623" footer="0.5118110236220472"/>
  <pageSetup horizontalDpi="600" verticalDpi="600" orientation="landscape" paperSize="9" scale="85" r:id="rId1"/>
  <headerFooter alignWithMargins="0">
    <oddHeader>&amp;C&amp;"Times New Roman,Félkövér dőlt" ZALAEGERSZEG MEGYEI JOGÚ VÁROS ÖNKORMÁNYZATA
BEVÉTELI ELŐIRÁNYZATAI  2014.  ÉVBEN&amp;R&amp;"Times New Roman,Félkövér dőlt"5.a melléklet
Adatok ezer Ft-ban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94"/>
  <sheetViews>
    <sheetView workbookViewId="0" topLeftCell="A1">
      <pane ySplit="2" topLeftCell="BM54" activePane="bottomLeft" state="frozen"/>
      <selection pane="topLeft" activeCell="A1" sqref="A1"/>
      <selection pane="bottomLeft" activeCell="C21" sqref="C21:C23"/>
    </sheetView>
  </sheetViews>
  <sheetFormatPr defaultColWidth="9.00390625" defaultRowHeight="12.75"/>
  <cols>
    <col min="1" max="1" width="5.625" style="124" customWidth="1"/>
    <col min="2" max="2" width="6.375" style="124" customWidth="1"/>
    <col min="3" max="3" width="39.00390625" style="124" customWidth="1"/>
    <col min="4" max="4" width="11.125" style="124" customWidth="1"/>
    <col min="5" max="5" width="11.375" style="124" customWidth="1"/>
    <col min="6" max="6" width="11.875" style="124" customWidth="1"/>
    <col min="7" max="7" width="9.875" style="124" customWidth="1"/>
    <col min="8" max="8" width="10.625" style="124" customWidth="1"/>
    <col min="9" max="9" width="11.375" style="124" customWidth="1"/>
    <col min="10" max="10" width="12.50390625" style="124" customWidth="1"/>
    <col min="11" max="11" width="11.625" style="124" customWidth="1"/>
    <col min="12" max="12" width="12.875" style="124" customWidth="1"/>
    <col min="13" max="13" width="11.375" style="124" customWidth="1"/>
    <col min="14" max="14" width="12.625" style="124" customWidth="1"/>
    <col min="15" max="16384" width="9.375" style="124" customWidth="1"/>
  </cols>
  <sheetData>
    <row r="1" spans="1:14" s="108" customFormat="1" ht="16.5" customHeight="1">
      <c r="A1" s="456"/>
      <c r="B1" s="457"/>
      <c r="C1" s="458"/>
      <c r="D1" s="1295" t="s">
        <v>61</v>
      </c>
      <c r="E1" s="1287"/>
      <c r="F1" s="1287"/>
      <c r="G1" s="1287"/>
      <c r="H1" s="1287"/>
      <c r="I1" s="1287"/>
      <c r="J1" s="1288"/>
      <c r="K1" s="1289" t="s">
        <v>990</v>
      </c>
      <c r="L1" s="1290"/>
      <c r="M1" s="1271"/>
      <c r="N1" s="1272" t="s">
        <v>49</v>
      </c>
    </row>
    <row r="2" spans="1:14" s="108" customFormat="1" ht="78.75" customHeight="1" thickBot="1">
      <c r="A2" s="459" t="s">
        <v>654</v>
      </c>
      <c r="B2" s="460" t="s">
        <v>655</v>
      </c>
      <c r="C2" s="461" t="s">
        <v>46</v>
      </c>
      <c r="D2" s="446" t="s">
        <v>436</v>
      </c>
      <c r="E2" s="446" t="s">
        <v>437</v>
      </c>
      <c r="F2" s="445" t="s">
        <v>438</v>
      </c>
      <c r="G2" s="446" t="s">
        <v>443</v>
      </c>
      <c r="H2" s="446" t="s">
        <v>444</v>
      </c>
      <c r="I2" s="446" t="s">
        <v>445</v>
      </c>
      <c r="J2" s="446" t="s">
        <v>446</v>
      </c>
      <c r="K2" s="446" t="s">
        <v>62</v>
      </c>
      <c r="L2" s="446" t="s">
        <v>63</v>
      </c>
      <c r="M2" s="446" t="s">
        <v>65</v>
      </c>
      <c r="N2" s="1273"/>
    </row>
    <row r="3" spans="1:14" s="108" customFormat="1" ht="12.75" customHeight="1">
      <c r="A3" s="1">
        <v>1</v>
      </c>
      <c r="B3" s="1"/>
      <c r="C3" s="162" t="s">
        <v>396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462"/>
    </row>
    <row r="4" spans="1:14" s="108" customFormat="1" ht="12.75" customHeight="1">
      <c r="A4" s="1">
        <v>1</v>
      </c>
      <c r="B4" s="1">
        <v>1</v>
      </c>
      <c r="C4" s="463" t="s">
        <v>1885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464"/>
    </row>
    <row r="5" spans="1:14" s="108" customFormat="1" ht="12.75" customHeight="1">
      <c r="A5" s="1">
        <v>1</v>
      </c>
      <c r="B5" s="1">
        <v>12</v>
      </c>
      <c r="C5" s="109" t="s">
        <v>249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464"/>
    </row>
    <row r="6" spans="1:14" s="108" customFormat="1" ht="24" customHeight="1">
      <c r="A6" s="1"/>
      <c r="B6" s="1"/>
      <c r="C6" s="465" t="s">
        <v>840</v>
      </c>
      <c r="D6" s="328"/>
      <c r="E6" s="466"/>
      <c r="F6" s="466"/>
      <c r="G6" s="466"/>
      <c r="H6" s="466"/>
      <c r="I6" s="466"/>
      <c r="J6" s="466"/>
      <c r="K6" s="466"/>
      <c r="L6" s="466"/>
      <c r="M6" s="466"/>
      <c r="N6" s="467"/>
    </row>
    <row r="7" spans="1:14" s="108" customFormat="1" ht="12.75" customHeight="1">
      <c r="A7" s="1"/>
      <c r="B7" s="1"/>
      <c r="C7" s="468" t="s">
        <v>656</v>
      </c>
      <c r="D7" s="115">
        <v>19</v>
      </c>
      <c r="E7" s="466"/>
      <c r="F7" s="466"/>
      <c r="G7" s="466"/>
      <c r="H7" s="466"/>
      <c r="I7" s="466"/>
      <c r="J7" s="466"/>
      <c r="K7" s="466"/>
      <c r="L7" s="466"/>
      <c r="M7" s="466"/>
      <c r="N7" s="467">
        <f>SUM(D7:M7)</f>
        <v>19</v>
      </c>
    </row>
    <row r="8" spans="1:14" s="108" customFormat="1" ht="16.5" customHeight="1">
      <c r="A8" s="110"/>
      <c r="B8" s="110"/>
      <c r="C8" s="111" t="s">
        <v>256</v>
      </c>
      <c r="D8" s="469">
        <f aca="true" t="shared" si="0" ref="D8:N8">SUM(D6:D7)</f>
        <v>19</v>
      </c>
      <c r="E8" s="469">
        <f t="shared" si="0"/>
        <v>0</v>
      </c>
      <c r="F8" s="469">
        <f t="shared" si="0"/>
        <v>0</v>
      </c>
      <c r="G8" s="469">
        <f t="shared" si="0"/>
        <v>0</v>
      </c>
      <c r="H8" s="469">
        <f t="shared" si="0"/>
        <v>0</v>
      </c>
      <c r="I8" s="469">
        <f t="shared" si="0"/>
        <v>0</v>
      </c>
      <c r="J8" s="469">
        <f t="shared" si="0"/>
        <v>0</v>
      </c>
      <c r="K8" s="469">
        <f t="shared" si="0"/>
        <v>0</v>
      </c>
      <c r="L8" s="469">
        <f t="shared" si="0"/>
        <v>0</v>
      </c>
      <c r="M8" s="469">
        <f t="shared" si="0"/>
        <v>0</v>
      </c>
      <c r="N8" s="469">
        <f t="shared" si="0"/>
        <v>19</v>
      </c>
    </row>
    <row r="9" spans="1:14" s="108" customFormat="1" ht="12.75" customHeight="1">
      <c r="A9" s="1">
        <v>1</v>
      </c>
      <c r="B9" s="1">
        <v>13</v>
      </c>
      <c r="C9" s="463" t="s">
        <v>250</v>
      </c>
      <c r="D9" s="466"/>
      <c r="E9" s="466"/>
      <c r="F9" s="466"/>
      <c r="G9" s="466"/>
      <c r="H9" s="466"/>
      <c r="I9" s="466"/>
      <c r="J9" s="466"/>
      <c r="K9" s="466"/>
      <c r="L9" s="466"/>
      <c r="M9" s="466"/>
      <c r="N9" s="467"/>
    </row>
    <row r="10" spans="1:14" s="108" customFormat="1" ht="12.75" customHeight="1">
      <c r="A10" s="1"/>
      <c r="B10" s="1"/>
      <c r="C10" s="109" t="s">
        <v>365</v>
      </c>
      <c r="D10" s="466"/>
      <c r="E10" s="466"/>
      <c r="F10" s="466"/>
      <c r="G10" s="466"/>
      <c r="H10" s="466"/>
      <c r="I10" s="466"/>
      <c r="J10" s="466"/>
      <c r="K10" s="466"/>
      <c r="L10" s="466"/>
      <c r="M10" s="466"/>
      <c r="N10" s="467"/>
    </row>
    <row r="11" spans="1:14" s="108" customFormat="1" ht="15" customHeight="1">
      <c r="A11" s="1"/>
      <c r="B11" s="1"/>
      <c r="C11" s="5" t="s">
        <v>1558</v>
      </c>
      <c r="D11" s="466"/>
      <c r="E11" s="466"/>
      <c r="F11" s="466"/>
      <c r="G11" s="466"/>
      <c r="H11" s="466"/>
      <c r="I11" s="466"/>
      <c r="J11" s="466"/>
      <c r="K11" s="466"/>
      <c r="L11" s="466"/>
      <c r="M11" s="466"/>
      <c r="N11" s="467"/>
    </row>
    <row r="12" spans="1:14" s="108" customFormat="1" ht="12.75" customHeight="1">
      <c r="A12" s="1"/>
      <c r="B12" s="1"/>
      <c r="C12" s="160" t="s">
        <v>405</v>
      </c>
      <c r="D12" s="466">
        <v>2230</v>
      </c>
      <c r="E12" s="466"/>
      <c r="F12" s="466"/>
      <c r="G12" s="466"/>
      <c r="H12" s="466"/>
      <c r="I12" s="466"/>
      <c r="J12" s="466"/>
      <c r="K12" s="466"/>
      <c r="L12" s="466"/>
      <c r="M12" s="466"/>
      <c r="N12" s="467">
        <f>SUM(D12:M12)</f>
        <v>2230</v>
      </c>
    </row>
    <row r="13" spans="1:14" s="108" customFormat="1" ht="12.75" customHeight="1">
      <c r="A13" s="1"/>
      <c r="B13" s="1"/>
      <c r="C13" s="41" t="s">
        <v>1468</v>
      </c>
      <c r="D13" s="470"/>
      <c r="E13" s="466"/>
      <c r="F13" s="466"/>
      <c r="G13" s="466"/>
      <c r="H13" s="466"/>
      <c r="I13" s="466"/>
      <c r="J13" s="466"/>
      <c r="K13" s="466"/>
      <c r="L13" s="466"/>
      <c r="M13" s="466"/>
      <c r="N13" s="467"/>
    </row>
    <row r="14" spans="1:14" s="108" customFormat="1" ht="12.75" customHeight="1">
      <c r="A14" s="1"/>
      <c r="B14" s="1"/>
      <c r="C14" s="13" t="s">
        <v>1872</v>
      </c>
      <c r="D14" s="470">
        <v>250</v>
      </c>
      <c r="E14" s="466"/>
      <c r="F14" s="466"/>
      <c r="G14" s="466"/>
      <c r="H14" s="466"/>
      <c r="I14" s="466"/>
      <c r="J14" s="466"/>
      <c r="K14" s="466"/>
      <c r="L14" s="466"/>
      <c r="M14" s="466"/>
      <c r="N14" s="467">
        <f>SUM(D14:M14)</f>
        <v>250</v>
      </c>
    </row>
    <row r="15" spans="1:14" s="108" customFormat="1" ht="12.75" customHeight="1">
      <c r="A15" s="1"/>
      <c r="B15" s="1"/>
      <c r="C15" s="471" t="s">
        <v>1235</v>
      </c>
      <c r="D15" s="472"/>
      <c r="E15" s="466"/>
      <c r="F15" s="466"/>
      <c r="G15" s="466"/>
      <c r="H15" s="466"/>
      <c r="I15" s="466"/>
      <c r="J15" s="466"/>
      <c r="K15" s="466"/>
      <c r="L15" s="466"/>
      <c r="M15" s="466"/>
      <c r="N15" s="467"/>
    </row>
    <row r="16" spans="1:14" s="108" customFormat="1" ht="24.75" customHeight="1">
      <c r="A16" s="1"/>
      <c r="B16" s="1"/>
      <c r="C16" s="41" t="s">
        <v>1465</v>
      </c>
      <c r="D16" s="441"/>
      <c r="E16" s="466"/>
      <c r="F16" s="466"/>
      <c r="G16" s="466"/>
      <c r="H16" s="466"/>
      <c r="I16" s="466"/>
      <c r="J16" s="466"/>
      <c r="K16" s="466"/>
      <c r="L16" s="466"/>
      <c r="M16" s="466"/>
      <c r="N16" s="467"/>
    </row>
    <row r="17" spans="1:14" s="108" customFormat="1" ht="15" customHeight="1">
      <c r="A17" s="1"/>
      <c r="B17" s="1"/>
      <c r="C17" s="236" t="s">
        <v>657</v>
      </c>
      <c r="D17" s="225">
        <v>8200</v>
      </c>
      <c r="E17" s="466"/>
      <c r="F17" s="466"/>
      <c r="G17" s="466"/>
      <c r="H17" s="466"/>
      <c r="I17" s="466"/>
      <c r="J17" s="466"/>
      <c r="K17" s="466"/>
      <c r="L17" s="466"/>
      <c r="M17" s="466"/>
      <c r="N17" s="467">
        <f>SUM(D17:M17)</f>
        <v>8200</v>
      </c>
    </row>
    <row r="18" spans="1:14" s="108" customFormat="1" ht="18.75" customHeight="1">
      <c r="A18" s="2"/>
      <c r="B18" s="2"/>
      <c r="C18" s="111" t="s">
        <v>252</v>
      </c>
      <c r="D18" s="469">
        <f aca="true" t="shared" si="1" ref="D18:N18">SUM(D12:D17)</f>
        <v>10680</v>
      </c>
      <c r="E18" s="469">
        <f t="shared" si="1"/>
        <v>0</v>
      </c>
      <c r="F18" s="469">
        <f t="shared" si="1"/>
        <v>0</v>
      </c>
      <c r="G18" s="469">
        <f t="shared" si="1"/>
        <v>0</v>
      </c>
      <c r="H18" s="469">
        <f t="shared" si="1"/>
        <v>0</v>
      </c>
      <c r="I18" s="469">
        <f t="shared" si="1"/>
        <v>0</v>
      </c>
      <c r="J18" s="469">
        <f t="shared" si="1"/>
        <v>0</v>
      </c>
      <c r="K18" s="469">
        <f t="shared" si="1"/>
        <v>0</v>
      </c>
      <c r="L18" s="469">
        <f t="shared" si="1"/>
        <v>0</v>
      </c>
      <c r="M18" s="469">
        <f t="shared" si="1"/>
        <v>0</v>
      </c>
      <c r="N18" s="469">
        <f t="shared" si="1"/>
        <v>10680</v>
      </c>
    </row>
    <row r="19" spans="1:14" s="108" customFormat="1" ht="12.75" customHeight="1">
      <c r="A19" s="1">
        <v>1</v>
      </c>
      <c r="B19" s="1">
        <v>15</v>
      </c>
      <c r="C19" s="463" t="s">
        <v>51</v>
      </c>
      <c r="D19" s="466"/>
      <c r="E19" s="466"/>
      <c r="F19" s="466"/>
      <c r="G19" s="466"/>
      <c r="H19" s="466"/>
      <c r="I19" s="466"/>
      <c r="J19" s="466"/>
      <c r="K19" s="466"/>
      <c r="L19" s="466"/>
      <c r="M19" s="466"/>
      <c r="N19" s="467"/>
    </row>
    <row r="20" spans="1:14" s="108" customFormat="1" ht="12.75" customHeight="1">
      <c r="A20" s="1"/>
      <c r="B20" s="1"/>
      <c r="C20" s="473" t="s">
        <v>658</v>
      </c>
      <c r="D20" s="466"/>
      <c r="E20" s="466"/>
      <c r="F20" s="466"/>
      <c r="G20" s="466"/>
      <c r="H20" s="466"/>
      <c r="I20" s="466"/>
      <c r="J20" s="466"/>
      <c r="K20" s="466"/>
      <c r="L20" s="466"/>
      <c r="M20" s="466"/>
      <c r="N20" s="467"/>
    </row>
    <row r="21" spans="1:14" s="108" customFormat="1" ht="24" customHeight="1">
      <c r="A21" s="1"/>
      <c r="B21" s="1"/>
      <c r="C21" s="170" t="s">
        <v>118</v>
      </c>
      <c r="D21" s="466"/>
      <c r="E21" s="466">
        <v>484</v>
      </c>
      <c r="F21" s="466"/>
      <c r="G21" s="466"/>
      <c r="H21" s="466"/>
      <c r="I21" s="466"/>
      <c r="J21" s="466"/>
      <c r="K21" s="466"/>
      <c r="L21" s="466"/>
      <c r="M21" s="466"/>
      <c r="N21" s="467">
        <f>SUM(D21:M21)</f>
        <v>484</v>
      </c>
    </row>
    <row r="22" spans="1:14" s="108" customFormat="1" ht="24" customHeight="1">
      <c r="A22" s="1"/>
      <c r="B22" s="1"/>
      <c r="C22" s="363" t="s">
        <v>1426</v>
      </c>
      <c r="D22" s="466"/>
      <c r="E22" s="466"/>
      <c r="F22" s="466"/>
      <c r="G22" s="466"/>
      <c r="H22" s="466"/>
      <c r="I22" s="466"/>
      <c r="J22" s="466"/>
      <c r="K22" s="466"/>
      <c r="L22" s="466"/>
      <c r="M22" s="466"/>
      <c r="N22" s="467"/>
    </row>
    <row r="23" spans="1:14" s="108" customFormat="1" ht="24" customHeight="1">
      <c r="A23" s="1"/>
      <c r="B23" s="1"/>
      <c r="C23" s="474" t="s">
        <v>659</v>
      </c>
      <c r="D23" s="466">
        <v>445</v>
      </c>
      <c r="E23" s="466"/>
      <c r="F23" s="466"/>
      <c r="G23" s="466"/>
      <c r="H23" s="466"/>
      <c r="I23" s="466"/>
      <c r="J23" s="466"/>
      <c r="K23" s="466"/>
      <c r="L23" s="466"/>
      <c r="M23" s="466"/>
      <c r="N23" s="467">
        <f>SUM(D23:M23)</f>
        <v>445</v>
      </c>
    </row>
    <row r="24" spans="1:14" s="108" customFormat="1" ht="24.75" customHeight="1">
      <c r="A24" s="1"/>
      <c r="B24" s="1"/>
      <c r="C24" s="293" t="s">
        <v>1472</v>
      </c>
      <c r="D24" s="444"/>
      <c r="E24" s="466"/>
      <c r="F24" s="466"/>
      <c r="G24" s="466"/>
      <c r="H24" s="466"/>
      <c r="I24" s="466"/>
      <c r="J24" s="466"/>
      <c r="K24" s="466"/>
      <c r="L24" s="466"/>
      <c r="M24" s="466"/>
      <c r="N24" s="467"/>
    </row>
    <row r="25" spans="1:14" s="108" customFormat="1" ht="24.75" customHeight="1">
      <c r="A25" s="1"/>
      <c r="B25" s="1"/>
      <c r="C25" s="474" t="s">
        <v>660</v>
      </c>
      <c r="D25" s="466"/>
      <c r="E25" s="466"/>
      <c r="F25" s="466"/>
      <c r="G25" s="466"/>
      <c r="H25" s="466"/>
      <c r="I25" s="466"/>
      <c r="J25" s="466">
        <v>746</v>
      </c>
      <c r="K25" s="466"/>
      <c r="L25" s="466"/>
      <c r="M25" s="466"/>
      <c r="N25" s="467">
        <f>SUM(D25:M25)</f>
        <v>746</v>
      </c>
    </row>
    <row r="26" spans="1:14" s="108" customFormat="1" ht="24.75" customHeight="1">
      <c r="A26" s="1"/>
      <c r="B26" s="1"/>
      <c r="C26" s="474" t="s">
        <v>661</v>
      </c>
      <c r="D26" s="466"/>
      <c r="E26" s="466"/>
      <c r="F26" s="466"/>
      <c r="G26" s="466">
        <v>262273</v>
      </c>
      <c r="H26" s="466"/>
      <c r="I26" s="466"/>
      <c r="J26" s="475"/>
      <c r="K26" s="466"/>
      <c r="L26" s="466"/>
      <c r="M26" s="466"/>
      <c r="N26" s="467">
        <f>SUM(D26:M26)</f>
        <v>262273</v>
      </c>
    </row>
    <row r="27" spans="1:14" s="108" customFormat="1" ht="18.75" customHeight="1">
      <c r="A27" s="110"/>
      <c r="B27" s="110"/>
      <c r="C27" s="111" t="s">
        <v>1674</v>
      </c>
      <c r="D27" s="469">
        <f aca="true" t="shared" si="2" ref="D27:N27">SUM(D20:D26)</f>
        <v>445</v>
      </c>
      <c r="E27" s="469">
        <f t="shared" si="2"/>
        <v>484</v>
      </c>
      <c r="F27" s="469">
        <f t="shared" si="2"/>
        <v>0</v>
      </c>
      <c r="G27" s="469">
        <f t="shared" si="2"/>
        <v>262273</v>
      </c>
      <c r="H27" s="469">
        <f t="shared" si="2"/>
        <v>0</v>
      </c>
      <c r="I27" s="469">
        <f t="shared" si="2"/>
        <v>0</v>
      </c>
      <c r="J27" s="469">
        <f t="shared" si="2"/>
        <v>746</v>
      </c>
      <c r="K27" s="469">
        <f t="shared" si="2"/>
        <v>0</v>
      </c>
      <c r="L27" s="469">
        <f t="shared" si="2"/>
        <v>0</v>
      </c>
      <c r="M27" s="469">
        <f t="shared" si="2"/>
        <v>0</v>
      </c>
      <c r="N27" s="469">
        <f t="shared" si="2"/>
        <v>263948</v>
      </c>
    </row>
    <row r="28" spans="1:14" s="108" customFormat="1" ht="12.75" customHeight="1">
      <c r="A28" s="1">
        <v>1</v>
      </c>
      <c r="B28" s="1">
        <v>16</v>
      </c>
      <c r="C28" s="463" t="s">
        <v>1493</v>
      </c>
      <c r="D28" s="466"/>
      <c r="E28" s="466"/>
      <c r="F28" s="466"/>
      <c r="G28" s="466"/>
      <c r="H28" s="466"/>
      <c r="I28" s="466"/>
      <c r="J28" s="466"/>
      <c r="K28" s="466"/>
      <c r="L28" s="466"/>
      <c r="M28" s="466"/>
      <c r="N28" s="467"/>
    </row>
    <row r="29" spans="1:14" s="108" customFormat="1" ht="24.75" customHeight="1">
      <c r="A29" s="1"/>
      <c r="B29" s="1"/>
      <c r="C29" s="476" t="s">
        <v>1701</v>
      </c>
      <c r="D29" s="470"/>
      <c r="E29" s="466"/>
      <c r="F29" s="466"/>
      <c r="G29" s="466"/>
      <c r="H29" s="466"/>
      <c r="I29" s="466"/>
      <c r="J29" s="466"/>
      <c r="K29" s="466"/>
      <c r="L29" s="466"/>
      <c r="M29" s="466"/>
      <c r="N29" s="467"/>
    </row>
    <row r="30" spans="1:14" s="108" customFormat="1" ht="43.5" customHeight="1">
      <c r="A30" s="1"/>
      <c r="B30" s="1"/>
      <c r="C30" s="477" t="s">
        <v>662</v>
      </c>
      <c r="D30" s="470"/>
      <c r="E30" s="466">
        <v>246905</v>
      </c>
      <c r="F30" s="466"/>
      <c r="G30" s="466"/>
      <c r="H30" s="466"/>
      <c r="I30" s="466"/>
      <c r="J30" s="466"/>
      <c r="K30" s="466"/>
      <c r="L30" s="466"/>
      <c r="M30" s="466"/>
      <c r="N30" s="467">
        <f>SUM(D30:M30)</f>
        <v>246905</v>
      </c>
    </row>
    <row r="31" spans="1:14" s="108" customFormat="1" ht="19.5" customHeight="1">
      <c r="A31" s="2"/>
      <c r="B31" s="2"/>
      <c r="C31" s="111" t="s">
        <v>1496</v>
      </c>
      <c r="D31" s="469">
        <f aca="true" t="shared" si="3" ref="D31:N31">SUM(D30:D30)</f>
        <v>0</v>
      </c>
      <c r="E31" s="469">
        <f t="shared" si="3"/>
        <v>246905</v>
      </c>
      <c r="F31" s="469">
        <f t="shared" si="3"/>
        <v>0</v>
      </c>
      <c r="G31" s="469">
        <f t="shared" si="3"/>
        <v>0</v>
      </c>
      <c r="H31" s="469">
        <f t="shared" si="3"/>
        <v>0</v>
      </c>
      <c r="I31" s="469">
        <f t="shared" si="3"/>
        <v>0</v>
      </c>
      <c r="J31" s="469">
        <f t="shared" si="3"/>
        <v>0</v>
      </c>
      <c r="K31" s="469">
        <f t="shared" si="3"/>
        <v>0</v>
      </c>
      <c r="L31" s="469">
        <f t="shared" si="3"/>
        <v>0</v>
      </c>
      <c r="M31" s="469">
        <f t="shared" si="3"/>
        <v>0</v>
      </c>
      <c r="N31" s="469">
        <f t="shared" si="3"/>
        <v>246905</v>
      </c>
    </row>
    <row r="32" spans="1:14" s="108" customFormat="1" ht="12.75" customHeight="1">
      <c r="A32" s="1">
        <v>1</v>
      </c>
      <c r="B32" s="1">
        <v>17</v>
      </c>
      <c r="C32" s="463" t="s">
        <v>52</v>
      </c>
      <c r="D32" s="466"/>
      <c r="E32" s="466"/>
      <c r="F32" s="466"/>
      <c r="G32" s="466"/>
      <c r="H32" s="466"/>
      <c r="I32" s="466"/>
      <c r="J32" s="466"/>
      <c r="K32" s="466"/>
      <c r="L32" s="466"/>
      <c r="M32" s="466"/>
      <c r="N32" s="467"/>
    </row>
    <row r="33" spans="1:14" s="108" customFormat="1" ht="24.75" customHeight="1">
      <c r="A33" s="1"/>
      <c r="B33" s="1"/>
      <c r="C33" s="5" t="s">
        <v>1808</v>
      </c>
      <c r="D33" s="466"/>
      <c r="E33" s="466"/>
      <c r="F33" s="466"/>
      <c r="G33" s="466"/>
      <c r="H33" s="466"/>
      <c r="I33" s="466"/>
      <c r="J33" s="466"/>
      <c r="K33" s="466"/>
      <c r="L33" s="466"/>
      <c r="M33" s="466"/>
      <c r="N33" s="467"/>
    </row>
    <row r="34" spans="1:14" s="108" customFormat="1" ht="15" customHeight="1">
      <c r="A34" s="1"/>
      <c r="B34" s="1"/>
      <c r="C34" s="123" t="s">
        <v>876</v>
      </c>
      <c r="D34" s="466"/>
      <c r="E34" s="466"/>
      <c r="F34" s="466"/>
      <c r="G34" s="466">
        <v>-100000</v>
      </c>
      <c r="H34" s="466"/>
      <c r="I34" s="466"/>
      <c r="J34" s="466"/>
      <c r="K34" s="466"/>
      <c r="L34" s="466"/>
      <c r="M34" s="466"/>
      <c r="N34" s="467">
        <f>SUM(D34:M34)</f>
        <v>-100000</v>
      </c>
    </row>
    <row r="35" spans="1:14" s="108" customFormat="1" ht="24.75" customHeight="1">
      <c r="A35" s="1"/>
      <c r="B35" s="1"/>
      <c r="C35" s="478" t="s">
        <v>663</v>
      </c>
      <c r="D35" s="466"/>
      <c r="E35" s="466"/>
      <c r="F35" s="466"/>
      <c r="G35" s="466">
        <v>13970</v>
      </c>
      <c r="H35" s="466"/>
      <c r="I35" s="466"/>
      <c r="J35" s="466"/>
      <c r="K35" s="466"/>
      <c r="L35" s="466"/>
      <c r="M35" s="466"/>
      <c r="N35" s="467">
        <f>SUM(D35:M35)</f>
        <v>13970</v>
      </c>
    </row>
    <row r="36" spans="1:14" s="108" customFormat="1" ht="24.75" customHeight="1">
      <c r="A36" s="1"/>
      <c r="B36" s="1"/>
      <c r="C36" s="145" t="s">
        <v>1565</v>
      </c>
      <c r="D36" s="466"/>
      <c r="E36" s="466"/>
      <c r="F36" s="466"/>
      <c r="G36" s="466"/>
      <c r="H36" s="466"/>
      <c r="I36" s="466"/>
      <c r="J36" s="466"/>
      <c r="K36" s="466"/>
      <c r="L36" s="466"/>
      <c r="M36" s="466"/>
      <c r="N36" s="467"/>
    </row>
    <row r="37" spans="1:14" s="108" customFormat="1" ht="15" customHeight="1">
      <c r="A37" s="1"/>
      <c r="B37" s="1"/>
      <c r="C37" s="479" t="s">
        <v>664</v>
      </c>
      <c r="D37" s="466"/>
      <c r="E37" s="466"/>
      <c r="F37" s="466"/>
      <c r="G37" s="466">
        <v>879</v>
      </c>
      <c r="H37" s="466"/>
      <c r="I37" s="466"/>
      <c r="J37" s="466"/>
      <c r="K37" s="466"/>
      <c r="L37" s="466"/>
      <c r="M37" s="466"/>
      <c r="N37" s="467">
        <f>SUM(D37:M37)</f>
        <v>879</v>
      </c>
    </row>
    <row r="38" spans="1:14" s="108" customFormat="1" ht="24.75" customHeight="1">
      <c r="A38" s="1"/>
      <c r="B38" s="1"/>
      <c r="C38" s="316" t="s">
        <v>1809</v>
      </c>
      <c r="D38" s="466"/>
      <c r="E38" s="466"/>
      <c r="F38" s="466"/>
      <c r="G38" s="466"/>
      <c r="H38" s="466"/>
      <c r="I38" s="466"/>
      <c r="J38" s="466"/>
      <c r="K38" s="466"/>
      <c r="L38" s="466"/>
      <c r="M38" s="466"/>
      <c r="N38" s="467"/>
    </row>
    <row r="39" spans="1:14" s="108" customFormat="1" ht="24.75" customHeight="1">
      <c r="A39" s="1"/>
      <c r="B39" s="1"/>
      <c r="C39" s="479" t="s">
        <v>665</v>
      </c>
      <c r="D39" s="466"/>
      <c r="E39" s="466"/>
      <c r="F39" s="466"/>
      <c r="G39" s="466"/>
      <c r="H39" s="466"/>
      <c r="I39" s="466"/>
      <c r="J39" s="466"/>
      <c r="K39" s="466"/>
      <c r="L39" s="466">
        <v>266456</v>
      </c>
      <c r="M39" s="466"/>
      <c r="N39" s="467">
        <f>SUM(D39:M39)</f>
        <v>266456</v>
      </c>
    </row>
    <row r="40" spans="1:14" s="108" customFormat="1" ht="24.75" customHeight="1">
      <c r="A40" s="1"/>
      <c r="B40" s="1"/>
      <c r="C40" s="479" t="s">
        <v>666</v>
      </c>
      <c r="D40" s="466"/>
      <c r="E40" s="466"/>
      <c r="F40" s="466"/>
      <c r="G40" s="466"/>
      <c r="H40" s="466"/>
      <c r="I40" s="466"/>
      <c r="J40" s="466"/>
      <c r="K40" s="466"/>
      <c r="L40" s="466">
        <v>-301456</v>
      </c>
      <c r="M40" s="466"/>
      <c r="N40" s="467">
        <f>SUM(D40:M40)</f>
        <v>-301456</v>
      </c>
    </row>
    <row r="41" spans="1:14" s="108" customFormat="1" ht="16.5" customHeight="1">
      <c r="A41" s="110"/>
      <c r="B41" s="110"/>
      <c r="C41" s="111" t="s">
        <v>1672</v>
      </c>
      <c r="D41" s="469">
        <f aca="true" t="shared" si="4" ref="D41:N41">SUM(D33:D40)</f>
        <v>0</v>
      </c>
      <c r="E41" s="469">
        <f t="shared" si="4"/>
        <v>0</v>
      </c>
      <c r="F41" s="469">
        <f t="shared" si="4"/>
        <v>0</v>
      </c>
      <c r="G41" s="469">
        <f t="shared" si="4"/>
        <v>-85151</v>
      </c>
      <c r="H41" s="469">
        <f t="shared" si="4"/>
        <v>0</v>
      </c>
      <c r="I41" s="469">
        <f t="shared" si="4"/>
        <v>0</v>
      </c>
      <c r="J41" s="469">
        <f t="shared" si="4"/>
        <v>0</v>
      </c>
      <c r="K41" s="469">
        <f t="shared" si="4"/>
        <v>0</v>
      </c>
      <c r="L41" s="469">
        <f t="shared" si="4"/>
        <v>-35000</v>
      </c>
      <c r="M41" s="469">
        <f t="shared" si="4"/>
        <v>0</v>
      </c>
      <c r="N41" s="469">
        <f t="shared" si="4"/>
        <v>-120151</v>
      </c>
    </row>
    <row r="42" spans="1:14" s="108" customFormat="1" ht="12.75" customHeight="1">
      <c r="A42" s="1">
        <v>1</v>
      </c>
      <c r="B42" s="1">
        <v>18</v>
      </c>
      <c r="C42" s="463" t="s">
        <v>879</v>
      </c>
      <c r="D42" s="466"/>
      <c r="E42" s="466"/>
      <c r="F42" s="466"/>
      <c r="G42" s="466"/>
      <c r="H42" s="466"/>
      <c r="I42" s="466"/>
      <c r="J42" s="466"/>
      <c r="K42" s="466"/>
      <c r="L42" s="466"/>
      <c r="M42" s="466"/>
      <c r="N42" s="467"/>
    </row>
    <row r="43" spans="1:14" s="108" customFormat="1" ht="12.75" customHeight="1">
      <c r="A43" s="1"/>
      <c r="B43" s="1"/>
      <c r="C43" s="463"/>
      <c r="D43" s="466"/>
      <c r="E43" s="466"/>
      <c r="F43" s="466"/>
      <c r="G43" s="466"/>
      <c r="H43" s="466"/>
      <c r="I43" s="466"/>
      <c r="J43" s="466"/>
      <c r="K43" s="466"/>
      <c r="L43" s="466"/>
      <c r="M43" s="466"/>
      <c r="N43" s="467">
        <f>SUM(D43:M43)</f>
        <v>0</v>
      </c>
    </row>
    <row r="44" spans="1:14" s="108" customFormat="1" ht="18.75" customHeight="1">
      <c r="A44" s="2"/>
      <c r="B44" s="2"/>
      <c r="C44" s="111" t="s">
        <v>667</v>
      </c>
      <c r="D44" s="469">
        <f aca="true" t="shared" si="5" ref="D44:N44">SUM(D43:D43)</f>
        <v>0</v>
      </c>
      <c r="E44" s="469">
        <f t="shared" si="5"/>
        <v>0</v>
      </c>
      <c r="F44" s="469">
        <f t="shared" si="5"/>
        <v>0</v>
      </c>
      <c r="G44" s="469">
        <f t="shared" si="5"/>
        <v>0</v>
      </c>
      <c r="H44" s="469">
        <f t="shared" si="5"/>
        <v>0</v>
      </c>
      <c r="I44" s="469">
        <f t="shared" si="5"/>
        <v>0</v>
      </c>
      <c r="J44" s="469">
        <f t="shared" si="5"/>
        <v>0</v>
      </c>
      <c r="K44" s="469">
        <f t="shared" si="5"/>
        <v>0</v>
      </c>
      <c r="L44" s="469">
        <f t="shared" si="5"/>
        <v>0</v>
      </c>
      <c r="M44" s="469">
        <f t="shared" si="5"/>
        <v>0</v>
      </c>
      <c r="N44" s="469">
        <f t="shared" si="5"/>
        <v>0</v>
      </c>
    </row>
    <row r="45" spans="1:14" s="108" customFormat="1" ht="15" customHeight="1">
      <c r="A45" s="1">
        <v>1</v>
      </c>
      <c r="B45" s="1">
        <v>19</v>
      </c>
      <c r="C45" s="463" t="s">
        <v>893</v>
      </c>
      <c r="D45" s="466"/>
      <c r="E45" s="466"/>
      <c r="F45" s="466"/>
      <c r="G45" s="466"/>
      <c r="H45" s="466"/>
      <c r="I45" s="466"/>
      <c r="J45" s="466"/>
      <c r="K45" s="466"/>
      <c r="L45" s="466"/>
      <c r="M45" s="466"/>
      <c r="N45" s="467"/>
    </row>
    <row r="46" spans="1:14" s="108" customFormat="1" ht="24.75" customHeight="1">
      <c r="A46" s="1"/>
      <c r="B46" s="1"/>
      <c r="C46" s="5" t="s">
        <v>1702</v>
      </c>
      <c r="D46" s="466"/>
      <c r="E46" s="466"/>
      <c r="F46" s="466"/>
      <c r="G46" s="466"/>
      <c r="H46" s="466"/>
      <c r="I46" s="466"/>
      <c r="J46" s="466"/>
      <c r="K46" s="466"/>
      <c r="L46" s="466"/>
      <c r="M46" s="466"/>
      <c r="N46" s="467"/>
    </row>
    <row r="47" spans="1:14" s="108" customFormat="1" ht="39" customHeight="1">
      <c r="A47" s="1"/>
      <c r="B47" s="1"/>
      <c r="C47" s="118" t="s">
        <v>668</v>
      </c>
      <c r="D47" s="466">
        <v>124385</v>
      </c>
      <c r="E47" s="466"/>
      <c r="F47" s="466"/>
      <c r="G47" s="466"/>
      <c r="H47" s="466"/>
      <c r="I47" s="466"/>
      <c r="J47" s="466"/>
      <c r="K47" s="466"/>
      <c r="L47" s="466"/>
      <c r="M47" s="466"/>
      <c r="N47" s="467">
        <f>SUM(D47:M47)</f>
        <v>124385</v>
      </c>
    </row>
    <row r="48" spans="1:14" s="108" customFormat="1" ht="15" customHeight="1">
      <c r="A48" s="1"/>
      <c r="B48" s="1"/>
      <c r="C48" s="109" t="s">
        <v>669</v>
      </c>
      <c r="D48" s="466">
        <v>18425</v>
      </c>
      <c r="E48" s="466">
        <v>40010</v>
      </c>
      <c r="F48" s="466"/>
      <c r="G48" s="466"/>
      <c r="H48" s="466"/>
      <c r="I48" s="466"/>
      <c r="J48" s="466"/>
      <c r="K48" s="466"/>
      <c r="L48" s="466"/>
      <c r="M48" s="466"/>
      <c r="N48" s="467">
        <f>SUM(D48:M48)</f>
        <v>58435</v>
      </c>
    </row>
    <row r="49" spans="1:14" s="108" customFormat="1" ht="15" customHeight="1">
      <c r="A49" s="1"/>
      <c r="B49" s="1"/>
      <c r="C49" s="109" t="s">
        <v>670</v>
      </c>
      <c r="D49" s="470">
        <v>26722</v>
      </c>
      <c r="E49" s="466">
        <v>1242223</v>
      </c>
      <c r="F49" s="466"/>
      <c r="G49" s="466"/>
      <c r="H49" s="466"/>
      <c r="I49" s="466"/>
      <c r="J49" s="466"/>
      <c r="K49" s="466"/>
      <c r="L49" s="466"/>
      <c r="M49" s="466"/>
      <c r="N49" s="467">
        <f>SUM(D49:M49)</f>
        <v>1268945</v>
      </c>
    </row>
    <row r="50" spans="1:14" s="108" customFormat="1" ht="24.75" customHeight="1">
      <c r="A50" s="1"/>
      <c r="B50" s="1"/>
      <c r="C50" s="480" t="s">
        <v>1553</v>
      </c>
      <c r="D50" s="470"/>
      <c r="E50" s="466"/>
      <c r="F50" s="466"/>
      <c r="G50" s="466"/>
      <c r="H50" s="466"/>
      <c r="I50" s="466"/>
      <c r="J50" s="466"/>
      <c r="K50" s="466"/>
      <c r="L50" s="466"/>
      <c r="M50" s="466"/>
      <c r="N50" s="467"/>
    </row>
    <row r="51" spans="1:14" s="108" customFormat="1" ht="15" customHeight="1">
      <c r="A51" s="1"/>
      <c r="B51" s="1"/>
      <c r="C51" s="480" t="s">
        <v>671</v>
      </c>
      <c r="D51" s="470"/>
      <c r="E51" s="466"/>
      <c r="F51" s="466"/>
      <c r="G51" s="466">
        <v>69597</v>
      </c>
      <c r="H51" s="466"/>
      <c r="I51" s="466"/>
      <c r="J51" s="466"/>
      <c r="K51" s="466"/>
      <c r="L51" s="466"/>
      <c r="M51" s="466"/>
      <c r="N51" s="467">
        <f>SUM(D51:M51)</f>
        <v>69597</v>
      </c>
    </row>
    <row r="52" spans="1:14" s="108" customFormat="1" ht="15" customHeight="1">
      <c r="A52" s="1"/>
      <c r="B52" s="1"/>
      <c r="C52" s="481" t="s">
        <v>672</v>
      </c>
      <c r="D52" s="470">
        <v>5300</v>
      </c>
      <c r="E52" s="466"/>
      <c r="F52" s="466"/>
      <c r="G52" s="466"/>
      <c r="H52" s="466"/>
      <c r="I52" s="466"/>
      <c r="J52" s="466"/>
      <c r="K52" s="466"/>
      <c r="L52" s="466"/>
      <c r="M52" s="466"/>
      <c r="N52" s="467">
        <f>SUM(D52:M52)</f>
        <v>5300</v>
      </c>
    </row>
    <row r="53" spans="1:14" s="108" customFormat="1" ht="24.75" customHeight="1">
      <c r="A53" s="1"/>
      <c r="B53" s="1"/>
      <c r="C53" s="160" t="s">
        <v>673</v>
      </c>
      <c r="D53" s="470">
        <v>17293</v>
      </c>
      <c r="E53" s="466"/>
      <c r="F53" s="466"/>
      <c r="G53" s="466"/>
      <c r="H53" s="466"/>
      <c r="I53" s="466"/>
      <c r="J53" s="466"/>
      <c r="K53" s="466"/>
      <c r="L53" s="466"/>
      <c r="M53" s="466"/>
      <c r="N53" s="467">
        <f>SUM(D53:M53)</f>
        <v>17293</v>
      </c>
    </row>
    <row r="54" spans="1:14" s="108" customFormat="1" ht="15" customHeight="1">
      <c r="A54" s="1"/>
      <c r="B54" s="1"/>
      <c r="C54" s="138" t="s">
        <v>674</v>
      </c>
      <c r="D54" s="470"/>
      <c r="E54" s="466"/>
      <c r="F54" s="466"/>
      <c r="G54" s="466">
        <v>1700</v>
      </c>
      <c r="H54" s="466"/>
      <c r="I54" s="466"/>
      <c r="J54" s="466"/>
      <c r="K54" s="466"/>
      <c r="L54" s="466"/>
      <c r="M54" s="466"/>
      <c r="N54" s="467">
        <f>SUM(D54:M54)</f>
        <v>1700</v>
      </c>
    </row>
    <row r="55" spans="1:14" s="108" customFormat="1" ht="24.75" customHeight="1">
      <c r="A55" s="1"/>
      <c r="B55" s="1"/>
      <c r="C55" s="363" t="s">
        <v>675</v>
      </c>
      <c r="D55" s="470">
        <v>1738</v>
      </c>
      <c r="E55" s="466"/>
      <c r="F55" s="466"/>
      <c r="G55" s="466"/>
      <c r="H55" s="466"/>
      <c r="I55" s="466"/>
      <c r="J55" s="466"/>
      <c r="K55" s="466"/>
      <c r="L55" s="466"/>
      <c r="M55" s="466"/>
      <c r="N55" s="467">
        <f>SUM(D55:M55)</f>
        <v>1738</v>
      </c>
    </row>
    <row r="56" spans="1:14" s="108" customFormat="1" ht="24.75" customHeight="1">
      <c r="A56" s="1"/>
      <c r="B56" s="1"/>
      <c r="C56" s="316" t="s">
        <v>1809</v>
      </c>
      <c r="D56" s="470"/>
      <c r="E56" s="466"/>
      <c r="F56" s="466"/>
      <c r="G56" s="466"/>
      <c r="H56" s="466"/>
      <c r="I56" s="466"/>
      <c r="J56" s="466"/>
      <c r="K56" s="466"/>
      <c r="L56" s="466"/>
      <c r="M56" s="466"/>
      <c r="N56" s="467"/>
    </row>
    <row r="57" spans="1:14" s="108" customFormat="1" ht="24.75" customHeight="1">
      <c r="A57" s="1"/>
      <c r="B57" s="1"/>
      <c r="C57" s="118" t="s">
        <v>1711</v>
      </c>
      <c r="D57" s="470"/>
      <c r="E57" s="466"/>
      <c r="F57" s="466"/>
      <c r="G57" s="466"/>
      <c r="H57" s="466"/>
      <c r="I57" s="466"/>
      <c r="J57" s="466"/>
      <c r="K57" s="466"/>
      <c r="L57" s="466">
        <v>168987</v>
      </c>
      <c r="M57" s="466"/>
      <c r="N57" s="467">
        <f>SUM(D57:M57)</f>
        <v>168987</v>
      </c>
    </row>
    <row r="58" spans="1:14" s="108" customFormat="1" ht="15" customHeight="1">
      <c r="A58" s="1"/>
      <c r="B58" s="1"/>
      <c r="C58" s="171" t="s">
        <v>676</v>
      </c>
      <c r="D58" s="470"/>
      <c r="E58" s="466"/>
      <c r="F58" s="466"/>
      <c r="G58" s="466"/>
      <c r="H58" s="466"/>
      <c r="I58" s="466"/>
      <c r="J58" s="466"/>
      <c r="K58" s="466"/>
      <c r="L58" s="466">
        <v>169168</v>
      </c>
      <c r="M58" s="466"/>
      <c r="N58" s="467">
        <f>SUM(D58:M58)</f>
        <v>169168</v>
      </c>
    </row>
    <row r="59" spans="1:14" s="108" customFormat="1" ht="12.75" customHeight="1">
      <c r="A59" s="2"/>
      <c r="B59" s="110"/>
      <c r="C59" s="111" t="s">
        <v>895</v>
      </c>
      <c r="D59" s="469">
        <f aca="true" t="shared" si="6" ref="D59:N59">SUM(D45:D58)</f>
        <v>193863</v>
      </c>
      <c r="E59" s="469">
        <f t="shared" si="6"/>
        <v>1282233</v>
      </c>
      <c r="F59" s="469">
        <f t="shared" si="6"/>
        <v>0</v>
      </c>
      <c r="G59" s="469">
        <f t="shared" si="6"/>
        <v>71297</v>
      </c>
      <c r="H59" s="469">
        <f t="shared" si="6"/>
        <v>0</v>
      </c>
      <c r="I59" s="469">
        <f t="shared" si="6"/>
        <v>0</v>
      </c>
      <c r="J59" s="469">
        <f t="shared" si="6"/>
        <v>0</v>
      </c>
      <c r="K59" s="469">
        <f t="shared" si="6"/>
        <v>0</v>
      </c>
      <c r="L59" s="469">
        <f t="shared" si="6"/>
        <v>338155</v>
      </c>
      <c r="M59" s="469">
        <f t="shared" si="6"/>
        <v>0</v>
      </c>
      <c r="N59" s="469">
        <f t="shared" si="6"/>
        <v>1885548</v>
      </c>
    </row>
    <row r="60" spans="1:14" s="108" customFormat="1" ht="12.75" customHeight="1">
      <c r="A60" s="114">
        <v>1</v>
      </c>
      <c r="B60" s="114">
        <v>20</v>
      </c>
      <c r="C60" s="117" t="s">
        <v>1886</v>
      </c>
      <c r="D60" s="482"/>
      <c r="E60" s="482"/>
      <c r="F60" s="482"/>
      <c r="G60" s="482"/>
      <c r="H60" s="482"/>
      <c r="I60" s="482"/>
      <c r="J60" s="482"/>
      <c r="K60" s="482"/>
      <c r="L60" s="482"/>
      <c r="M60" s="482"/>
      <c r="N60" s="482"/>
    </row>
    <row r="61" spans="1:14" s="108" customFormat="1" ht="12.75" customHeight="1">
      <c r="A61" s="114"/>
      <c r="B61" s="114"/>
      <c r="C61" s="113"/>
      <c r="D61" s="482"/>
      <c r="E61" s="482"/>
      <c r="F61" s="475"/>
      <c r="G61" s="482"/>
      <c r="H61" s="482"/>
      <c r="I61" s="482"/>
      <c r="J61" s="482"/>
      <c r="K61" s="482"/>
      <c r="L61" s="482"/>
      <c r="M61" s="482"/>
      <c r="N61" s="482">
        <f>SUM(D61:M61)</f>
        <v>0</v>
      </c>
    </row>
    <row r="62" spans="1:14" s="108" customFormat="1" ht="12.75" customHeight="1">
      <c r="A62" s="2"/>
      <c r="B62" s="110"/>
      <c r="C62" s="111" t="s">
        <v>677</v>
      </c>
      <c r="D62" s="469">
        <f aca="true" t="shared" si="7" ref="D62:N62">SUM(D60:D61)</f>
        <v>0</v>
      </c>
      <c r="E62" s="469">
        <f t="shared" si="7"/>
        <v>0</v>
      </c>
      <c r="F62" s="469">
        <f t="shared" si="7"/>
        <v>0</v>
      </c>
      <c r="G62" s="469">
        <f t="shared" si="7"/>
        <v>0</v>
      </c>
      <c r="H62" s="469">
        <f t="shared" si="7"/>
        <v>0</v>
      </c>
      <c r="I62" s="469">
        <f t="shared" si="7"/>
        <v>0</v>
      </c>
      <c r="J62" s="469">
        <f t="shared" si="7"/>
        <v>0</v>
      </c>
      <c r="K62" s="469">
        <f t="shared" si="7"/>
        <v>0</v>
      </c>
      <c r="L62" s="469">
        <f t="shared" si="7"/>
        <v>0</v>
      </c>
      <c r="M62" s="469">
        <f t="shared" si="7"/>
        <v>0</v>
      </c>
      <c r="N62" s="469">
        <f t="shared" si="7"/>
        <v>0</v>
      </c>
    </row>
    <row r="63" spans="1:14" s="108" customFormat="1" ht="12.75" customHeight="1">
      <c r="A63" s="114">
        <v>1</v>
      </c>
      <c r="B63" s="114">
        <v>22</v>
      </c>
      <c r="C63" s="117" t="s">
        <v>1090</v>
      </c>
      <c r="D63" s="482"/>
      <c r="E63" s="482"/>
      <c r="F63" s="482"/>
      <c r="G63" s="482"/>
      <c r="H63" s="482"/>
      <c r="I63" s="482"/>
      <c r="J63" s="482"/>
      <c r="K63" s="482"/>
      <c r="L63" s="482"/>
      <c r="M63" s="482"/>
      <c r="N63" s="482"/>
    </row>
    <row r="64" spans="1:14" s="108" customFormat="1" ht="12.75" customHeight="1">
      <c r="A64" s="114"/>
      <c r="B64" s="116"/>
      <c r="C64" s="483"/>
      <c r="D64" s="482"/>
      <c r="E64" s="475"/>
      <c r="F64" s="475"/>
      <c r="G64" s="475"/>
      <c r="H64" s="475"/>
      <c r="I64" s="475"/>
      <c r="J64" s="475"/>
      <c r="K64" s="475"/>
      <c r="L64" s="475"/>
      <c r="M64" s="475"/>
      <c r="N64" s="475">
        <f>SUM(D64:M64)</f>
        <v>0</v>
      </c>
    </row>
    <row r="65" spans="1:14" s="108" customFormat="1" ht="12.75" customHeight="1">
      <c r="A65" s="2"/>
      <c r="B65" s="110"/>
      <c r="C65" s="111" t="s">
        <v>1092</v>
      </c>
      <c r="D65" s="469">
        <f aca="true" t="shared" si="8" ref="D65:N65">SUM(D64:D64)</f>
        <v>0</v>
      </c>
      <c r="E65" s="469">
        <f t="shared" si="8"/>
        <v>0</v>
      </c>
      <c r="F65" s="469">
        <f t="shared" si="8"/>
        <v>0</v>
      </c>
      <c r="G65" s="469">
        <f t="shared" si="8"/>
        <v>0</v>
      </c>
      <c r="H65" s="469">
        <f t="shared" si="8"/>
        <v>0</v>
      </c>
      <c r="I65" s="469">
        <f t="shared" si="8"/>
        <v>0</v>
      </c>
      <c r="J65" s="469">
        <f t="shared" si="8"/>
        <v>0</v>
      </c>
      <c r="K65" s="469">
        <f t="shared" si="8"/>
        <v>0</v>
      </c>
      <c r="L65" s="469">
        <f t="shared" si="8"/>
        <v>0</v>
      </c>
      <c r="M65" s="469">
        <f t="shared" si="8"/>
        <v>0</v>
      </c>
      <c r="N65" s="469">
        <f t="shared" si="8"/>
        <v>0</v>
      </c>
    </row>
    <row r="66" spans="1:14" s="108" customFormat="1" ht="25.5" customHeight="1">
      <c r="A66" s="110"/>
      <c r="B66" s="110"/>
      <c r="C66" s="484" t="s">
        <v>602</v>
      </c>
      <c r="D66" s="469">
        <f aca="true" t="shared" si="9" ref="D66:N66">SUM(D8+D18+D27+D31+D41+D44+D59+D62+D65)</f>
        <v>205007</v>
      </c>
      <c r="E66" s="469">
        <f t="shared" si="9"/>
        <v>1529622</v>
      </c>
      <c r="F66" s="469">
        <f t="shared" si="9"/>
        <v>0</v>
      </c>
      <c r="G66" s="469">
        <f t="shared" si="9"/>
        <v>248419</v>
      </c>
      <c r="H66" s="469">
        <f t="shared" si="9"/>
        <v>0</v>
      </c>
      <c r="I66" s="469">
        <f t="shared" si="9"/>
        <v>0</v>
      </c>
      <c r="J66" s="469">
        <f t="shared" si="9"/>
        <v>746</v>
      </c>
      <c r="K66" s="469">
        <f t="shared" si="9"/>
        <v>0</v>
      </c>
      <c r="L66" s="469">
        <f t="shared" si="9"/>
        <v>303155</v>
      </c>
      <c r="M66" s="469">
        <f t="shared" si="9"/>
        <v>0</v>
      </c>
      <c r="N66" s="469">
        <f t="shared" si="9"/>
        <v>2286949</v>
      </c>
    </row>
    <row r="67" spans="1:14" s="108" customFormat="1" ht="15" customHeight="1">
      <c r="A67" s="114">
        <v>2</v>
      </c>
      <c r="B67" s="116"/>
      <c r="C67" s="113" t="s">
        <v>398</v>
      </c>
      <c r="D67" s="475">
        <f>'[1]táj.1.'!C20</f>
        <v>40614</v>
      </c>
      <c r="E67" s="475">
        <f>'[1]táj.1.'!D20</f>
        <v>37876</v>
      </c>
      <c r="F67" s="475">
        <f>'[1]táj.1.'!E20</f>
        <v>0</v>
      </c>
      <c r="G67" s="475">
        <f>'[1]táj.1.'!F20</f>
        <v>10900</v>
      </c>
      <c r="H67" s="475">
        <f>'[1]táj.1.'!G20</f>
        <v>0</v>
      </c>
      <c r="I67" s="475">
        <f>'[1]táj.1.'!H20</f>
        <v>394</v>
      </c>
      <c r="J67" s="475">
        <f>'[1]táj.1.'!I20</f>
        <v>0</v>
      </c>
      <c r="K67" s="475"/>
      <c r="L67" s="475">
        <f>'[1]táj.1.'!J20</f>
        <v>200339</v>
      </c>
      <c r="M67" s="475">
        <f>'[1]táj.1.'!L20</f>
        <v>0</v>
      </c>
      <c r="N67" s="475">
        <f>SUM(D67:M67)</f>
        <v>290123</v>
      </c>
    </row>
    <row r="68" spans="1:14" s="108" customFormat="1" ht="15" customHeight="1">
      <c r="A68" s="110"/>
      <c r="B68" s="110"/>
      <c r="C68" s="111" t="s">
        <v>376</v>
      </c>
      <c r="D68" s="469">
        <f aca="true" t="shared" si="10" ref="D68:N68">SUM(D66:D67)</f>
        <v>245621</v>
      </c>
      <c r="E68" s="469">
        <f t="shared" si="10"/>
        <v>1567498</v>
      </c>
      <c r="F68" s="469">
        <f t="shared" si="10"/>
        <v>0</v>
      </c>
      <c r="G68" s="469">
        <f t="shared" si="10"/>
        <v>259319</v>
      </c>
      <c r="H68" s="469">
        <f t="shared" si="10"/>
        <v>0</v>
      </c>
      <c r="I68" s="469">
        <f t="shared" si="10"/>
        <v>394</v>
      </c>
      <c r="J68" s="469">
        <f t="shared" si="10"/>
        <v>746</v>
      </c>
      <c r="K68" s="469">
        <f t="shared" si="10"/>
        <v>0</v>
      </c>
      <c r="L68" s="469">
        <f t="shared" si="10"/>
        <v>503494</v>
      </c>
      <c r="M68" s="469">
        <f t="shared" si="10"/>
        <v>0</v>
      </c>
      <c r="N68" s="469">
        <f t="shared" si="10"/>
        <v>2577072</v>
      </c>
    </row>
    <row r="69" spans="1:14" s="108" customFormat="1" ht="13.5" customHeight="1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</row>
    <row r="70" spans="1:14" ht="12.75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</row>
    <row r="71" spans="1:14" ht="12.75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</row>
    <row r="72" spans="1:14" ht="12.75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50"/>
    </row>
    <row r="73" spans="1:14" ht="12.75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</row>
    <row r="74" spans="1:14" ht="12.75">
      <c r="A74" s="129"/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</row>
    <row r="75" spans="1:14" ht="12.75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</row>
    <row r="76" spans="1:14" ht="12.75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</row>
    <row r="77" spans="1:14" ht="12.75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</row>
    <row r="78" spans="3:14" ht="12.75"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</row>
    <row r="79" spans="3:14" ht="12.75"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</row>
    <row r="80" spans="3:14" ht="12.75"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</row>
    <row r="81" spans="3:14" ht="12.75"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</row>
    <row r="82" spans="3:14" ht="12.75"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</row>
    <row r="83" spans="3:14" ht="12.75"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</row>
    <row r="84" spans="3:14" ht="12.75"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</row>
    <row r="85" spans="3:14" ht="12.75"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</row>
    <row r="86" spans="3:14" ht="12.75"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</row>
    <row r="87" spans="3:14" ht="12.75"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</row>
    <row r="88" spans="3:14" ht="12.75"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</row>
    <row r="89" spans="3:14" ht="12.75"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</row>
    <row r="90" spans="3:14" ht="12.75"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</row>
    <row r="91" spans="3:14" ht="12.75"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</row>
    <row r="92" spans="3:14" ht="12.75"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</row>
    <row r="93" spans="3:14" ht="12.75"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</row>
    <row r="94" spans="3:14" ht="12.75"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</row>
  </sheetData>
  <sheetProtection/>
  <mergeCells count="3">
    <mergeCell ref="D1:J1"/>
    <mergeCell ref="K1:M1"/>
    <mergeCell ref="N1:N2"/>
  </mergeCells>
  <printOptions horizontalCentered="1" verticalCentered="1"/>
  <pageMargins left="0.11811023622047245" right="0.11811023622047245" top="1.1811023622047245" bottom="0.7086614173228347" header="0.5905511811023623" footer="0.5118110236220472"/>
  <pageSetup horizontalDpi="600" verticalDpi="600" orientation="landscape" paperSize="9" scale="90" r:id="rId1"/>
  <headerFooter alignWithMargins="0">
    <oddHeader>&amp;C&amp;"Times New Roman,Normál"ZALAEGERSZEG MEGYEI JOGÚ VÁROS ÖNKORMÁNYZATA
2014. ÉVI BEVÉTELI ELŐIRÁNYZATAINAK  MÓDOSÍTÁSA AZ I. NEGYEDÉVBEN&amp;R&amp;"Times New Roman,Normál"5.a  melléklet mód.
Adatok: ezer Ft-ban</oddHeader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92"/>
  <sheetViews>
    <sheetView workbookViewId="0" topLeftCell="D1">
      <pane ySplit="2" topLeftCell="BM57" activePane="bottomLeft" state="frozen"/>
      <selection pane="topLeft" activeCell="A1" sqref="A1"/>
      <selection pane="bottomLeft" activeCell="D66" sqref="D66:L66"/>
    </sheetView>
  </sheetViews>
  <sheetFormatPr defaultColWidth="9.00390625" defaultRowHeight="12.75"/>
  <cols>
    <col min="1" max="1" width="5.625" style="124" customWidth="1"/>
    <col min="2" max="2" width="6.375" style="124" customWidth="1"/>
    <col min="3" max="3" width="39.00390625" style="124" customWidth="1"/>
    <col min="4" max="4" width="11.125" style="124" customWidth="1"/>
    <col min="5" max="5" width="11.375" style="124" customWidth="1"/>
    <col min="6" max="6" width="11.875" style="124" customWidth="1"/>
    <col min="7" max="7" width="9.875" style="124" customWidth="1"/>
    <col min="8" max="8" width="10.625" style="124" customWidth="1"/>
    <col min="9" max="9" width="11.375" style="124" customWidth="1"/>
    <col min="10" max="10" width="12.50390625" style="124" customWidth="1"/>
    <col min="11" max="11" width="11.625" style="124" customWidth="1"/>
    <col min="12" max="12" width="12.875" style="124" customWidth="1"/>
    <col min="13" max="13" width="11.375" style="124" customWidth="1"/>
    <col min="14" max="14" width="12.625" style="124" customWidth="1"/>
    <col min="15" max="16384" width="9.375" style="124" customWidth="1"/>
  </cols>
  <sheetData>
    <row r="1" spans="1:14" s="108" customFormat="1" ht="16.5" customHeight="1">
      <c r="A1" s="578"/>
      <c r="B1" s="579"/>
      <c r="C1" s="580"/>
      <c r="D1" s="1274" t="s">
        <v>61</v>
      </c>
      <c r="E1" s="1275"/>
      <c r="F1" s="1275"/>
      <c r="G1" s="1275"/>
      <c r="H1" s="1275"/>
      <c r="I1" s="1275"/>
      <c r="J1" s="1276"/>
      <c r="K1" s="1277" t="s">
        <v>990</v>
      </c>
      <c r="L1" s="1278"/>
      <c r="M1" s="1279"/>
      <c r="N1" s="1280" t="s">
        <v>49</v>
      </c>
    </row>
    <row r="2" spans="1:14" s="108" customFormat="1" ht="78.75" customHeight="1" thickBot="1">
      <c r="A2" s="581" t="s">
        <v>654</v>
      </c>
      <c r="B2" s="582" t="s">
        <v>655</v>
      </c>
      <c r="C2" s="583" t="s">
        <v>46</v>
      </c>
      <c r="D2" s="561" t="s">
        <v>436</v>
      </c>
      <c r="E2" s="561" t="s">
        <v>437</v>
      </c>
      <c r="F2" s="560" t="s">
        <v>438</v>
      </c>
      <c r="G2" s="561" t="s">
        <v>443</v>
      </c>
      <c r="H2" s="561" t="s">
        <v>444</v>
      </c>
      <c r="I2" s="561" t="s">
        <v>445</v>
      </c>
      <c r="J2" s="561" t="s">
        <v>446</v>
      </c>
      <c r="K2" s="561" t="s">
        <v>62</v>
      </c>
      <c r="L2" s="561" t="s">
        <v>63</v>
      </c>
      <c r="M2" s="561" t="s">
        <v>65</v>
      </c>
      <c r="N2" s="1281"/>
    </row>
    <row r="3" spans="1:14" s="108" customFormat="1" ht="12.75" customHeight="1">
      <c r="A3" s="584">
        <v>1</v>
      </c>
      <c r="B3" s="584"/>
      <c r="C3" s="585" t="s">
        <v>396</v>
      </c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7"/>
    </row>
    <row r="4" spans="1:14" s="108" customFormat="1" ht="12.75" customHeight="1">
      <c r="A4" s="584">
        <v>1</v>
      </c>
      <c r="B4" s="584">
        <v>1</v>
      </c>
      <c r="C4" s="588" t="s">
        <v>1885</v>
      </c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90"/>
    </row>
    <row r="5" spans="1:14" s="108" customFormat="1" ht="12.75" customHeight="1">
      <c r="A5" s="584">
        <v>1</v>
      </c>
      <c r="B5" s="584">
        <v>12</v>
      </c>
      <c r="C5" s="588" t="s">
        <v>249</v>
      </c>
      <c r="D5" s="589"/>
      <c r="E5" s="589"/>
      <c r="F5" s="589"/>
      <c r="G5" s="589"/>
      <c r="H5" s="589"/>
      <c r="I5" s="589"/>
      <c r="J5" s="589"/>
      <c r="K5" s="589"/>
      <c r="L5" s="589"/>
      <c r="M5" s="589"/>
      <c r="N5" s="590"/>
    </row>
    <row r="6" spans="1:14" s="108" customFormat="1" ht="24" customHeight="1">
      <c r="A6" s="591"/>
      <c r="B6" s="591"/>
      <c r="C6" s="592" t="s">
        <v>840</v>
      </c>
      <c r="D6" s="593"/>
      <c r="E6" s="594"/>
      <c r="F6" s="594"/>
      <c r="G6" s="594"/>
      <c r="H6" s="594"/>
      <c r="I6" s="594"/>
      <c r="J6" s="594"/>
      <c r="K6" s="594"/>
      <c r="L6" s="594"/>
      <c r="M6" s="594"/>
      <c r="N6" s="595"/>
    </row>
    <row r="7" spans="1:14" s="108" customFormat="1" ht="12.75" customHeight="1">
      <c r="A7" s="591"/>
      <c r="B7" s="591"/>
      <c r="C7" s="596" t="s">
        <v>656</v>
      </c>
      <c r="D7" s="597">
        <v>56</v>
      </c>
      <c r="E7" s="594"/>
      <c r="F7" s="594"/>
      <c r="G7" s="594"/>
      <c r="H7" s="594"/>
      <c r="I7" s="594"/>
      <c r="J7" s="594"/>
      <c r="K7" s="594"/>
      <c r="L7" s="594"/>
      <c r="M7" s="594"/>
      <c r="N7" s="595">
        <f>SUM(D7:M7)</f>
        <v>56</v>
      </c>
    </row>
    <row r="8" spans="1:14" s="108" customFormat="1" ht="16.5" customHeight="1">
      <c r="A8" s="598"/>
      <c r="B8" s="598"/>
      <c r="C8" s="599" t="s">
        <v>256</v>
      </c>
      <c r="D8" s="600">
        <f aca="true" t="shared" si="0" ref="D8:N8">SUM(D6:D7)</f>
        <v>56</v>
      </c>
      <c r="E8" s="600">
        <f t="shared" si="0"/>
        <v>0</v>
      </c>
      <c r="F8" s="600">
        <f t="shared" si="0"/>
        <v>0</v>
      </c>
      <c r="G8" s="600">
        <f t="shared" si="0"/>
        <v>0</v>
      </c>
      <c r="H8" s="600">
        <f t="shared" si="0"/>
        <v>0</v>
      </c>
      <c r="I8" s="600">
        <f t="shared" si="0"/>
        <v>0</v>
      </c>
      <c r="J8" s="600">
        <f t="shared" si="0"/>
        <v>0</v>
      </c>
      <c r="K8" s="600">
        <f t="shared" si="0"/>
        <v>0</v>
      </c>
      <c r="L8" s="600">
        <f t="shared" si="0"/>
        <v>0</v>
      </c>
      <c r="M8" s="600">
        <f t="shared" si="0"/>
        <v>0</v>
      </c>
      <c r="N8" s="600">
        <f t="shared" si="0"/>
        <v>56</v>
      </c>
    </row>
    <row r="9" spans="1:14" s="108" customFormat="1" ht="12.75" customHeight="1">
      <c r="A9" s="584">
        <v>1</v>
      </c>
      <c r="B9" s="584">
        <v>13</v>
      </c>
      <c r="C9" s="588" t="s">
        <v>250</v>
      </c>
      <c r="D9" s="594"/>
      <c r="E9" s="594"/>
      <c r="F9" s="594"/>
      <c r="G9" s="594"/>
      <c r="H9" s="594"/>
      <c r="I9" s="594"/>
      <c r="J9" s="594"/>
      <c r="K9" s="594"/>
      <c r="L9" s="594"/>
      <c r="M9" s="594"/>
      <c r="N9" s="595"/>
    </row>
    <row r="10" spans="1:14" s="108" customFormat="1" ht="12.75" customHeight="1">
      <c r="A10" s="591"/>
      <c r="B10" s="591"/>
      <c r="C10" s="601" t="s">
        <v>365</v>
      </c>
      <c r="D10" s="594"/>
      <c r="E10" s="594"/>
      <c r="F10" s="594"/>
      <c r="G10" s="594"/>
      <c r="H10" s="594"/>
      <c r="I10" s="594"/>
      <c r="J10" s="594"/>
      <c r="K10" s="594"/>
      <c r="L10" s="594"/>
      <c r="M10" s="594"/>
      <c r="N10" s="595"/>
    </row>
    <row r="11" spans="1:14" s="108" customFormat="1" ht="12.75" customHeight="1">
      <c r="A11" s="591"/>
      <c r="B11" s="591"/>
      <c r="C11" s="559" t="s">
        <v>1468</v>
      </c>
      <c r="D11" s="602"/>
      <c r="E11" s="594"/>
      <c r="F11" s="594"/>
      <c r="G11" s="594"/>
      <c r="H11" s="594"/>
      <c r="I11" s="594"/>
      <c r="J11" s="594"/>
      <c r="K11" s="594"/>
      <c r="L11" s="594"/>
      <c r="M11" s="594"/>
      <c r="N11" s="595"/>
    </row>
    <row r="12" spans="1:14" s="108" customFormat="1" ht="12.75" customHeight="1">
      <c r="A12" s="591"/>
      <c r="B12" s="591"/>
      <c r="C12" s="558" t="s">
        <v>787</v>
      </c>
      <c r="D12" s="602">
        <v>50</v>
      </c>
      <c r="E12" s="594"/>
      <c r="F12" s="594"/>
      <c r="G12" s="594"/>
      <c r="H12" s="594"/>
      <c r="I12" s="594"/>
      <c r="J12" s="594"/>
      <c r="K12" s="594"/>
      <c r="L12" s="594"/>
      <c r="M12" s="594"/>
      <c r="N12" s="595">
        <f>SUM(D12:M12)</f>
        <v>50</v>
      </c>
    </row>
    <row r="13" spans="1:14" s="108" customFormat="1" ht="12.75" customHeight="1">
      <c r="A13" s="591"/>
      <c r="B13" s="591"/>
      <c r="C13" s="603" t="s">
        <v>1235</v>
      </c>
      <c r="D13" s="604"/>
      <c r="E13" s="594"/>
      <c r="F13" s="594"/>
      <c r="G13" s="594"/>
      <c r="H13" s="594"/>
      <c r="I13" s="594"/>
      <c r="J13" s="594"/>
      <c r="K13" s="594"/>
      <c r="L13" s="594"/>
      <c r="M13" s="594"/>
      <c r="N13" s="595"/>
    </row>
    <row r="14" spans="1:14" s="108" customFormat="1" ht="15" customHeight="1">
      <c r="A14" s="591"/>
      <c r="B14" s="591"/>
      <c r="C14" s="605" t="s">
        <v>1464</v>
      </c>
      <c r="D14" s="606"/>
      <c r="E14" s="594"/>
      <c r="F14" s="594"/>
      <c r="G14" s="594"/>
      <c r="H14" s="594"/>
      <c r="I14" s="594"/>
      <c r="J14" s="594"/>
      <c r="K14" s="594"/>
      <c r="L14" s="594"/>
      <c r="M14" s="594"/>
      <c r="N14" s="595"/>
    </row>
    <row r="15" spans="1:14" s="108" customFormat="1" ht="24.75" customHeight="1">
      <c r="A15" s="591"/>
      <c r="B15" s="591"/>
      <c r="C15" s="559" t="s">
        <v>492</v>
      </c>
      <c r="D15" s="607">
        <v>600</v>
      </c>
      <c r="E15" s="594"/>
      <c r="F15" s="594"/>
      <c r="G15" s="594"/>
      <c r="H15" s="594"/>
      <c r="I15" s="594"/>
      <c r="J15" s="594"/>
      <c r="K15" s="594"/>
      <c r="L15" s="594"/>
      <c r="M15" s="594"/>
      <c r="N15" s="595">
        <f>SUM(D15:M15)</f>
        <v>600</v>
      </c>
    </row>
    <row r="16" spans="1:14" s="108" customFormat="1" ht="18.75" customHeight="1">
      <c r="A16" s="608"/>
      <c r="B16" s="608"/>
      <c r="C16" s="599" t="s">
        <v>252</v>
      </c>
      <c r="D16" s="600">
        <f aca="true" t="shared" si="1" ref="D16:N16">SUM(D11:D15)</f>
        <v>650</v>
      </c>
      <c r="E16" s="600">
        <f t="shared" si="1"/>
        <v>0</v>
      </c>
      <c r="F16" s="600">
        <f t="shared" si="1"/>
        <v>0</v>
      </c>
      <c r="G16" s="600">
        <f t="shared" si="1"/>
        <v>0</v>
      </c>
      <c r="H16" s="600">
        <f t="shared" si="1"/>
        <v>0</v>
      </c>
      <c r="I16" s="600">
        <f t="shared" si="1"/>
        <v>0</v>
      </c>
      <c r="J16" s="600">
        <f t="shared" si="1"/>
        <v>0</v>
      </c>
      <c r="K16" s="600">
        <f t="shared" si="1"/>
        <v>0</v>
      </c>
      <c r="L16" s="600">
        <f t="shared" si="1"/>
        <v>0</v>
      </c>
      <c r="M16" s="600">
        <f t="shared" si="1"/>
        <v>0</v>
      </c>
      <c r="N16" s="600">
        <f t="shared" si="1"/>
        <v>650</v>
      </c>
    </row>
    <row r="17" spans="1:14" s="108" customFormat="1" ht="12.75" customHeight="1">
      <c r="A17" s="584">
        <v>1</v>
      </c>
      <c r="B17" s="584">
        <v>15</v>
      </c>
      <c r="C17" s="588" t="s">
        <v>51</v>
      </c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5"/>
    </row>
    <row r="18" spans="1:14" s="108" customFormat="1" ht="12.75" customHeight="1">
      <c r="A18" s="591"/>
      <c r="B18" s="591"/>
      <c r="C18" s="609" t="s">
        <v>658</v>
      </c>
      <c r="D18" s="594"/>
      <c r="E18" s="594"/>
      <c r="F18" s="594"/>
      <c r="G18" s="594"/>
      <c r="H18" s="594"/>
      <c r="I18" s="594"/>
      <c r="J18" s="594"/>
      <c r="K18" s="594"/>
      <c r="L18" s="594"/>
      <c r="M18" s="594"/>
      <c r="N18" s="595"/>
    </row>
    <row r="19" spans="1:14" s="108" customFormat="1" ht="24" customHeight="1">
      <c r="A19" s="591"/>
      <c r="B19" s="591"/>
      <c r="C19" s="568" t="s">
        <v>788</v>
      </c>
      <c r="D19" s="594"/>
      <c r="E19" s="594"/>
      <c r="F19" s="594"/>
      <c r="G19" s="594"/>
      <c r="H19" s="594"/>
      <c r="I19" s="594"/>
      <c r="J19" s="594">
        <v>400</v>
      </c>
      <c r="K19" s="594"/>
      <c r="L19" s="594"/>
      <c r="M19" s="594"/>
      <c r="N19" s="595">
        <f>SUM(D19:M19)</f>
        <v>400</v>
      </c>
    </row>
    <row r="20" spans="1:14" s="108" customFormat="1" ht="24" customHeight="1">
      <c r="A20" s="591"/>
      <c r="B20" s="591"/>
      <c r="C20" s="571" t="s">
        <v>1426</v>
      </c>
      <c r="D20" s="594"/>
      <c r="E20" s="594"/>
      <c r="F20" s="594"/>
      <c r="G20" s="594"/>
      <c r="H20" s="594"/>
      <c r="I20" s="594"/>
      <c r="J20" s="594"/>
      <c r="K20" s="594"/>
      <c r="L20" s="594"/>
      <c r="M20" s="594"/>
      <c r="N20" s="595"/>
    </row>
    <row r="21" spans="1:14" s="108" customFormat="1" ht="24" customHeight="1">
      <c r="A21" s="591"/>
      <c r="B21" s="591"/>
      <c r="C21" s="610" t="s">
        <v>659</v>
      </c>
      <c r="D21" s="594">
        <v>735</v>
      </c>
      <c r="E21" s="594"/>
      <c r="F21" s="594"/>
      <c r="G21" s="594"/>
      <c r="H21" s="594"/>
      <c r="I21" s="594"/>
      <c r="J21" s="594"/>
      <c r="K21" s="594"/>
      <c r="L21" s="594"/>
      <c r="M21" s="594"/>
      <c r="N21" s="595">
        <f>SUM(D21:M21)</f>
        <v>735</v>
      </c>
    </row>
    <row r="22" spans="1:14" s="108" customFormat="1" ht="24.75" customHeight="1">
      <c r="A22" s="591"/>
      <c r="B22" s="591"/>
      <c r="C22" s="611" t="s">
        <v>1472</v>
      </c>
      <c r="D22" s="612"/>
      <c r="E22" s="594"/>
      <c r="F22" s="594"/>
      <c r="G22" s="594"/>
      <c r="H22" s="594"/>
      <c r="I22" s="594"/>
      <c r="J22" s="594"/>
      <c r="K22" s="594"/>
      <c r="L22" s="594"/>
      <c r="M22" s="594"/>
      <c r="N22" s="595"/>
    </row>
    <row r="23" spans="1:14" s="108" customFormat="1" ht="24.75" customHeight="1">
      <c r="A23" s="591"/>
      <c r="B23" s="591"/>
      <c r="C23" s="610" t="s">
        <v>789</v>
      </c>
      <c r="D23" s="594"/>
      <c r="E23" s="594"/>
      <c r="F23" s="594"/>
      <c r="G23" s="594">
        <v>22388</v>
      </c>
      <c r="H23" s="594"/>
      <c r="I23" s="594"/>
      <c r="J23" s="594"/>
      <c r="K23" s="594"/>
      <c r="L23" s="594"/>
      <c r="M23" s="594"/>
      <c r="N23" s="595">
        <f>SUM(D23:M23)</f>
        <v>22388</v>
      </c>
    </row>
    <row r="24" spans="1:14" s="108" customFormat="1" ht="15" customHeight="1">
      <c r="A24" s="591"/>
      <c r="B24" s="591"/>
      <c r="C24" s="613" t="s">
        <v>1424</v>
      </c>
      <c r="D24" s="594"/>
      <c r="E24" s="594"/>
      <c r="F24" s="594"/>
      <c r="G24" s="594"/>
      <c r="H24" s="594"/>
      <c r="I24" s="594"/>
      <c r="J24" s="594"/>
      <c r="K24" s="594"/>
      <c r="L24" s="594"/>
      <c r="M24" s="594"/>
      <c r="N24" s="595"/>
    </row>
    <row r="25" spans="1:14" s="108" customFormat="1" ht="24.75" customHeight="1">
      <c r="A25" s="591"/>
      <c r="B25" s="591"/>
      <c r="C25" s="614" t="s">
        <v>1422</v>
      </c>
      <c r="D25" s="594"/>
      <c r="E25" s="594">
        <v>-33986</v>
      </c>
      <c r="F25" s="594"/>
      <c r="G25" s="594"/>
      <c r="H25" s="594"/>
      <c r="I25" s="594"/>
      <c r="J25" s="594"/>
      <c r="K25" s="594"/>
      <c r="L25" s="594"/>
      <c r="M25" s="594"/>
      <c r="N25" s="595">
        <f>SUM(D25:M25)</f>
        <v>-33986</v>
      </c>
    </row>
    <row r="26" spans="1:14" s="108" customFormat="1" ht="15" customHeight="1">
      <c r="A26" s="591"/>
      <c r="B26" s="591"/>
      <c r="C26" s="615" t="s">
        <v>790</v>
      </c>
      <c r="D26" s="594"/>
      <c r="E26" s="594"/>
      <c r="F26" s="594"/>
      <c r="G26" s="594"/>
      <c r="H26" s="594"/>
      <c r="I26" s="594"/>
      <c r="J26" s="594"/>
      <c r="K26" s="594"/>
      <c r="L26" s="594"/>
      <c r="M26" s="594"/>
      <c r="N26" s="595"/>
    </row>
    <row r="27" spans="1:14" s="108" customFormat="1" ht="24.75" customHeight="1">
      <c r="A27" s="591"/>
      <c r="B27" s="591"/>
      <c r="C27" s="610" t="s">
        <v>791</v>
      </c>
      <c r="D27" s="594">
        <v>531</v>
      </c>
      <c r="E27" s="594"/>
      <c r="F27" s="594"/>
      <c r="G27" s="594"/>
      <c r="H27" s="594"/>
      <c r="I27" s="594"/>
      <c r="J27" s="616"/>
      <c r="K27" s="594"/>
      <c r="L27" s="594"/>
      <c r="M27" s="594"/>
      <c r="N27" s="595">
        <f>SUM(D27:M27)</f>
        <v>531</v>
      </c>
    </row>
    <row r="28" spans="1:14" s="108" customFormat="1" ht="18.75" customHeight="1">
      <c r="A28" s="598"/>
      <c r="B28" s="598"/>
      <c r="C28" s="599" t="s">
        <v>1674</v>
      </c>
      <c r="D28" s="600">
        <f aca="true" t="shared" si="2" ref="D28:N28">SUM(D18:D27)</f>
        <v>1266</v>
      </c>
      <c r="E28" s="600">
        <f t="shared" si="2"/>
        <v>-33986</v>
      </c>
      <c r="F28" s="600">
        <f t="shared" si="2"/>
        <v>0</v>
      </c>
      <c r="G28" s="600">
        <f t="shared" si="2"/>
        <v>22388</v>
      </c>
      <c r="H28" s="600">
        <f t="shared" si="2"/>
        <v>0</v>
      </c>
      <c r="I28" s="600">
        <f t="shared" si="2"/>
        <v>0</v>
      </c>
      <c r="J28" s="600">
        <f t="shared" si="2"/>
        <v>400</v>
      </c>
      <c r="K28" s="600">
        <f t="shared" si="2"/>
        <v>0</v>
      </c>
      <c r="L28" s="600">
        <f t="shared" si="2"/>
        <v>0</v>
      </c>
      <c r="M28" s="600">
        <f t="shared" si="2"/>
        <v>0</v>
      </c>
      <c r="N28" s="600">
        <f t="shared" si="2"/>
        <v>-9932</v>
      </c>
    </row>
    <row r="29" spans="1:14" s="108" customFormat="1" ht="12.75" customHeight="1">
      <c r="A29" s="584">
        <v>1</v>
      </c>
      <c r="B29" s="584">
        <v>16</v>
      </c>
      <c r="C29" s="588" t="s">
        <v>1493</v>
      </c>
      <c r="D29" s="594"/>
      <c r="E29" s="594"/>
      <c r="F29" s="594"/>
      <c r="G29" s="594"/>
      <c r="H29" s="594"/>
      <c r="I29" s="594"/>
      <c r="J29" s="594"/>
      <c r="K29" s="594"/>
      <c r="L29" s="594"/>
      <c r="M29" s="594"/>
      <c r="N29" s="595"/>
    </row>
    <row r="30" spans="1:14" s="108" customFormat="1" ht="15" customHeight="1">
      <c r="A30" s="591"/>
      <c r="B30" s="591"/>
      <c r="C30" s="617"/>
      <c r="D30" s="602"/>
      <c r="E30" s="594"/>
      <c r="F30" s="594"/>
      <c r="G30" s="594"/>
      <c r="H30" s="594"/>
      <c r="I30" s="594"/>
      <c r="J30" s="594"/>
      <c r="K30" s="594"/>
      <c r="L30" s="594"/>
      <c r="M30" s="594"/>
      <c r="N30" s="595"/>
    </row>
    <row r="31" spans="1:14" s="108" customFormat="1" ht="19.5" customHeight="1">
      <c r="A31" s="608"/>
      <c r="B31" s="608"/>
      <c r="C31" s="599" t="s">
        <v>1496</v>
      </c>
      <c r="D31" s="600"/>
      <c r="E31" s="600"/>
      <c r="F31" s="600"/>
      <c r="G31" s="600"/>
      <c r="H31" s="600"/>
      <c r="I31" s="600"/>
      <c r="J31" s="600"/>
      <c r="K31" s="600"/>
      <c r="L31" s="600"/>
      <c r="M31" s="600"/>
      <c r="N31" s="600"/>
    </row>
    <row r="32" spans="1:14" s="108" customFormat="1" ht="12.75" customHeight="1">
      <c r="A32" s="584">
        <v>1</v>
      </c>
      <c r="B32" s="584">
        <v>17</v>
      </c>
      <c r="C32" s="588" t="s">
        <v>52</v>
      </c>
      <c r="D32" s="594"/>
      <c r="E32" s="594"/>
      <c r="F32" s="594"/>
      <c r="G32" s="594"/>
      <c r="H32" s="594"/>
      <c r="I32" s="594"/>
      <c r="J32" s="594"/>
      <c r="K32" s="594"/>
      <c r="L32" s="594"/>
      <c r="M32" s="594"/>
      <c r="N32" s="595"/>
    </row>
    <row r="33" spans="1:14" s="108" customFormat="1" ht="24.75" customHeight="1">
      <c r="A33" s="591"/>
      <c r="B33" s="591"/>
      <c r="C33" s="618" t="s">
        <v>1565</v>
      </c>
      <c r="D33" s="594"/>
      <c r="E33" s="594"/>
      <c r="F33" s="594"/>
      <c r="G33" s="594"/>
      <c r="H33" s="594"/>
      <c r="I33" s="594"/>
      <c r="J33" s="594"/>
      <c r="K33" s="594"/>
      <c r="L33" s="594"/>
      <c r="M33" s="594"/>
      <c r="N33" s="595"/>
    </row>
    <row r="34" spans="1:14" s="108" customFormat="1" ht="15" customHeight="1">
      <c r="A34" s="591"/>
      <c r="B34" s="591"/>
      <c r="C34" s="570" t="s">
        <v>792</v>
      </c>
      <c r="D34" s="594"/>
      <c r="E34" s="594"/>
      <c r="F34" s="594"/>
      <c r="G34" s="594"/>
      <c r="H34" s="594">
        <v>2500</v>
      </c>
      <c r="I34" s="594"/>
      <c r="J34" s="594"/>
      <c r="K34" s="594"/>
      <c r="L34" s="594"/>
      <c r="M34" s="594"/>
      <c r="N34" s="595">
        <f>SUM(D34:M34)</f>
        <v>2500</v>
      </c>
    </row>
    <row r="35" spans="1:14" s="108" customFormat="1" ht="15" customHeight="1">
      <c r="A35" s="591"/>
      <c r="B35" s="591"/>
      <c r="C35" s="619" t="s">
        <v>1505</v>
      </c>
      <c r="D35" s="594"/>
      <c r="E35" s="594"/>
      <c r="F35" s="594"/>
      <c r="G35" s="594"/>
      <c r="H35" s="594"/>
      <c r="I35" s="594"/>
      <c r="J35" s="594"/>
      <c r="K35" s="594"/>
      <c r="L35" s="594"/>
      <c r="M35" s="594"/>
      <c r="N35" s="595"/>
    </row>
    <row r="36" spans="1:14" s="108" customFormat="1" ht="24.75" customHeight="1">
      <c r="A36" s="591"/>
      <c r="B36" s="591"/>
      <c r="C36" s="620" t="s">
        <v>1809</v>
      </c>
      <c r="D36" s="594"/>
      <c r="E36" s="594"/>
      <c r="F36" s="594"/>
      <c r="G36" s="594"/>
      <c r="H36" s="594"/>
      <c r="I36" s="594"/>
      <c r="J36" s="594"/>
      <c r="K36" s="594"/>
      <c r="L36" s="594"/>
      <c r="M36" s="594"/>
      <c r="N36" s="595"/>
    </row>
    <row r="37" spans="1:14" s="108" customFormat="1" ht="24.75" customHeight="1">
      <c r="A37" s="591"/>
      <c r="B37" s="591"/>
      <c r="C37" s="621" t="s">
        <v>793</v>
      </c>
      <c r="D37" s="594"/>
      <c r="E37" s="594"/>
      <c r="F37" s="594"/>
      <c r="G37" s="594">
        <v>61342</v>
      </c>
      <c r="H37" s="594"/>
      <c r="I37" s="594"/>
      <c r="J37" s="594"/>
      <c r="K37" s="594"/>
      <c r="L37" s="594"/>
      <c r="M37" s="594"/>
      <c r="N37" s="595">
        <f>SUM(D37:M37)</f>
        <v>61342</v>
      </c>
    </row>
    <row r="38" spans="1:14" s="108" customFormat="1" ht="15" customHeight="1">
      <c r="A38" s="591"/>
      <c r="B38" s="591"/>
      <c r="C38" s="622" t="s">
        <v>794</v>
      </c>
      <c r="D38" s="594"/>
      <c r="E38" s="594"/>
      <c r="F38" s="594"/>
      <c r="G38" s="594">
        <v>2500</v>
      </c>
      <c r="H38" s="594"/>
      <c r="I38" s="594"/>
      <c r="J38" s="594"/>
      <c r="K38" s="594"/>
      <c r="L38" s="594"/>
      <c r="M38" s="594"/>
      <c r="N38" s="595">
        <f>SUM(D38:M38)</f>
        <v>2500</v>
      </c>
    </row>
    <row r="39" spans="1:14" s="108" customFormat="1" ht="16.5" customHeight="1">
      <c r="A39" s="598"/>
      <c r="B39" s="598"/>
      <c r="C39" s="599" t="s">
        <v>1672</v>
      </c>
      <c r="D39" s="600">
        <f aca="true" t="shared" si="3" ref="D39:N39">SUM(D33:D38)</f>
        <v>0</v>
      </c>
      <c r="E39" s="600">
        <f t="shared" si="3"/>
        <v>0</v>
      </c>
      <c r="F39" s="600">
        <f t="shared" si="3"/>
        <v>0</v>
      </c>
      <c r="G39" s="600">
        <f t="shared" si="3"/>
        <v>63842</v>
      </c>
      <c r="H39" s="600">
        <f t="shared" si="3"/>
        <v>2500</v>
      </c>
      <c r="I39" s="600">
        <f t="shared" si="3"/>
        <v>0</v>
      </c>
      <c r="J39" s="600">
        <f t="shared" si="3"/>
        <v>0</v>
      </c>
      <c r="K39" s="600">
        <f t="shared" si="3"/>
        <v>0</v>
      </c>
      <c r="L39" s="600">
        <f t="shared" si="3"/>
        <v>0</v>
      </c>
      <c r="M39" s="600">
        <f t="shared" si="3"/>
        <v>0</v>
      </c>
      <c r="N39" s="600">
        <f t="shared" si="3"/>
        <v>66342</v>
      </c>
    </row>
    <row r="40" spans="1:14" s="108" customFormat="1" ht="12.75" customHeight="1">
      <c r="A40" s="584">
        <v>1</v>
      </c>
      <c r="B40" s="584">
        <v>18</v>
      </c>
      <c r="C40" s="588" t="s">
        <v>879</v>
      </c>
      <c r="D40" s="594"/>
      <c r="E40" s="594"/>
      <c r="F40" s="594"/>
      <c r="G40" s="594"/>
      <c r="H40" s="594"/>
      <c r="I40" s="594"/>
      <c r="J40" s="594"/>
      <c r="K40" s="594"/>
      <c r="L40" s="594"/>
      <c r="M40" s="594"/>
      <c r="N40" s="595"/>
    </row>
    <row r="41" spans="1:14" s="108" customFormat="1" ht="12.75" customHeight="1">
      <c r="A41" s="591"/>
      <c r="B41" s="591"/>
      <c r="C41" s="588"/>
      <c r="D41" s="594"/>
      <c r="E41" s="594"/>
      <c r="F41" s="594"/>
      <c r="G41" s="594"/>
      <c r="H41" s="594"/>
      <c r="I41" s="594"/>
      <c r="J41" s="594"/>
      <c r="K41" s="594"/>
      <c r="L41" s="594"/>
      <c r="M41" s="594"/>
      <c r="N41" s="595">
        <f>SUM(D41:M41)</f>
        <v>0</v>
      </c>
    </row>
    <row r="42" spans="1:14" s="108" customFormat="1" ht="18.75" customHeight="1">
      <c r="A42" s="608"/>
      <c r="B42" s="608"/>
      <c r="C42" s="599" t="s">
        <v>667</v>
      </c>
      <c r="D42" s="600">
        <f aca="true" t="shared" si="4" ref="D42:N42">SUM(D41:D41)</f>
        <v>0</v>
      </c>
      <c r="E42" s="600">
        <f t="shared" si="4"/>
        <v>0</v>
      </c>
      <c r="F42" s="600">
        <f t="shared" si="4"/>
        <v>0</v>
      </c>
      <c r="G42" s="600">
        <f t="shared" si="4"/>
        <v>0</v>
      </c>
      <c r="H42" s="600">
        <f t="shared" si="4"/>
        <v>0</v>
      </c>
      <c r="I42" s="600">
        <f t="shared" si="4"/>
        <v>0</v>
      </c>
      <c r="J42" s="600">
        <f t="shared" si="4"/>
        <v>0</v>
      </c>
      <c r="K42" s="600">
        <f t="shared" si="4"/>
        <v>0</v>
      </c>
      <c r="L42" s="600">
        <f t="shared" si="4"/>
        <v>0</v>
      </c>
      <c r="M42" s="600">
        <f t="shared" si="4"/>
        <v>0</v>
      </c>
      <c r="N42" s="600">
        <f t="shared" si="4"/>
        <v>0</v>
      </c>
    </row>
    <row r="43" spans="1:14" s="108" customFormat="1" ht="15" customHeight="1">
      <c r="A43" s="591">
        <v>1</v>
      </c>
      <c r="B43" s="591">
        <v>19</v>
      </c>
      <c r="C43" s="588" t="s">
        <v>893</v>
      </c>
      <c r="D43" s="594"/>
      <c r="E43" s="594"/>
      <c r="F43" s="594"/>
      <c r="G43" s="594"/>
      <c r="H43" s="594"/>
      <c r="I43" s="594"/>
      <c r="J43" s="594"/>
      <c r="K43" s="594"/>
      <c r="L43" s="594"/>
      <c r="M43" s="594"/>
      <c r="N43" s="595"/>
    </row>
    <row r="44" spans="1:14" s="108" customFormat="1" ht="24.75" customHeight="1">
      <c r="A44" s="591"/>
      <c r="B44" s="591"/>
      <c r="C44" s="623" t="s">
        <v>1702</v>
      </c>
      <c r="D44" s="594"/>
      <c r="E44" s="594"/>
      <c r="F44" s="594"/>
      <c r="G44" s="594"/>
      <c r="H44" s="594"/>
      <c r="I44" s="594"/>
      <c r="J44" s="594"/>
      <c r="K44" s="594"/>
      <c r="L44" s="594"/>
      <c r="M44" s="594"/>
      <c r="N44" s="595"/>
    </row>
    <row r="45" spans="1:14" s="108" customFormat="1" ht="39" customHeight="1">
      <c r="A45" s="591"/>
      <c r="B45" s="591"/>
      <c r="C45" s="624" t="s">
        <v>668</v>
      </c>
      <c r="D45" s="594">
        <v>154936</v>
      </c>
      <c r="E45" s="594"/>
      <c r="F45" s="594"/>
      <c r="G45" s="594"/>
      <c r="H45" s="594"/>
      <c r="I45" s="594"/>
      <c r="J45" s="594"/>
      <c r="K45" s="594"/>
      <c r="L45" s="594"/>
      <c r="M45" s="594"/>
      <c r="N45" s="595">
        <f>SUM(D45:M45)</f>
        <v>154936</v>
      </c>
    </row>
    <row r="46" spans="1:14" s="108" customFormat="1" ht="15" customHeight="1">
      <c r="A46" s="591"/>
      <c r="B46" s="591"/>
      <c r="C46" s="589" t="s">
        <v>669</v>
      </c>
      <c r="D46" s="594">
        <v>7771</v>
      </c>
      <c r="E46" s="594"/>
      <c r="F46" s="594"/>
      <c r="G46" s="594"/>
      <c r="H46" s="594"/>
      <c r="I46" s="594"/>
      <c r="J46" s="594"/>
      <c r="K46" s="594"/>
      <c r="L46" s="594"/>
      <c r="M46" s="594"/>
      <c r="N46" s="595">
        <f>SUM(D46:M46)</f>
        <v>7771</v>
      </c>
    </row>
    <row r="47" spans="1:14" s="108" customFormat="1" ht="15" customHeight="1">
      <c r="A47" s="591"/>
      <c r="B47" s="591"/>
      <c r="C47" s="589" t="s">
        <v>670</v>
      </c>
      <c r="D47" s="602">
        <v>104724</v>
      </c>
      <c r="E47" s="594">
        <v>-77421</v>
      </c>
      <c r="F47" s="594"/>
      <c r="G47" s="594"/>
      <c r="H47" s="594"/>
      <c r="I47" s="594"/>
      <c r="J47" s="594"/>
      <c r="K47" s="594"/>
      <c r="L47" s="594"/>
      <c r="M47" s="594"/>
      <c r="N47" s="595">
        <f>SUM(D47:M47)</f>
        <v>27303</v>
      </c>
    </row>
    <row r="48" spans="1:14" s="108" customFormat="1" ht="24.75" customHeight="1">
      <c r="A48" s="591"/>
      <c r="B48" s="591"/>
      <c r="C48" s="625" t="s">
        <v>1442</v>
      </c>
      <c r="D48" s="602"/>
      <c r="E48" s="594"/>
      <c r="F48" s="594"/>
      <c r="G48" s="594"/>
      <c r="H48" s="594"/>
      <c r="I48" s="594"/>
      <c r="J48" s="594"/>
      <c r="K48" s="594"/>
      <c r="L48" s="594"/>
      <c r="M48" s="594"/>
      <c r="N48" s="595"/>
    </row>
    <row r="49" spans="1:14" s="108" customFormat="1" ht="24.75" customHeight="1">
      <c r="A49" s="591"/>
      <c r="B49" s="591"/>
      <c r="C49" s="576" t="s">
        <v>1233</v>
      </c>
      <c r="D49" s="602"/>
      <c r="E49" s="594"/>
      <c r="F49" s="594"/>
      <c r="G49" s="594"/>
      <c r="H49" s="594"/>
      <c r="I49" s="594"/>
      <c r="J49" s="594"/>
      <c r="K49" s="594">
        <v>-20000</v>
      </c>
      <c r="L49" s="594"/>
      <c r="M49" s="594"/>
      <c r="N49" s="595">
        <f>SUM(D49:M49)</f>
        <v>-20000</v>
      </c>
    </row>
    <row r="50" spans="1:14" s="108" customFormat="1" ht="24.75" customHeight="1">
      <c r="A50" s="591"/>
      <c r="B50" s="591"/>
      <c r="C50" s="626" t="s">
        <v>1553</v>
      </c>
      <c r="D50" s="602"/>
      <c r="E50" s="594"/>
      <c r="F50" s="594"/>
      <c r="G50" s="594"/>
      <c r="H50" s="594"/>
      <c r="I50" s="594"/>
      <c r="J50" s="594"/>
      <c r="K50" s="594"/>
      <c r="L50" s="594"/>
      <c r="M50" s="594"/>
      <c r="N50" s="595">
        <f>SUM(D50:M50)</f>
        <v>0</v>
      </c>
    </row>
    <row r="51" spans="1:14" s="108" customFormat="1" ht="15" customHeight="1">
      <c r="A51" s="591"/>
      <c r="B51" s="591"/>
      <c r="C51" s="627" t="s">
        <v>674</v>
      </c>
      <c r="D51" s="602"/>
      <c r="E51" s="594"/>
      <c r="F51" s="594"/>
      <c r="G51" s="594">
        <v>7600</v>
      </c>
      <c r="H51" s="594"/>
      <c r="I51" s="594"/>
      <c r="J51" s="594"/>
      <c r="K51" s="594"/>
      <c r="L51" s="594"/>
      <c r="M51" s="594"/>
      <c r="N51" s="595">
        <f>SUM(D51:M51)</f>
        <v>7600</v>
      </c>
    </row>
    <row r="52" spans="1:14" s="108" customFormat="1" ht="24.75" customHeight="1">
      <c r="A52" s="591"/>
      <c r="B52" s="591"/>
      <c r="C52" s="559" t="s">
        <v>675</v>
      </c>
      <c r="D52" s="602">
        <v>382</v>
      </c>
      <c r="E52" s="594"/>
      <c r="F52" s="594"/>
      <c r="G52" s="594"/>
      <c r="H52" s="594"/>
      <c r="I52" s="594"/>
      <c r="J52" s="594"/>
      <c r="K52" s="594"/>
      <c r="L52" s="594"/>
      <c r="M52" s="594"/>
      <c r="N52" s="595">
        <f>SUM(D52:M52)</f>
        <v>382</v>
      </c>
    </row>
    <row r="53" spans="1:14" s="108" customFormat="1" ht="24.75" customHeight="1">
      <c r="A53" s="591"/>
      <c r="B53" s="591"/>
      <c r="C53" s="626" t="s">
        <v>1809</v>
      </c>
      <c r="D53" s="602"/>
      <c r="E53" s="594"/>
      <c r="F53" s="594"/>
      <c r="G53" s="594"/>
      <c r="H53" s="594"/>
      <c r="I53" s="594"/>
      <c r="J53" s="594"/>
      <c r="K53" s="594"/>
      <c r="L53" s="594"/>
      <c r="M53" s="594"/>
      <c r="N53" s="595"/>
    </row>
    <row r="54" spans="1:14" s="108" customFormat="1" ht="24.75" customHeight="1">
      <c r="A54" s="591"/>
      <c r="B54" s="591"/>
      <c r="C54" s="624" t="s">
        <v>795</v>
      </c>
      <c r="D54" s="602"/>
      <c r="E54" s="594"/>
      <c r="F54" s="594"/>
      <c r="G54" s="594"/>
      <c r="H54" s="594"/>
      <c r="I54" s="594"/>
      <c r="J54" s="594"/>
      <c r="K54" s="594"/>
      <c r="L54" s="594">
        <v>14000</v>
      </c>
      <c r="M54" s="594"/>
      <c r="N54" s="595">
        <f>SUM(D54:M54)</f>
        <v>14000</v>
      </c>
    </row>
    <row r="55" spans="1:14" s="108" customFormat="1" ht="15" customHeight="1">
      <c r="A55" s="591"/>
      <c r="B55" s="591"/>
      <c r="C55" s="628" t="s">
        <v>796</v>
      </c>
      <c r="D55" s="602"/>
      <c r="E55" s="594"/>
      <c r="F55" s="594"/>
      <c r="G55" s="594">
        <v>161359</v>
      </c>
      <c r="H55" s="594"/>
      <c r="I55" s="594"/>
      <c r="J55" s="594"/>
      <c r="K55" s="594"/>
      <c r="L55" s="594"/>
      <c r="M55" s="594"/>
      <c r="N55" s="595">
        <f>SUM(D55:M55)</f>
        <v>161359</v>
      </c>
    </row>
    <row r="56" spans="1:14" s="108" customFormat="1" ht="12.75" customHeight="1">
      <c r="A56" s="608"/>
      <c r="B56" s="598"/>
      <c r="C56" s="599" t="s">
        <v>895</v>
      </c>
      <c r="D56" s="600">
        <f aca="true" t="shared" si="5" ref="D56:N56">SUM(D43:D55)</f>
        <v>267813</v>
      </c>
      <c r="E56" s="600">
        <f t="shared" si="5"/>
        <v>-77421</v>
      </c>
      <c r="F56" s="600">
        <f t="shared" si="5"/>
        <v>0</v>
      </c>
      <c r="G56" s="600">
        <f t="shared" si="5"/>
        <v>168959</v>
      </c>
      <c r="H56" s="600">
        <f t="shared" si="5"/>
        <v>0</v>
      </c>
      <c r="I56" s="600">
        <f t="shared" si="5"/>
        <v>0</v>
      </c>
      <c r="J56" s="600">
        <f t="shared" si="5"/>
        <v>0</v>
      </c>
      <c r="K56" s="600">
        <f t="shared" si="5"/>
        <v>-20000</v>
      </c>
      <c r="L56" s="600">
        <f t="shared" si="5"/>
        <v>14000</v>
      </c>
      <c r="M56" s="600">
        <f t="shared" si="5"/>
        <v>0</v>
      </c>
      <c r="N56" s="600">
        <f t="shared" si="5"/>
        <v>353351</v>
      </c>
    </row>
    <row r="57" spans="1:14" s="108" customFormat="1" ht="12.75" customHeight="1">
      <c r="A57" s="629">
        <v>1</v>
      </c>
      <c r="B57" s="629">
        <v>20</v>
      </c>
      <c r="C57" s="630" t="s">
        <v>1886</v>
      </c>
      <c r="D57" s="631"/>
      <c r="E57" s="631"/>
      <c r="F57" s="631"/>
      <c r="G57" s="631"/>
      <c r="H57" s="631"/>
      <c r="I57" s="631"/>
      <c r="J57" s="631"/>
      <c r="K57" s="631"/>
      <c r="L57" s="631"/>
      <c r="M57" s="631"/>
      <c r="N57" s="631"/>
    </row>
    <row r="58" spans="1:14" s="108" customFormat="1" ht="12.75" customHeight="1">
      <c r="A58" s="632"/>
      <c r="B58" s="632"/>
      <c r="C58" s="633"/>
      <c r="D58" s="631"/>
      <c r="E58" s="631"/>
      <c r="F58" s="616"/>
      <c r="G58" s="631"/>
      <c r="H58" s="631"/>
      <c r="I58" s="631"/>
      <c r="J58" s="631"/>
      <c r="K58" s="631"/>
      <c r="L58" s="631"/>
      <c r="M58" s="631"/>
      <c r="N58" s="631">
        <f>SUM(D58:M58)</f>
        <v>0</v>
      </c>
    </row>
    <row r="59" spans="1:14" s="108" customFormat="1" ht="12.75" customHeight="1">
      <c r="A59" s="608"/>
      <c r="B59" s="598"/>
      <c r="C59" s="599" t="s">
        <v>677</v>
      </c>
      <c r="D59" s="600">
        <f aca="true" t="shared" si="6" ref="D59:N59">SUM(D57:D58)</f>
        <v>0</v>
      </c>
      <c r="E59" s="600">
        <f t="shared" si="6"/>
        <v>0</v>
      </c>
      <c r="F59" s="600">
        <f t="shared" si="6"/>
        <v>0</v>
      </c>
      <c r="G59" s="600">
        <f t="shared" si="6"/>
        <v>0</v>
      </c>
      <c r="H59" s="600">
        <f t="shared" si="6"/>
        <v>0</v>
      </c>
      <c r="I59" s="600">
        <f t="shared" si="6"/>
        <v>0</v>
      </c>
      <c r="J59" s="600">
        <f t="shared" si="6"/>
        <v>0</v>
      </c>
      <c r="K59" s="600">
        <f t="shared" si="6"/>
        <v>0</v>
      </c>
      <c r="L59" s="600">
        <f t="shared" si="6"/>
        <v>0</v>
      </c>
      <c r="M59" s="600">
        <f t="shared" si="6"/>
        <v>0</v>
      </c>
      <c r="N59" s="600">
        <f t="shared" si="6"/>
        <v>0</v>
      </c>
    </row>
    <row r="60" spans="1:14" s="108" customFormat="1" ht="12.75" customHeight="1">
      <c r="A60" s="629">
        <v>1</v>
      </c>
      <c r="B60" s="629">
        <v>22</v>
      </c>
      <c r="C60" s="630" t="s">
        <v>1090</v>
      </c>
      <c r="D60" s="631"/>
      <c r="E60" s="631"/>
      <c r="F60" s="631"/>
      <c r="G60" s="631"/>
      <c r="H60" s="631"/>
      <c r="I60" s="631"/>
      <c r="J60" s="631"/>
      <c r="K60" s="631"/>
      <c r="L60" s="631"/>
      <c r="M60" s="631"/>
      <c r="N60" s="631"/>
    </row>
    <row r="61" spans="1:14" s="108" customFormat="1" ht="24.75" customHeight="1">
      <c r="A61" s="632"/>
      <c r="B61" s="632"/>
      <c r="C61" s="571" t="s">
        <v>1474</v>
      </c>
      <c r="D61" s="631"/>
      <c r="E61" s="631"/>
      <c r="F61" s="631"/>
      <c r="G61" s="631"/>
      <c r="H61" s="631"/>
      <c r="I61" s="631"/>
      <c r="J61" s="631"/>
      <c r="K61" s="631"/>
      <c r="L61" s="631"/>
      <c r="M61" s="631"/>
      <c r="N61" s="631"/>
    </row>
    <row r="62" spans="1:14" s="108" customFormat="1" ht="12.75" customHeight="1">
      <c r="A62" s="632"/>
      <c r="B62" s="629"/>
      <c r="C62" s="563" t="s">
        <v>797</v>
      </c>
      <c r="D62" s="631"/>
      <c r="E62" s="616"/>
      <c r="F62" s="616"/>
      <c r="G62" s="616"/>
      <c r="H62" s="616"/>
      <c r="I62" s="616">
        <v>500</v>
      </c>
      <c r="J62" s="616"/>
      <c r="K62" s="616"/>
      <c r="L62" s="616"/>
      <c r="M62" s="616"/>
      <c r="N62" s="616">
        <f>SUM(D62:M62)</f>
        <v>500</v>
      </c>
    </row>
    <row r="63" spans="1:14" s="108" customFormat="1" ht="12.75" customHeight="1">
      <c r="A63" s="608"/>
      <c r="B63" s="598"/>
      <c r="C63" s="599" t="s">
        <v>1092</v>
      </c>
      <c r="D63" s="600">
        <f aca="true" t="shared" si="7" ref="D63:N63">SUM(D62:D62)</f>
        <v>0</v>
      </c>
      <c r="E63" s="600">
        <f t="shared" si="7"/>
        <v>0</v>
      </c>
      <c r="F63" s="600">
        <f t="shared" si="7"/>
        <v>0</v>
      </c>
      <c r="G63" s="600">
        <f t="shared" si="7"/>
        <v>0</v>
      </c>
      <c r="H63" s="600">
        <f t="shared" si="7"/>
        <v>0</v>
      </c>
      <c r="I63" s="600">
        <f t="shared" si="7"/>
        <v>500</v>
      </c>
      <c r="J63" s="600">
        <f t="shared" si="7"/>
        <v>0</v>
      </c>
      <c r="K63" s="600">
        <f t="shared" si="7"/>
        <v>0</v>
      </c>
      <c r="L63" s="600">
        <f t="shared" si="7"/>
        <v>0</v>
      </c>
      <c r="M63" s="600">
        <f t="shared" si="7"/>
        <v>0</v>
      </c>
      <c r="N63" s="600">
        <f t="shared" si="7"/>
        <v>500</v>
      </c>
    </row>
    <row r="64" spans="1:14" s="108" customFormat="1" ht="25.5" customHeight="1">
      <c r="A64" s="598"/>
      <c r="B64" s="598"/>
      <c r="C64" s="634" t="s">
        <v>602</v>
      </c>
      <c r="D64" s="600">
        <f aca="true" t="shared" si="8" ref="D64:N64">SUM(D8+D16+D28+D31+D39+D42+D56+D59+D63)</f>
        <v>269785</v>
      </c>
      <c r="E64" s="600">
        <f t="shared" si="8"/>
        <v>-111407</v>
      </c>
      <c r="F64" s="600">
        <f t="shared" si="8"/>
        <v>0</v>
      </c>
      <c r="G64" s="600">
        <f t="shared" si="8"/>
        <v>255189</v>
      </c>
      <c r="H64" s="600">
        <f t="shared" si="8"/>
        <v>2500</v>
      </c>
      <c r="I64" s="600">
        <f t="shared" si="8"/>
        <v>500</v>
      </c>
      <c r="J64" s="600">
        <f t="shared" si="8"/>
        <v>400</v>
      </c>
      <c r="K64" s="600">
        <f t="shared" si="8"/>
        <v>-20000</v>
      </c>
      <c r="L64" s="600">
        <f t="shared" si="8"/>
        <v>14000</v>
      </c>
      <c r="M64" s="600">
        <f t="shared" si="8"/>
        <v>0</v>
      </c>
      <c r="N64" s="600">
        <f t="shared" si="8"/>
        <v>410967</v>
      </c>
    </row>
    <row r="65" spans="1:14" s="108" customFormat="1" ht="15" customHeight="1">
      <c r="A65" s="632">
        <v>2</v>
      </c>
      <c r="B65" s="629"/>
      <c r="C65" s="633" t="s">
        <v>398</v>
      </c>
      <c r="D65" s="616">
        <f>'[2]táj.1.'!C20</f>
        <v>35902</v>
      </c>
      <c r="E65" s="616">
        <f>'[2]táj.1.'!D20</f>
        <v>18200</v>
      </c>
      <c r="F65" s="616">
        <f>'[2]táj.1.'!E20</f>
        <v>0</v>
      </c>
      <c r="G65" s="616">
        <f>'[2]táj.1.'!F20</f>
        <v>3190</v>
      </c>
      <c r="H65" s="616">
        <f>'[2]táj.1.'!G20</f>
        <v>400</v>
      </c>
      <c r="I65" s="616">
        <f>'[2]táj.1.'!H20</f>
        <v>60</v>
      </c>
      <c r="J65" s="616">
        <f>'[2]táj.1.'!I20</f>
        <v>0</v>
      </c>
      <c r="K65" s="616"/>
      <c r="L65" s="616">
        <f>'[2]táj.1.'!J20</f>
        <v>0</v>
      </c>
      <c r="M65" s="616">
        <f>'[2]táj.1.'!L20</f>
        <v>0</v>
      </c>
      <c r="N65" s="616">
        <f>SUM(D65:M65)</f>
        <v>57752</v>
      </c>
    </row>
    <row r="66" spans="1:14" s="108" customFormat="1" ht="15" customHeight="1">
      <c r="A66" s="598"/>
      <c r="B66" s="598"/>
      <c r="C66" s="599" t="s">
        <v>376</v>
      </c>
      <c r="D66" s="600">
        <f aca="true" t="shared" si="9" ref="D66:N66">SUM(D64:D65)</f>
        <v>305687</v>
      </c>
      <c r="E66" s="600">
        <f t="shared" si="9"/>
        <v>-93207</v>
      </c>
      <c r="F66" s="600">
        <f t="shared" si="9"/>
        <v>0</v>
      </c>
      <c r="G66" s="600">
        <f t="shared" si="9"/>
        <v>258379</v>
      </c>
      <c r="H66" s="600">
        <f t="shared" si="9"/>
        <v>2900</v>
      </c>
      <c r="I66" s="600">
        <f t="shared" si="9"/>
        <v>560</v>
      </c>
      <c r="J66" s="600">
        <f t="shared" si="9"/>
        <v>400</v>
      </c>
      <c r="K66" s="600">
        <f t="shared" si="9"/>
        <v>-20000</v>
      </c>
      <c r="L66" s="600">
        <f t="shared" si="9"/>
        <v>14000</v>
      </c>
      <c r="M66" s="600">
        <f t="shared" si="9"/>
        <v>0</v>
      </c>
      <c r="N66" s="600">
        <f t="shared" si="9"/>
        <v>468719</v>
      </c>
    </row>
    <row r="67" spans="1:14" s="108" customFormat="1" ht="13.5" customHeight="1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</row>
    <row r="68" spans="1:14" ht="12.75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</row>
    <row r="69" spans="1:14" ht="12.75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</row>
    <row r="70" spans="1:14" ht="12.75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50"/>
    </row>
    <row r="71" spans="1:14" ht="12.75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</row>
    <row r="72" spans="1:14" ht="12.75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</row>
    <row r="73" spans="1:14" ht="12.75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</row>
    <row r="74" spans="1:14" ht="12.75">
      <c r="A74" s="129"/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</row>
    <row r="75" spans="1:14" ht="12.75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</row>
    <row r="76" spans="3:14" ht="12.75"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</row>
    <row r="77" spans="3:14" ht="12.75"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</row>
    <row r="78" spans="3:14" ht="12.75"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</row>
    <row r="79" spans="3:14" ht="12.75"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</row>
    <row r="80" spans="3:14" ht="12.75"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</row>
    <row r="81" spans="3:14" ht="12.75"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</row>
    <row r="82" spans="3:14" ht="12.75"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</row>
    <row r="83" spans="3:14" ht="12.75"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</row>
    <row r="84" spans="3:14" ht="12.75"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</row>
    <row r="85" spans="3:14" ht="12.75"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</row>
    <row r="86" spans="3:14" ht="12.75"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</row>
    <row r="87" spans="3:14" ht="12.75"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</row>
    <row r="88" spans="3:14" ht="12.75"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</row>
    <row r="89" spans="3:14" ht="12.75"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</row>
    <row r="90" spans="3:14" ht="12.75"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</row>
    <row r="91" spans="3:14" ht="12.75"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</row>
    <row r="92" spans="3:14" ht="12.75"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</row>
  </sheetData>
  <sheetProtection/>
  <mergeCells count="3">
    <mergeCell ref="D1:J1"/>
    <mergeCell ref="K1:M1"/>
    <mergeCell ref="N1:N2"/>
  </mergeCells>
  <printOptions horizontalCentered="1" verticalCentered="1"/>
  <pageMargins left="0.11811023622047245" right="0.11811023622047245" top="1.1811023622047245" bottom="0.7086614173228347" header="0.5905511811023623" footer="0.5118110236220472"/>
  <pageSetup horizontalDpi="600" verticalDpi="600" orientation="landscape" paperSize="9" scale="90" r:id="rId1"/>
  <headerFooter alignWithMargins="0">
    <oddHeader>&amp;C&amp;"Times New Roman,Normál"ZALAEGERSZEG MEGYEI JOGÚ VÁROS ÖNKORMÁNYZATA
2014. ÉVI BEVÉTELI ELŐIRÁNYZATAINAK  MÓDOSÍTÁSA A II. NEGYEDÉVBEN&amp;R&amp;"Times New Roman,Normál"5.a  melléklet mód.
Adatok: ezer Ft-ban</oddHeader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111"/>
  <sheetViews>
    <sheetView workbookViewId="0" topLeftCell="A1">
      <pane ySplit="2" topLeftCell="BM66" activePane="bottomLeft" state="frozen"/>
      <selection pane="topLeft" activeCell="A1" sqref="A1"/>
      <selection pane="bottomLeft" activeCell="C13" sqref="C13:C14"/>
    </sheetView>
  </sheetViews>
  <sheetFormatPr defaultColWidth="9.00390625" defaultRowHeight="12.75"/>
  <cols>
    <col min="1" max="1" width="5.625" style="124" customWidth="1"/>
    <col min="2" max="2" width="6.375" style="124" customWidth="1"/>
    <col min="3" max="3" width="39.00390625" style="124" customWidth="1"/>
    <col min="4" max="4" width="11.125" style="124" customWidth="1"/>
    <col min="5" max="5" width="11.375" style="124" customWidth="1"/>
    <col min="6" max="6" width="11.875" style="124" customWidth="1"/>
    <col min="7" max="7" width="9.875" style="124" customWidth="1"/>
    <col min="8" max="8" width="10.625" style="124" customWidth="1"/>
    <col min="9" max="9" width="11.375" style="124" customWidth="1"/>
    <col min="10" max="10" width="12.50390625" style="124" customWidth="1"/>
    <col min="11" max="11" width="11.625" style="124" customWidth="1"/>
    <col min="12" max="12" width="12.875" style="124" customWidth="1"/>
    <col min="13" max="13" width="11.375" style="124" customWidth="1"/>
    <col min="14" max="14" width="12.625" style="124" customWidth="1"/>
    <col min="15" max="16384" width="9.375" style="124" customWidth="1"/>
  </cols>
  <sheetData>
    <row r="1" spans="1:14" s="108" customFormat="1" ht="16.5" customHeight="1">
      <c r="A1" s="456"/>
      <c r="B1" s="457"/>
      <c r="C1" s="458"/>
      <c r="D1" s="1295" t="s">
        <v>61</v>
      </c>
      <c r="E1" s="1287"/>
      <c r="F1" s="1287"/>
      <c r="G1" s="1287"/>
      <c r="H1" s="1287"/>
      <c r="I1" s="1287"/>
      <c r="J1" s="1288"/>
      <c r="K1" s="1289" t="s">
        <v>990</v>
      </c>
      <c r="L1" s="1290"/>
      <c r="M1" s="1271"/>
      <c r="N1" s="1272" t="s">
        <v>49</v>
      </c>
    </row>
    <row r="2" spans="1:14" s="108" customFormat="1" ht="78.75" customHeight="1" thickBot="1">
      <c r="A2" s="459" t="s">
        <v>654</v>
      </c>
      <c r="B2" s="460" t="s">
        <v>655</v>
      </c>
      <c r="C2" s="461" t="s">
        <v>46</v>
      </c>
      <c r="D2" s="446" t="s">
        <v>436</v>
      </c>
      <c r="E2" s="446" t="s">
        <v>437</v>
      </c>
      <c r="F2" s="445" t="s">
        <v>438</v>
      </c>
      <c r="G2" s="446" t="s">
        <v>443</v>
      </c>
      <c r="H2" s="446" t="s">
        <v>444</v>
      </c>
      <c r="I2" s="446" t="s">
        <v>445</v>
      </c>
      <c r="J2" s="446" t="s">
        <v>446</v>
      </c>
      <c r="K2" s="446" t="s">
        <v>62</v>
      </c>
      <c r="L2" s="446" t="s">
        <v>63</v>
      </c>
      <c r="M2" s="446" t="s">
        <v>65</v>
      </c>
      <c r="N2" s="1273"/>
    </row>
    <row r="3" spans="1:14" s="108" customFormat="1" ht="12.75" customHeight="1">
      <c r="A3" s="1192">
        <v>1</v>
      </c>
      <c r="B3" s="1192"/>
      <c r="C3" s="162" t="s">
        <v>396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462"/>
    </row>
    <row r="4" spans="1:14" s="108" customFormat="1" ht="12.75" customHeight="1">
      <c r="A4" s="1192">
        <v>1</v>
      </c>
      <c r="B4" s="1192">
        <v>1</v>
      </c>
      <c r="C4" s="463" t="s">
        <v>1885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464"/>
    </row>
    <row r="5" spans="1:14" s="108" customFormat="1" ht="12.75" customHeight="1">
      <c r="A5" s="1192">
        <v>1</v>
      </c>
      <c r="B5" s="1192">
        <v>12</v>
      </c>
      <c r="C5" s="463" t="s">
        <v>249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464"/>
    </row>
    <row r="6" spans="1:14" s="108" customFormat="1" ht="24" customHeight="1">
      <c r="A6" s="1"/>
      <c r="B6" s="1"/>
      <c r="C6" s="465" t="s">
        <v>840</v>
      </c>
      <c r="D6" s="328"/>
      <c r="E6" s="466"/>
      <c r="F6" s="466"/>
      <c r="G6" s="466"/>
      <c r="H6" s="466"/>
      <c r="I6" s="466"/>
      <c r="J6" s="466"/>
      <c r="K6" s="466"/>
      <c r="L6" s="466"/>
      <c r="M6" s="466"/>
      <c r="N6" s="467"/>
    </row>
    <row r="7" spans="1:14" s="108" customFormat="1" ht="12.75" customHeight="1">
      <c r="A7" s="1"/>
      <c r="B7" s="1"/>
      <c r="C7" s="1193" t="s">
        <v>656</v>
      </c>
      <c r="D7" s="115">
        <v>8</v>
      </c>
      <c r="E7" s="466"/>
      <c r="F7" s="466"/>
      <c r="G7" s="466"/>
      <c r="H7" s="466"/>
      <c r="I7" s="466"/>
      <c r="J7" s="466"/>
      <c r="K7" s="466"/>
      <c r="L7" s="466"/>
      <c r="M7" s="466"/>
      <c r="N7" s="467">
        <f>SUM(D7:M7)</f>
        <v>8</v>
      </c>
    </row>
    <row r="8" spans="1:14" s="108" customFormat="1" ht="12.75" customHeight="1">
      <c r="A8" s="1"/>
      <c r="B8" s="1"/>
      <c r="C8" s="1193" t="s">
        <v>551</v>
      </c>
      <c r="D8" s="115"/>
      <c r="E8" s="466"/>
      <c r="F8" s="466"/>
      <c r="G8" s="466">
        <v>2214</v>
      </c>
      <c r="H8" s="466"/>
      <c r="I8" s="466"/>
      <c r="J8" s="466"/>
      <c r="K8" s="466"/>
      <c r="L8" s="466"/>
      <c r="M8" s="466"/>
      <c r="N8" s="467">
        <f>SUM(D8:M8)</f>
        <v>2214</v>
      </c>
    </row>
    <row r="9" spans="1:14" s="108" customFormat="1" ht="12.75" customHeight="1">
      <c r="A9" s="1"/>
      <c r="B9" s="1"/>
      <c r="C9" s="1193" t="s">
        <v>552</v>
      </c>
      <c r="D9" s="115"/>
      <c r="E9" s="466"/>
      <c r="F9" s="466"/>
      <c r="G9" s="466">
        <v>2130</v>
      </c>
      <c r="H9" s="466"/>
      <c r="I9" s="466"/>
      <c r="J9" s="466"/>
      <c r="K9" s="466"/>
      <c r="L9" s="466"/>
      <c r="M9" s="466"/>
      <c r="N9" s="467">
        <f>SUM(D9:M9)</f>
        <v>2130</v>
      </c>
    </row>
    <row r="10" spans="1:14" s="108" customFormat="1" ht="16.5" customHeight="1">
      <c r="A10" s="110"/>
      <c r="B10" s="110"/>
      <c r="C10" s="111" t="s">
        <v>256</v>
      </c>
      <c r="D10" s="469">
        <f aca="true" t="shared" si="0" ref="D10:N10">SUM(D6:D9)</f>
        <v>8</v>
      </c>
      <c r="E10" s="469">
        <f t="shared" si="0"/>
        <v>0</v>
      </c>
      <c r="F10" s="469">
        <f t="shared" si="0"/>
        <v>0</v>
      </c>
      <c r="G10" s="469">
        <f t="shared" si="0"/>
        <v>4344</v>
      </c>
      <c r="H10" s="469">
        <f t="shared" si="0"/>
        <v>0</v>
      </c>
      <c r="I10" s="469">
        <f t="shared" si="0"/>
        <v>0</v>
      </c>
      <c r="J10" s="469">
        <f t="shared" si="0"/>
        <v>0</v>
      </c>
      <c r="K10" s="469">
        <f t="shared" si="0"/>
        <v>0</v>
      </c>
      <c r="L10" s="469">
        <f t="shared" si="0"/>
        <v>0</v>
      </c>
      <c r="M10" s="469">
        <f t="shared" si="0"/>
        <v>0</v>
      </c>
      <c r="N10" s="469">
        <f t="shared" si="0"/>
        <v>4352</v>
      </c>
    </row>
    <row r="11" spans="1:14" s="108" customFormat="1" ht="12.75" customHeight="1">
      <c r="A11" s="1192">
        <v>1</v>
      </c>
      <c r="B11" s="1192">
        <v>13</v>
      </c>
      <c r="C11" s="463" t="s">
        <v>250</v>
      </c>
      <c r="D11" s="466"/>
      <c r="E11" s="466"/>
      <c r="F11" s="466"/>
      <c r="G11" s="466"/>
      <c r="H11" s="466"/>
      <c r="I11" s="466"/>
      <c r="J11" s="466"/>
      <c r="K11" s="466"/>
      <c r="L11" s="466"/>
      <c r="M11" s="466"/>
      <c r="N11" s="467"/>
    </row>
    <row r="12" spans="1:3" s="108" customFormat="1" ht="12.75" customHeight="1">
      <c r="A12" s="1192"/>
      <c r="B12" s="1192"/>
      <c r="C12" s="1194" t="s">
        <v>1234</v>
      </c>
    </row>
    <row r="13" spans="1:14" s="108" customFormat="1" ht="15" customHeight="1">
      <c r="A13" s="1192"/>
      <c r="B13" s="1192"/>
      <c r="C13" s="1195" t="s">
        <v>1461</v>
      </c>
      <c r="D13" s="136"/>
      <c r="E13" s="466"/>
      <c r="F13" s="466"/>
      <c r="G13" s="466"/>
      <c r="H13" s="466"/>
      <c r="I13" s="466"/>
      <c r="J13" s="466"/>
      <c r="K13" s="466"/>
      <c r="L13" s="466"/>
      <c r="M13" s="466"/>
      <c r="N13" s="467"/>
    </row>
    <row r="14" spans="1:14" s="108" customFormat="1" ht="31.5" customHeight="1">
      <c r="A14" s="1192"/>
      <c r="B14" s="1192"/>
      <c r="C14" s="741" t="s">
        <v>553</v>
      </c>
      <c r="D14" s="470">
        <v>825</v>
      </c>
      <c r="E14" s="466"/>
      <c r="F14" s="466"/>
      <c r="G14" s="466"/>
      <c r="H14" s="466"/>
      <c r="I14" s="466"/>
      <c r="J14" s="466"/>
      <c r="K14" s="466"/>
      <c r="L14" s="466"/>
      <c r="M14" s="466"/>
      <c r="N14" s="467">
        <f>SUM(D14:M14)</f>
        <v>825</v>
      </c>
    </row>
    <row r="15" spans="1:14" s="108" customFormat="1" ht="24.75" customHeight="1">
      <c r="A15" s="1"/>
      <c r="B15" s="1"/>
      <c r="C15" s="187" t="s">
        <v>554</v>
      </c>
      <c r="D15" s="466"/>
      <c r="E15" s="466"/>
      <c r="F15" s="466"/>
      <c r="G15" s="466"/>
      <c r="H15" s="466"/>
      <c r="I15" s="466"/>
      <c r="J15" s="466"/>
      <c r="K15" s="466"/>
      <c r="L15" s="466"/>
      <c r="M15" s="466"/>
      <c r="N15" s="467"/>
    </row>
    <row r="16" spans="1:14" s="108" customFormat="1" ht="24.75" customHeight="1">
      <c r="A16" s="1"/>
      <c r="B16" s="1"/>
      <c r="C16" s="741" t="s">
        <v>555</v>
      </c>
      <c r="D16" s="470"/>
      <c r="E16" s="466"/>
      <c r="F16" s="466"/>
      <c r="G16" s="466"/>
      <c r="H16" s="466"/>
      <c r="I16" s="466">
        <v>2200</v>
      </c>
      <c r="J16" s="466"/>
      <c r="K16" s="466"/>
      <c r="L16" s="466"/>
      <c r="M16" s="466"/>
      <c r="N16" s="467">
        <f>SUM(D16:M16)</f>
        <v>2200</v>
      </c>
    </row>
    <row r="17" spans="1:14" s="108" customFormat="1" ht="12.75" customHeight="1">
      <c r="A17" s="1"/>
      <c r="B17" s="1"/>
      <c r="C17" s="471" t="s">
        <v>1235</v>
      </c>
      <c r="D17" s="472"/>
      <c r="E17" s="466"/>
      <c r="F17" s="466"/>
      <c r="G17" s="466"/>
      <c r="H17" s="466"/>
      <c r="I17" s="466"/>
      <c r="J17" s="466"/>
      <c r="K17" s="466"/>
      <c r="L17" s="466"/>
      <c r="M17" s="466"/>
      <c r="N17" s="467"/>
    </row>
    <row r="18" spans="1:14" s="108" customFormat="1" ht="15" customHeight="1">
      <c r="A18" s="1"/>
      <c r="B18" s="1"/>
      <c r="C18" s="1195" t="s">
        <v>1464</v>
      </c>
      <c r="D18" s="441"/>
      <c r="E18" s="466"/>
      <c r="F18" s="466"/>
      <c r="G18" s="466"/>
      <c r="H18" s="466"/>
      <c r="I18" s="466"/>
      <c r="J18" s="466"/>
      <c r="K18" s="466"/>
      <c r="L18" s="466"/>
      <c r="M18" s="466"/>
      <c r="N18" s="467"/>
    </row>
    <row r="19" spans="1:14" s="108" customFormat="1" ht="24.75" customHeight="1">
      <c r="A19" s="1"/>
      <c r="B19" s="1"/>
      <c r="C19" s="41" t="s">
        <v>556</v>
      </c>
      <c r="D19" s="225">
        <v>-240</v>
      </c>
      <c r="E19" s="466"/>
      <c r="F19" s="466"/>
      <c r="G19" s="466"/>
      <c r="H19" s="466"/>
      <c r="I19" s="466"/>
      <c r="J19" s="466"/>
      <c r="K19" s="466"/>
      <c r="L19" s="466"/>
      <c r="M19" s="466"/>
      <c r="N19" s="467">
        <f>SUM(D19:M19)</f>
        <v>-240</v>
      </c>
    </row>
    <row r="20" spans="1:14" s="108" customFormat="1" ht="18.75" customHeight="1">
      <c r="A20" s="2"/>
      <c r="B20" s="2"/>
      <c r="C20" s="111" t="s">
        <v>252</v>
      </c>
      <c r="D20" s="469">
        <f aca="true" t="shared" si="1" ref="D20:N20">SUM(D13:D19)</f>
        <v>585</v>
      </c>
      <c r="E20" s="469">
        <f t="shared" si="1"/>
        <v>0</v>
      </c>
      <c r="F20" s="469">
        <f t="shared" si="1"/>
        <v>0</v>
      </c>
      <c r="G20" s="469">
        <f t="shared" si="1"/>
        <v>0</v>
      </c>
      <c r="H20" s="469">
        <f t="shared" si="1"/>
        <v>0</v>
      </c>
      <c r="I20" s="469">
        <f t="shared" si="1"/>
        <v>2200</v>
      </c>
      <c r="J20" s="469">
        <f t="shared" si="1"/>
        <v>0</v>
      </c>
      <c r="K20" s="469">
        <f t="shared" si="1"/>
        <v>0</v>
      </c>
      <c r="L20" s="469">
        <f t="shared" si="1"/>
        <v>0</v>
      </c>
      <c r="M20" s="469">
        <f t="shared" si="1"/>
        <v>0</v>
      </c>
      <c r="N20" s="469">
        <f t="shared" si="1"/>
        <v>2785</v>
      </c>
    </row>
    <row r="21" spans="1:14" s="108" customFormat="1" ht="12.75" customHeight="1">
      <c r="A21" s="1192">
        <v>1</v>
      </c>
      <c r="B21" s="1192">
        <v>15</v>
      </c>
      <c r="C21" s="463" t="s">
        <v>51</v>
      </c>
      <c r="D21" s="466"/>
      <c r="E21" s="466"/>
      <c r="F21" s="466"/>
      <c r="G21" s="466"/>
      <c r="H21" s="466"/>
      <c r="I21" s="466"/>
      <c r="J21" s="466"/>
      <c r="K21" s="466"/>
      <c r="L21" s="466"/>
      <c r="M21" s="466"/>
      <c r="N21" s="467"/>
    </row>
    <row r="22" spans="1:14" s="108" customFormat="1" ht="12.75" customHeight="1">
      <c r="A22" s="1"/>
      <c r="B22" s="1"/>
      <c r="C22" s="473" t="s">
        <v>658</v>
      </c>
      <c r="D22" s="466"/>
      <c r="E22" s="466"/>
      <c r="F22" s="466"/>
      <c r="G22" s="466"/>
      <c r="H22" s="466"/>
      <c r="I22" s="466"/>
      <c r="J22" s="466"/>
      <c r="K22" s="466"/>
      <c r="L22" s="466"/>
      <c r="M22" s="466"/>
      <c r="N22" s="467"/>
    </row>
    <row r="23" spans="1:14" s="108" customFormat="1" ht="24.75" customHeight="1">
      <c r="A23" s="1"/>
      <c r="B23" s="1"/>
      <c r="C23" s="1196" t="s">
        <v>557</v>
      </c>
      <c r="D23" s="466"/>
      <c r="E23" s="466"/>
      <c r="F23" s="466"/>
      <c r="G23" s="466"/>
      <c r="H23" s="466"/>
      <c r="I23" s="466"/>
      <c r="J23" s="466">
        <v>1760</v>
      </c>
      <c r="K23" s="466"/>
      <c r="L23" s="466"/>
      <c r="M23" s="466"/>
      <c r="N23" s="467">
        <f>SUM(D23:M23)</f>
        <v>1760</v>
      </c>
    </row>
    <row r="24" spans="1:14" s="108" customFormat="1" ht="24.75" customHeight="1">
      <c r="A24" s="1"/>
      <c r="B24" s="1"/>
      <c r="C24" s="1196" t="s">
        <v>558</v>
      </c>
      <c r="D24" s="466"/>
      <c r="E24" s="466"/>
      <c r="F24" s="466"/>
      <c r="G24" s="466">
        <v>9409</v>
      </c>
      <c r="H24" s="466"/>
      <c r="I24" s="466"/>
      <c r="J24" s="466"/>
      <c r="K24" s="466"/>
      <c r="L24" s="466"/>
      <c r="M24" s="466"/>
      <c r="N24" s="467">
        <f>SUM(D24:M24)</f>
        <v>9409</v>
      </c>
    </row>
    <row r="25" spans="1:14" s="108" customFormat="1" ht="24" customHeight="1">
      <c r="A25" s="1"/>
      <c r="B25" s="1"/>
      <c r="C25" s="363" t="s">
        <v>1426</v>
      </c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467"/>
    </row>
    <row r="26" spans="1:14" s="108" customFormat="1" ht="15" customHeight="1">
      <c r="A26" s="1"/>
      <c r="B26" s="1"/>
      <c r="C26" s="474" t="s">
        <v>559</v>
      </c>
      <c r="D26" s="466"/>
      <c r="E26" s="466"/>
      <c r="F26" s="466"/>
      <c r="G26" s="466"/>
      <c r="H26" s="466"/>
      <c r="I26" s="466"/>
      <c r="J26" s="466">
        <v>1200</v>
      </c>
      <c r="K26" s="466"/>
      <c r="L26" s="466"/>
      <c r="M26" s="466"/>
      <c r="N26" s="467">
        <f>SUM(D26:M26)</f>
        <v>1200</v>
      </c>
    </row>
    <row r="27" spans="1:14" s="108" customFormat="1" ht="15" customHeight="1">
      <c r="A27" s="1"/>
      <c r="B27" s="1"/>
      <c r="C27" s="293" t="s">
        <v>560</v>
      </c>
      <c r="D27" s="470"/>
      <c r="E27" s="466"/>
      <c r="F27" s="466"/>
      <c r="G27" s="466">
        <v>1270</v>
      </c>
      <c r="H27" s="466"/>
      <c r="I27" s="466"/>
      <c r="J27" s="466"/>
      <c r="K27" s="466"/>
      <c r="L27" s="466"/>
      <c r="M27" s="466"/>
      <c r="N27" s="467">
        <f>SUM(D27:M27)</f>
        <v>1270</v>
      </c>
    </row>
    <row r="28" spans="1:14" s="108" customFormat="1" ht="15" customHeight="1">
      <c r="A28" s="1"/>
      <c r="B28" s="1"/>
      <c r="C28" s="293" t="s">
        <v>561</v>
      </c>
      <c r="D28" s="470"/>
      <c r="E28" s="466"/>
      <c r="F28" s="466">
        <v>174</v>
      </c>
      <c r="G28" s="466"/>
      <c r="H28" s="466"/>
      <c r="I28" s="466"/>
      <c r="J28" s="466"/>
      <c r="K28" s="466"/>
      <c r="L28" s="466"/>
      <c r="M28" s="466"/>
      <c r="N28" s="467">
        <f>SUM(D28:M28)</f>
        <v>174</v>
      </c>
    </row>
    <row r="29" spans="1:14" s="108" customFormat="1" ht="15" customHeight="1">
      <c r="A29" s="1"/>
      <c r="B29" s="1"/>
      <c r="C29" s="187" t="s">
        <v>1696</v>
      </c>
      <c r="D29" s="466"/>
      <c r="E29" s="466"/>
      <c r="F29" s="466"/>
      <c r="G29" s="466"/>
      <c r="H29" s="466"/>
      <c r="I29" s="466"/>
      <c r="J29" s="466"/>
      <c r="K29" s="466"/>
      <c r="L29" s="466"/>
      <c r="M29" s="466"/>
      <c r="N29" s="467"/>
    </row>
    <row r="30" spans="1:14" s="108" customFormat="1" ht="15" customHeight="1">
      <c r="A30" s="1"/>
      <c r="B30" s="1"/>
      <c r="C30" s="160" t="s">
        <v>562</v>
      </c>
      <c r="D30" s="466"/>
      <c r="E30" s="466"/>
      <c r="F30" s="466"/>
      <c r="G30" s="466">
        <v>757</v>
      </c>
      <c r="H30" s="466"/>
      <c r="I30" s="466"/>
      <c r="J30" s="466"/>
      <c r="K30" s="466"/>
      <c r="L30" s="466"/>
      <c r="M30" s="466"/>
      <c r="N30" s="467">
        <f>SUM(D30:M30)</f>
        <v>757</v>
      </c>
    </row>
    <row r="31" spans="1:14" s="108" customFormat="1" ht="24.75" customHeight="1">
      <c r="A31" s="1"/>
      <c r="B31" s="1"/>
      <c r="C31" s="313" t="s">
        <v>1428</v>
      </c>
      <c r="D31" s="466"/>
      <c r="E31" s="466"/>
      <c r="F31" s="466"/>
      <c r="G31" s="466"/>
      <c r="H31" s="466"/>
      <c r="I31" s="466"/>
      <c r="J31" s="466"/>
      <c r="K31" s="466"/>
      <c r="L31" s="466"/>
      <c r="M31" s="466"/>
      <c r="N31" s="467"/>
    </row>
    <row r="32" spans="1:14" s="108" customFormat="1" ht="15" customHeight="1">
      <c r="A32" s="1"/>
      <c r="B32" s="1"/>
      <c r="C32" s="3" t="s">
        <v>38</v>
      </c>
      <c r="D32" s="466"/>
      <c r="E32" s="466"/>
      <c r="F32" s="466"/>
      <c r="G32" s="466">
        <v>-53931</v>
      </c>
      <c r="H32" s="466"/>
      <c r="I32" s="466"/>
      <c r="J32" s="466"/>
      <c r="K32" s="466"/>
      <c r="L32" s="466"/>
      <c r="M32" s="466"/>
      <c r="N32" s="467">
        <f>SUM(D32:M32)</f>
        <v>-53931</v>
      </c>
    </row>
    <row r="33" spans="1:14" s="108" customFormat="1" ht="24.75" customHeight="1">
      <c r="A33" s="1"/>
      <c r="B33" s="1"/>
      <c r="C33" s="57" t="s">
        <v>1099</v>
      </c>
      <c r="D33" s="466"/>
      <c r="E33" s="466"/>
      <c r="F33" s="466"/>
      <c r="G33" s="466">
        <v>3721</v>
      </c>
      <c r="H33" s="466"/>
      <c r="I33" s="466"/>
      <c r="J33" s="475"/>
      <c r="K33" s="466"/>
      <c r="L33" s="466"/>
      <c r="M33" s="466"/>
      <c r="N33" s="467">
        <f>SUM(D33:M33)</f>
        <v>3721</v>
      </c>
    </row>
    <row r="34" spans="1:14" s="108" customFormat="1" ht="18.75" customHeight="1">
      <c r="A34" s="110"/>
      <c r="B34" s="110"/>
      <c r="C34" s="111" t="s">
        <v>1674</v>
      </c>
      <c r="D34" s="469">
        <f aca="true" t="shared" si="2" ref="D34:N34">SUM(D22:D33)</f>
        <v>0</v>
      </c>
      <c r="E34" s="469">
        <f t="shared" si="2"/>
        <v>0</v>
      </c>
      <c r="F34" s="469">
        <f t="shared" si="2"/>
        <v>174</v>
      </c>
      <c r="G34" s="469">
        <f t="shared" si="2"/>
        <v>-38774</v>
      </c>
      <c r="H34" s="469">
        <f t="shared" si="2"/>
        <v>0</v>
      </c>
      <c r="I34" s="469">
        <f t="shared" si="2"/>
        <v>0</v>
      </c>
      <c r="J34" s="469">
        <f t="shared" si="2"/>
        <v>2960</v>
      </c>
      <c r="K34" s="469">
        <f t="shared" si="2"/>
        <v>0</v>
      </c>
      <c r="L34" s="469">
        <f t="shared" si="2"/>
        <v>0</v>
      </c>
      <c r="M34" s="469">
        <f t="shared" si="2"/>
        <v>0</v>
      </c>
      <c r="N34" s="469">
        <f t="shared" si="2"/>
        <v>-35640</v>
      </c>
    </row>
    <row r="35" spans="1:14" s="108" customFormat="1" ht="12.75" customHeight="1">
      <c r="A35" s="1192">
        <v>1</v>
      </c>
      <c r="B35" s="1192">
        <v>16</v>
      </c>
      <c r="C35" s="463" t="s">
        <v>1493</v>
      </c>
      <c r="D35" s="466"/>
      <c r="E35" s="466"/>
      <c r="F35" s="466"/>
      <c r="G35" s="466"/>
      <c r="H35" s="466"/>
      <c r="I35" s="466"/>
      <c r="J35" s="466"/>
      <c r="K35" s="466"/>
      <c r="L35" s="466"/>
      <c r="M35" s="466"/>
      <c r="N35" s="467"/>
    </row>
    <row r="36" spans="1:14" s="108" customFormat="1" ht="24.75" customHeight="1">
      <c r="A36" s="1192"/>
      <c r="B36" s="1192"/>
      <c r="C36" s="5" t="s">
        <v>1697</v>
      </c>
      <c r="D36" s="470"/>
      <c r="E36" s="466"/>
      <c r="F36" s="466"/>
      <c r="G36" s="466"/>
      <c r="H36" s="466"/>
      <c r="I36" s="466"/>
      <c r="J36" s="466"/>
      <c r="K36" s="466"/>
      <c r="L36" s="466"/>
      <c r="M36" s="466"/>
      <c r="N36" s="467"/>
    </row>
    <row r="37" spans="1:14" s="108" customFormat="1" ht="37.5" customHeight="1">
      <c r="A37" s="1"/>
      <c r="B37" s="1"/>
      <c r="C37" s="1197" t="s">
        <v>1864</v>
      </c>
      <c r="D37" s="470"/>
      <c r="E37" s="466">
        <v>42857</v>
      </c>
      <c r="F37" s="466"/>
      <c r="G37" s="466"/>
      <c r="H37" s="466"/>
      <c r="I37" s="466"/>
      <c r="J37" s="466"/>
      <c r="K37" s="466"/>
      <c r="L37" s="466"/>
      <c r="M37" s="466"/>
      <c r="N37" s="467">
        <f>SUM(D37:M37)</f>
        <v>42857</v>
      </c>
    </row>
    <row r="38" spans="1:14" s="108" customFormat="1" ht="37.5" customHeight="1">
      <c r="A38" s="1"/>
      <c r="B38" s="1"/>
      <c r="C38" s="1198" t="s">
        <v>563</v>
      </c>
      <c r="D38" s="470"/>
      <c r="E38" s="466">
        <v>22709</v>
      </c>
      <c r="F38" s="466"/>
      <c r="G38" s="466"/>
      <c r="H38" s="466"/>
      <c r="I38" s="466"/>
      <c r="J38" s="466"/>
      <c r="K38" s="466"/>
      <c r="L38" s="466"/>
      <c r="M38" s="466"/>
      <c r="N38" s="467">
        <f>SUM(D38:M38)</f>
        <v>22709</v>
      </c>
    </row>
    <row r="39" spans="1:14" s="108" customFormat="1" ht="24.75" customHeight="1">
      <c r="A39" s="1"/>
      <c r="B39" s="1"/>
      <c r="C39" s="1199" t="s">
        <v>564</v>
      </c>
      <c r="D39" s="470"/>
      <c r="E39" s="466"/>
      <c r="F39" s="466"/>
      <c r="G39" s="466"/>
      <c r="H39" s="466"/>
      <c r="I39" s="466"/>
      <c r="J39" s="466">
        <v>20000</v>
      </c>
      <c r="K39" s="466"/>
      <c r="L39" s="466"/>
      <c r="M39" s="466"/>
      <c r="N39" s="467">
        <f>SUM(J39:M39)</f>
        <v>20000</v>
      </c>
    </row>
    <row r="40" spans="1:14" s="108" customFormat="1" ht="19.5" customHeight="1">
      <c r="A40" s="2"/>
      <c r="B40" s="2"/>
      <c r="C40" s="111" t="s">
        <v>1496</v>
      </c>
      <c r="D40" s="469"/>
      <c r="E40" s="469">
        <f>SUM(E37:E39)</f>
        <v>65566</v>
      </c>
      <c r="F40" s="469"/>
      <c r="G40" s="469"/>
      <c r="H40" s="469"/>
      <c r="I40" s="469"/>
      <c r="J40" s="469">
        <f>SUM(J37:J39)</f>
        <v>20000</v>
      </c>
      <c r="K40" s="469"/>
      <c r="L40" s="469"/>
      <c r="M40" s="469"/>
      <c r="N40" s="469">
        <f>SUM(N37:N39)</f>
        <v>85566</v>
      </c>
    </row>
    <row r="41" spans="1:14" s="108" customFormat="1" ht="12.75" customHeight="1">
      <c r="A41" s="1192">
        <v>1</v>
      </c>
      <c r="B41" s="1192">
        <v>17</v>
      </c>
      <c r="C41" s="463" t="s">
        <v>52</v>
      </c>
      <c r="D41" s="466"/>
      <c r="E41" s="466"/>
      <c r="F41" s="466"/>
      <c r="G41" s="466"/>
      <c r="H41" s="466"/>
      <c r="I41" s="466"/>
      <c r="J41" s="466"/>
      <c r="K41" s="466"/>
      <c r="L41" s="466"/>
      <c r="M41" s="466"/>
      <c r="N41" s="467"/>
    </row>
    <row r="42" spans="1:14" s="108" customFormat="1" ht="24.75" customHeight="1">
      <c r="A42" s="1"/>
      <c r="B42" s="1"/>
      <c r="C42" s="145" t="s">
        <v>1565</v>
      </c>
      <c r="D42" s="466"/>
      <c r="E42" s="466"/>
      <c r="F42" s="466"/>
      <c r="G42" s="466"/>
      <c r="H42" s="466"/>
      <c r="I42" s="466"/>
      <c r="J42" s="466"/>
      <c r="K42" s="466"/>
      <c r="L42" s="466"/>
      <c r="M42" s="466"/>
      <c r="N42" s="467"/>
    </row>
    <row r="43" spans="1:14" s="108" customFormat="1" ht="24.75" customHeight="1">
      <c r="A43" s="1"/>
      <c r="B43" s="1"/>
      <c r="C43" s="1200" t="s">
        <v>1709</v>
      </c>
      <c r="D43" s="466"/>
      <c r="E43" s="466"/>
      <c r="F43" s="466"/>
      <c r="G43" s="466">
        <v>19925</v>
      </c>
      <c r="H43" s="466"/>
      <c r="I43" s="466"/>
      <c r="J43" s="466"/>
      <c r="K43" s="466"/>
      <c r="L43" s="466"/>
      <c r="M43" s="466"/>
      <c r="N43" s="467">
        <f>SUM(D43:M43)</f>
        <v>19925</v>
      </c>
    </row>
    <row r="44" spans="1:14" s="108" customFormat="1" ht="15" customHeight="1">
      <c r="A44" s="1"/>
      <c r="B44" s="1"/>
      <c r="C44" s="1201" t="s">
        <v>565</v>
      </c>
      <c r="D44" s="466"/>
      <c r="E44" s="466"/>
      <c r="F44" s="466"/>
      <c r="G44" s="466">
        <v>-9261</v>
      </c>
      <c r="H44" s="466"/>
      <c r="I44" s="466"/>
      <c r="J44" s="466"/>
      <c r="K44" s="466"/>
      <c r="L44" s="466"/>
      <c r="M44" s="466"/>
      <c r="N44" s="467">
        <f>SUM(D44:M44)</f>
        <v>-9261</v>
      </c>
    </row>
    <row r="45" spans="1:14" s="108" customFormat="1" ht="24.75" customHeight="1">
      <c r="A45" s="1"/>
      <c r="B45" s="1"/>
      <c r="C45" s="5" t="s">
        <v>566</v>
      </c>
      <c r="D45" s="466"/>
      <c r="E45" s="466"/>
      <c r="F45" s="466"/>
      <c r="G45" s="466">
        <v>22860</v>
      </c>
      <c r="H45" s="466"/>
      <c r="I45" s="466"/>
      <c r="J45" s="466"/>
      <c r="K45" s="466"/>
      <c r="L45" s="466"/>
      <c r="M45" s="466"/>
      <c r="N45" s="467">
        <f>SUM(D45:M45)</f>
        <v>22860</v>
      </c>
    </row>
    <row r="46" spans="1:14" s="108" customFormat="1" ht="16.5" customHeight="1">
      <c r="A46" s="110"/>
      <c r="B46" s="110"/>
      <c r="C46" s="111" t="s">
        <v>1672</v>
      </c>
      <c r="D46" s="469">
        <f aca="true" t="shared" si="3" ref="D46:N46">SUM(D42:D45)</f>
        <v>0</v>
      </c>
      <c r="E46" s="469">
        <f t="shared" si="3"/>
        <v>0</v>
      </c>
      <c r="F46" s="469">
        <f t="shared" si="3"/>
        <v>0</v>
      </c>
      <c r="G46" s="469">
        <f t="shared" si="3"/>
        <v>33524</v>
      </c>
      <c r="H46" s="469">
        <f t="shared" si="3"/>
        <v>0</v>
      </c>
      <c r="I46" s="469">
        <f t="shared" si="3"/>
        <v>0</v>
      </c>
      <c r="J46" s="469">
        <f t="shared" si="3"/>
        <v>0</v>
      </c>
      <c r="K46" s="469">
        <f t="shared" si="3"/>
        <v>0</v>
      </c>
      <c r="L46" s="469">
        <f t="shared" si="3"/>
        <v>0</v>
      </c>
      <c r="M46" s="469">
        <f t="shared" si="3"/>
        <v>0</v>
      </c>
      <c r="N46" s="469">
        <f t="shared" si="3"/>
        <v>33524</v>
      </c>
    </row>
    <row r="47" spans="1:14" s="108" customFormat="1" ht="12.75" customHeight="1">
      <c r="A47" s="1192">
        <v>1</v>
      </c>
      <c r="B47" s="1192">
        <v>18</v>
      </c>
      <c r="C47" s="463" t="s">
        <v>879</v>
      </c>
      <c r="D47" s="466"/>
      <c r="E47" s="466"/>
      <c r="F47" s="466"/>
      <c r="G47" s="466"/>
      <c r="H47" s="466"/>
      <c r="I47" s="466"/>
      <c r="J47" s="466"/>
      <c r="K47" s="466"/>
      <c r="L47" s="466"/>
      <c r="M47" s="466"/>
      <c r="N47" s="467"/>
    </row>
    <row r="48" spans="1:14" s="108" customFormat="1" ht="12.75" customHeight="1">
      <c r="A48" s="1"/>
      <c r="B48" s="1"/>
      <c r="C48" s="463"/>
      <c r="D48" s="466"/>
      <c r="E48" s="466"/>
      <c r="F48" s="466"/>
      <c r="G48" s="466"/>
      <c r="H48" s="466"/>
      <c r="I48" s="466"/>
      <c r="J48" s="466"/>
      <c r="K48" s="466"/>
      <c r="L48" s="466"/>
      <c r="M48" s="466"/>
      <c r="N48" s="467">
        <f>SUM(D48:M48)</f>
        <v>0</v>
      </c>
    </row>
    <row r="49" spans="1:14" s="108" customFormat="1" ht="18.75" customHeight="1">
      <c r="A49" s="2"/>
      <c r="B49" s="2"/>
      <c r="C49" s="111" t="s">
        <v>667</v>
      </c>
      <c r="D49" s="469">
        <f aca="true" t="shared" si="4" ref="D49:N49">SUM(D48:D48)</f>
        <v>0</v>
      </c>
      <c r="E49" s="469">
        <f t="shared" si="4"/>
        <v>0</v>
      </c>
      <c r="F49" s="469">
        <f t="shared" si="4"/>
        <v>0</v>
      </c>
      <c r="G49" s="469">
        <f t="shared" si="4"/>
        <v>0</v>
      </c>
      <c r="H49" s="469">
        <f t="shared" si="4"/>
        <v>0</v>
      </c>
      <c r="I49" s="469">
        <f t="shared" si="4"/>
        <v>0</v>
      </c>
      <c r="J49" s="469">
        <f t="shared" si="4"/>
        <v>0</v>
      </c>
      <c r="K49" s="469">
        <f t="shared" si="4"/>
        <v>0</v>
      </c>
      <c r="L49" s="469">
        <f t="shared" si="4"/>
        <v>0</v>
      </c>
      <c r="M49" s="469">
        <f t="shared" si="4"/>
        <v>0</v>
      </c>
      <c r="N49" s="469">
        <f t="shared" si="4"/>
        <v>0</v>
      </c>
    </row>
    <row r="50" spans="1:14" s="108" customFormat="1" ht="15" customHeight="1">
      <c r="A50" s="1">
        <v>1</v>
      </c>
      <c r="B50" s="1">
        <v>19</v>
      </c>
      <c r="C50" s="463" t="s">
        <v>893</v>
      </c>
      <c r="D50" s="466"/>
      <c r="E50" s="466"/>
      <c r="F50" s="466"/>
      <c r="G50" s="466"/>
      <c r="H50" s="466"/>
      <c r="I50" s="466"/>
      <c r="J50" s="466"/>
      <c r="K50" s="466"/>
      <c r="L50" s="466"/>
      <c r="M50" s="466"/>
      <c r="N50" s="467"/>
    </row>
    <row r="51" spans="1:14" s="108" customFormat="1" ht="24.75" customHeight="1">
      <c r="A51" s="1"/>
      <c r="B51" s="1"/>
      <c r="C51" s="5" t="s">
        <v>1702</v>
      </c>
      <c r="D51" s="466"/>
      <c r="E51" s="466"/>
      <c r="F51" s="466"/>
      <c r="G51" s="466"/>
      <c r="H51" s="466"/>
      <c r="I51" s="466"/>
      <c r="J51" s="466"/>
      <c r="K51" s="466"/>
      <c r="L51" s="466"/>
      <c r="M51" s="466"/>
      <c r="N51" s="467"/>
    </row>
    <row r="52" spans="1:14" s="108" customFormat="1" ht="39" customHeight="1">
      <c r="A52" s="1"/>
      <c r="B52" s="1"/>
      <c r="C52" s="118" t="s">
        <v>668</v>
      </c>
      <c r="D52" s="466">
        <v>-12439</v>
      </c>
      <c r="E52" s="466"/>
      <c r="F52" s="466"/>
      <c r="G52" s="466"/>
      <c r="H52" s="466"/>
      <c r="I52" s="466"/>
      <c r="J52" s="466"/>
      <c r="K52" s="466"/>
      <c r="L52" s="466"/>
      <c r="M52" s="466"/>
      <c r="N52" s="467">
        <f aca="true" t="shared" si="5" ref="N52:N57">SUM(D52:M52)</f>
        <v>-12439</v>
      </c>
    </row>
    <row r="53" spans="1:14" s="108" customFormat="1" ht="15" customHeight="1">
      <c r="A53" s="1"/>
      <c r="B53" s="1"/>
      <c r="C53" s="109" t="s">
        <v>669</v>
      </c>
      <c r="D53" s="466">
        <v>55848</v>
      </c>
      <c r="E53" s="466"/>
      <c r="F53" s="466"/>
      <c r="G53" s="466"/>
      <c r="H53" s="466"/>
      <c r="I53" s="466"/>
      <c r="J53" s="466"/>
      <c r="K53" s="466"/>
      <c r="L53" s="466"/>
      <c r="M53" s="466"/>
      <c r="N53" s="467">
        <f t="shared" si="5"/>
        <v>55848</v>
      </c>
    </row>
    <row r="54" spans="1:14" s="108" customFormat="1" ht="15" customHeight="1">
      <c r="A54" s="1"/>
      <c r="B54" s="1"/>
      <c r="C54" s="109" t="s">
        <v>670</v>
      </c>
      <c r="D54" s="470">
        <v>31915</v>
      </c>
      <c r="E54" s="466"/>
      <c r="F54" s="466"/>
      <c r="G54" s="466"/>
      <c r="H54" s="466"/>
      <c r="I54" s="466"/>
      <c r="J54" s="466"/>
      <c r="K54" s="466"/>
      <c r="L54" s="466"/>
      <c r="M54" s="466"/>
      <c r="N54" s="467">
        <f t="shared" si="5"/>
        <v>31915</v>
      </c>
    </row>
    <row r="55" spans="1:14" s="108" customFormat="1" ht="15" customHeight="1">
      <c r="A55" s="1"/>
      <c r="B55" s="1"/>
      <c r="C55" s="3" t="s">
        <v>1085</v>
      </c>
      <c r="D55" s="470"/>
      <c r="E55" s="466"/>
      <c r="F55" s="466">
        <v>-450000</v>
      </c>
      <c r="G55" s="466"/>
      <c r="H55" s="466"/>
      <c r="I55" s="466"/>
      <c r="J55" s="466"/>
      <c r="K55" s="466"/>
      <c r="L55" s="466"/>
      <c r="M55" s="466"/>
      <c r="N55" s="467">
        <f t="shared" si="5"/>
        <v>-450000</v>
      </c>
    </row>
    <row r="56" spans="1:14" s="108" customFormat="1" ht="15" customHeight="1">
      <c r="A56" s="1"/>
      <c r="B56" s="1"/>
      <c r="C56" s="120" t="s">
        <v>567</v>
      </c>
      <c r="D56" s="470"/>
      <c r="E56" s="466"/>
      <c r="F56" s="466">
        <v>19224</v>
      </c>
      <c r="G56" s="466"/>
      <c r="H56" s="466"/>
      <c r="I56" s="466"/>
      <c r="J56" s="466"/>
      <c r="K56" s="466"/>
      <c r="L56" s="466"/>
      <c r="M56" s="466"/>
      <c r="N56" s="467">
        <f t="shared" si="5"/>
        <v>19224</v>
      </c>
    </row>
    <row r="57" spans="1:14" s="108" customFormat="1" ht="15" customHeight="1">
      <c r="A57" s="1"/>
      <c r="B57" s="1"/>
      <c r="C57" s="3" t="s">
        <v>1087</v>
      </c>
      <c r="D57" s="470"/>
      <c r="E57" s="466"/>
      <c r="F57" s="466">
        <v>1595</v>
      </c>
      <c r="G57" s="466"/>
      <c r="H57" s="466"/>
      <c r="I57" s="466"/>
      <c r="J57" s="466"/>
      <c r="K57" s="466"/>
      <c r="L57" s="466"/>
      <c r="M57" s="466"/>
      <c r="N57" s="467">
        <f t="shared" si="5"/>
        <v>1595</v>
      </c>
    </row>
    <row r="58" spans="1:14" s="108" customFormat="1" ht="24.75" customHeight="1">
      <c r="A58" s="1"/>
      <c r="B58" s="1"/>
      <c r="C58" s="480" t="s">
        <v>1553</v>
      </c>
      <c r="D58" s="470"/>
      <c r="E58" s="466"/>
      <c r="F58" s="466"/>
      <c r="G58" s="466"/>
      <c r="H58" s="466"/>
      <c r="I58" s="466"/>
      <c r="J58" s="466"/>
      <c r="K58" s="466"/>
      <c r="L58" s="466"/>
      <c r="M58" s="466"/>
      <c r="N58" s="467"/>
    </row>
    <row r="59" spans="1:14" s="108" customFormat="1" ht="15" customHeight="1">
      <c r="A59" s="1"/>
      <c r="B59" s="1"/>
      <c r="C59" s="138" t="s">
        <v>671</v>
      </c>
      <c r="D59" s="470"/>
      <c r="E59" s="466"/>
      <c r="F59" s="466"/>
      <c r="G59" s="466">
        <v>-10710</v>
      </c>
      <c r="H59" s="466"/>
      <c r="I59" s="466"/>
      <c r="J59" s="466"/>
      <c r="K59" s="466"/>
      <c r="L59" s="466"/>
      <c r="M59" s="466"/>
      <c r="N59" s="467">
        <f>SUM(D59:M59)</f>
        <v>-10710</v>
      </c>
    </row>
    <row r="60" spans="1:14" s="108" customFormat="1" ht="24.75" customHeight="1">
      <c r="A60" s="1"/>
      <c r="B60" s="1"/>
      <c r="C60" s="41" t="s">
        <v>675</v>
      </c>
      <c r="D60" s="470">
        <v>1217</v>
      </c>
      <c r="E60" s="466"/>
      <c r="F60" s="466"/>
      <c r="G60" s="466"/>
      <c r="H60" s="466"/>
      <c r="I60" s="466"/>
      <c r="J60" s="466"/>
      <c r="K60" s="466"/>
      <c r="L60" s="466"/>
      <c r="M60" s="466"/>
      <c r="N60" s="467">
        <f>SUM(D60:M60)</f>
        <v>1217</v>
      </c>
    </row>
    <row r="61" spans="1:14" s="108" customFormat="1" ht="15" customHeight="1">
      <c r="A61" s="1"/>
      <c r="B61" s="1"/>
      <c r="C61" s="1195" t="s">
        <v>1461</v>
      </c>
      <c r="D61" s="470"/>
      <c r="E61" s="466"/>
      <c r="F61" s="466"/>
      <c r="G61" s="466"/>
      <c r="H61" s="466"/>
      <c r="I61" s="466"/>
      <c r="J61" s="466"/>
      <c r="K61" s="466"/>
      <c r="L61" s="466"/>
      <c r="M61" s="466"/>
      <c r="N61" s="467"/>
    </row>
    <row r="62" spans="1:14" s="108" customFormat="1" ht="24.75" customHeight="1">
      <c r="A62" s="1"/>
      <c r="B62" s="1"/>
      <c r="C62" s="160" t="s">
        <v>568</v>
      </c>
      <c r="D62" s="470">
        <v>1924</v>
      </c>
      <c r="E62" s="466"/>
      <c r="F62" s="466"/>
      <c r="G62" s="466"/>
      <c r="H62" s="466"/>
      <c r="I62" s="466"/>
      <c r="J62" s="466"/>
      <c r="K62" s="466"/>
      <c r="L62" s="466"/>
      <c r="M62" s="466"/>
      <c r="N62" s="467">
        <f>SUM(D62:M62)</f>
        <v>1924</v>
      </c>
    </row>
    <row r="63" spans="1:14" s="108" customFormat="1" ht="24.75" customHeight="1">
      <c r="A63" s="1"/>
      <c r="B63" s="1"/>
      <c r="C63" s="761" t="s">
        <v>839</v>
      </c>
      <c r="D63" s="470"/>
      <c r="E63" s="466"/>
      <c r="F63" s="466"/>
      <c r="G63" s="466"/>
      <c r="H63" s="466"/>
      <c r="I63" s="466"/>
      <c r="J63" s="466"/>
      <c r="K63" s="466"/>
      <c r="L63" s="466"/>
      <c r="M63" s="466"/>
      <c r="N63" s="467"/>
    </row>
    <row r="64" spans="1:14" s="108" customFormat="1" ht="24.75" customHeight="1">
      <c r="A64" s="1"/>
      <c r="B64" s="1"/>
      <c r="C64" s="5" t="s">
        <v>401</v>
      </c>
      <c r="D64" s="470">
        <v>3100</v>
      </c>
      <c r="E64" s="466"/>
      <c r="F64" s="466"/>
      <c r="G64" s="466"/>
      <c r="H64" s="466"/>
      <c r="I64" s="466"/>
      <c r="J64" s="466"/>
      <c r="K64" s="466"/>
      <c r="L64" s="466"/>
      <c r="M64" s="466"/>
      <c r="N64" s="467">
        <v>3100</v>
      </c>
    </row>
    <row r="65" spans="1:14" s="108" customFormat="1" ht="24.75" customHeight="1">
      <c r="A65" s="1"/>
      <c r="B65" s="1"/>
      <c r="C65" s="480" t="s">
        <v>1809</v>
      </c>
      <c r="D65" s="470"/>
      <c r="E65" s="466"/>
      <c r="F65" s="466"/>
      <c r="G65" s="466"/>
      <c r="H65" s="466"/>
      <c r="I65" s="466"/>
      <c r="J65" s="466"/>
      <c r="K65" s="466"/>
      <c r="L65" s="466"/>
      <c r="M65" s="466"/>
      <c r="N65" s="467"/>
    </row>
    <row r="66" spans="1:14" s="108" customFormat="1" ht="24.75" customHeight="1">
      <c r="A66" s="1"/>
      <c r="B66" s="1"/>
      <c r="C66" s="480" t="s">
        <v>569</v>
      </c>
      <c r="D66" s="470"/>
      <c r="E66" s="466"/>
      <c r="F66" s="466"/>
      <c r="G66" s="466">
        <v>21942</v>
      </c>
      <c r="H66" s="466"/>
      <c r="I66" s="466"/>
      <c r="J66" s="466"/>
      <c r="K66" s="466"/>
      <c r="L66" s="466"/>
      <c r="M66" s="466"/>
      <c r="N66" s="467">
        <f>SUM(D66:M66)</f>
        <v>21942</v>
      </c>
    </row>
    <row r="67" spans="1:14" s="108" customFormat="1" ht="15" customHeight="1">
      <c r="A67" s="1"/>
      <c r="B67" s="1"/>
      <c r="C67" s="171" t="s">
        <v>570</v>
      </c>
      <c r="D67" s="470"/>
      <c r="E67" s="466"/>
      <c r="F67" s="466"/>
      <c r="G67" s="466"/>
      <c r="H67" s="466"/>
      <c r="I67" s="466"/>
      <c r="J67" s="466"/>
      <c r="K67" s="466"/>
      <c r="L67" s="466">
        <v>407431</v>
      </c>
      <c r="M67" s="466"/>
      <c r="N67" s="467">
        <f>SUM(D67:M67)</f>
        <v>407431</v>
      </c>
    </row>
    <row r="68" spans="1:14" s="108" customFormat="1" ht="12.75" customHeight="1">
      <c r="A68" s="2"/>
      <c r="B68" s="110"/>
      <c r="C68" s="111" t="s">
        <v>895</v>
      </c>
      <c r="D68" s="469">
        <f aca="true" t="shared" si="6" ref="D68:N68">SUM(D50:D67)</f>
        <v>81565</v>
      </c>
      <c r="E68" s="469">
        <f t="shared" si="6"/>
        <v>0</v>
      </c>
      <c r="F68" s="469">
        <f t="shared" si="6"/>
        <v>-429181</v>
      </c>
      <c r="G68" s="469">
        <f t="shared" si="6"/>
        <v>11232</v>
      </c>
      <c r="H68" s="469">
        <f t="shared" si="6"/>
        <v>0</v>
      </c>
      <c r="I68" s="469">
        <f t="shared" si="6"/>
        <v>0</v>
      </c>
      <c r="J68" s="469">
        <f t="shared" si="6"/>
        <v>0</v>
      </c>
      <c r="K68" s="469">
        <f t="shared" si="6"/>
        <v>0</v>
      </c>
      <c r="L68" s="469">
        <f t="shared" si="6"/>
        <v>407431</v>
      </c>
      <c r="M68" s="469">
        <f t="shared" si="6"/>
        <v>0</v>
      </c>
      <c r="N68" s="469">
        <f t="shared" si="6"/>
        <v>71047</v>
      </c>
    </row>
    <row r="69" spans="1:14" s="108" customFormat="1" ht="12.75" customHeight="1">
      <c r="A69" s="116">
        <v>1</v>
      </c>
      <c r="B69" s="116">
        <v>20</v>
      </c>
      <c r="C69" s="117" t="s">
        <v>1886</v>
      </c>
      <c r="D69" s="482"/>
      <c r="E69" s="482"/>
      <c r="F69" s="482"/>
      <c r="G69" s="482"/>
      <c r="H69" s="482"/>
      <c r="I69" s="482"/>
      <c r="J69" s="482"/>
      <c r="K69" s="482"/>
      <c r="L69" s="482"/>
      <c r="M69" s="482"/>
      <c r="N69" s="482"/>
    </row>
    <row r="70" spans="1:14" s="108" customFormat="1" ht="24.75" customHeight="1">
      <c r="A70" s="116"/>
      <c r="B70" s="116"/>
      <c r="C70" s="5" t="s">
        <v>1697</v>
      </c>
      <c r="D70" s="482"/>
      <c r="E70" s="482"/>
      <c r="F70" s="482"/>
      <c r="G70" s="482"/>
      <c r="H70" s="482"/>
      <c r="I70" s="482"/>
      <c r="J70" s="482"/>
      <c r="K70" s="482"/>
      <c r="L70" s="482"/>
      <c r="M70" s="482"/>
      <c r="N70" s="482"/>
    </row>
    <row r="71" spans="1:14" s="108" customFormat="1" ht="12.75" customHeight="1">
      <c r="A71" s="114"/>
      <c r="B71" s="114"/>
      <c r="C71" s="113" t="s">
        <v>571</v>
      </c>
      <c r="D71" s="482"/>
      <c r="E71" s="482"/>
      <c r="F71" s="475">
        <v>162</v>
      </c>
      <c r="G71" s="482"/>
      <c r="H71" s="482"/>
      <c r="I71" s="482"/>
      <c r="J71" s="482"/>
      <c r="K71" s="482"/>
      <c r="L71" s="482"/>
      <c r="M71" s="482"/>
      <c r="N71" s="475">
        <f>SUM(D71:M71)</f>
        <v>162</v>
      </c>
    </row>
    <row r="72" spans="1:14" s="108" customFormat="1" ht="12.75" customHeight="1">
      <c r="A72" s="2"/>
      <c r="B72" s="110"/>
      <c r="C72" s="111" t="s">
        <v>677</v>
      </c>
      <c r="D72" s="469">
        <f aca="true" t="shared" si="7" ref="D72:N72">SUM(D69:D71)</f>
        <v>0</v>
      </c>
      <c r="E72" s="469">
        <f t="shared" si="7"/>
        <v>0</v>
      </c>
      <c r="F72" s="469">
        <f t="shared" si="7"/>
        <v>162</v>
      </c>
      <c r="G72" s="469">
        <f t="shared" si="7"/>
        <v>0</v>
      </c>
      <c r="H72" s="469">
        <f t="shared" si="7"/>
        <v>0</v>
      </c>
      <c r="I72" s="469">
        <f t="shared" si="7"/>
        <v>0</v>
      </c>
      <c r="J72" s="469">
        <f t="shared" si="7"/>
        <v>0</v>
      </c>
      <c r="K72" s="469">
        <f t="shared" si="7"/>
        <v>0</v>
      </c>
      <c r="L72" s="469">
        <f t="shared" si="7"/>
        <v>0</v>
      </c>
      <c r="M72" s="469">
        <f t="shared" si="7"/>
        <v>0</v>
      </c>
      <c r="N72" s="469">
        <f t="shared" si="7"/>
        <v>162</v>
      </c>
    </row>
    <row r="73" spans="1:14" s="108" customFormat="1" ht="12.75" customHeight="1">
      <c r="A73" s="116">
        <v>1</v>
      </c>
      <c r="B73" s="116">
        <v>22</v>
      </c>
      <c r="C73" s="117" t="s">
        <v>1090</v>
      </c>
      <c r="D73" s="482"/>
      <c r="E73" s="482"/>
      <c r="F73" s="482"/>
      <c r="G73" s="482"/>
      <c r="H73" s="482"/>
      <c r="I73" s="482"/>
      <c r="J73" s="482"/>
      <c r="K73" s="482"/>
      <c r="L73" s="482"/>
      <c r="M73" s="482"/>
      <c r="N73" s="482"/>
    </row>
    <row r="74" spans="1:14" s="108" customFormat="1" ht="24.75" customHeight="1">
      <c r="A74" s="116"/>
      <c r="B74" s="116"/>
      <c r="C74" s="316" t="s">
        <v>1553</v>
      </c>
      <c r="D74" s="482"/>
      <c r="E74" s="482"/>
      <c r="F74" s="482"/>
      <c r="G74" s="482"/>
      <c r="H74" s="482"/>
      <c r="I74" s="482"/>
      <c r="J74" s="482"/>
      <c r="K74" s="482"/>
      <c r="L74" s="482"/>
      <c r="M74" s="482"/>
      <c r="N74" s="482"/>
    </row>
    <row r="75" spans="1:14" s="108" customFormat="1" ht="12.75" customHeight="1">
      <c r="A75" s="116"/>
      <c r="B75" s="116"/>
      <c r="C75" s="1202" t="s">
        <v>572</v>
      </c>
      <c r="D75" s="482"/>
      <c r="E75" s="482"/>
      <c r="F75" s="482"/>
      <c r="G75" s="475"/>
      <c r="H75" s="475"/>
      <c r="I75" s="475">
        <v>100</v>
      </c>
      <c r="J75" s="475"/>
      <c r="K75" s="482"/>
      <c r="L75" s="482"/>
      <c r="M75" s="482"/>
      <c r="N75" s="475">
        <f>SUM(D75:M75)</f>
        <v>100</v>
      </c>
    </row>
    <row r="76" spans="1:14" s="108" customFormat="1" ht="12.75" customHeight="1">
      <c r="A76" s="116"/>
      <c r="B76" s="116"/>
      <c r="C76" s="1202" t="s">
        <v>573</v>
      </c>
      <c r="D76" s="482"/>
      <c r="E76" s="482"/>
      <c r="F76" s="482"/>
      <c r="G76" s="475">
        <v>2144</v>
      </c>
      <c r="H76" s="475"/>
      <c r="I76" s="475"/>
      <c r="J76" s="475">
        <v>2671</v>
      </c>
      <c r="K76" s="482"/>
      <c r="L76" s="482"/>
      <c r="M76" s="482"/>
      <c r="N76" s="475">
        <f>SUM(D76:M76)</f>
        <v>4815</v>
      </c>
    </row>
    <row r="77" spans="1:14" s="108" customFormat="1" ht="12.75" customHeight="1">
      <c r="A77" s="116"/>
      <c r="B77" s="116"/>
      <c r="C77" s="1202" t="s">
        <v>574</v>
      </c>
      <c r="D77" s="482"/>
      <c r="E77" s="482"/>
      <c r="F77" s="482"/>
      <c r="G77" s="475">
        <v>24</v>
      </c>
      <c r="H77" s="475"/>
      <c r="I77" s="475"/>
      <c r="J77" s="475"/>
      <c r="K77" s="482"/>
      <c r="L77" s="482"/>
      <c r="M77" s="482"/>
      <c r="N77" s="475">
        <f>SUM(D77:M77)</f>
        <v>24</v>
      </c>
    </row>
    <row r="78" spans="1:14" s="108" customFormat="1" ht="24.75" customHeight="1">
      <c r="A78" s="116"/>
      <c r="B78" s="116"/>
      <c r="C78" s="57" t="s">
        <v>1565</v>
      </c>
      <c r="D78" s="482"/>
      <c r="E78" s="482"/>
      <c r="F78" s="482"/>
      <c r="G78" s="475"/>
      <c r="H78" s="475"/>
      <c r="I78" s="475"/>
      <c r="J78" s="475"/>
      <c r="K78" s="482"/>
      <c r="L78" s="482"/>
      <c r="M78" s="482"/>
      <c r="N78" s="475"/>
    </row>
    <row r="79" spans="1:14" s="108" customFormat="1" ht="12.75" customHeight="1">
      <c r="A79" s="116"/>
      <c r="B79" s="116"/>
      <c r="C79" s="188" t="s">
        <v>575</v>
      </c>
      <c r="D79" s="482"/>
      <c r="E79" s="482"/>
      <c r="F79" s="482"/>
      <c r="G79" s="475"/>
      <c r="H79" s="475">
        <v>180</v>
      </c>
      <c r="I79" s="475"/>
      <c r="J79" s="475"/>
      <c r="K79" s="482"/>
      <c r="L79" s="482"/>
      <c r="M79" s="482"/>
      <c r="N79" s="475">
        <v>180</v>
      </c>
    </row>
    <row r="80" spans="1:14" s="108" customFormat="1" ht="24.75" customHeight="1">
      <c r="A80" s="114"/>
      <c r="B80" s="114"/>
      <c r="C80" s="363" t="s">
        <v>1474</v>
      </c>
      <c r="D80" s="482"/>
      <c r="E80" s="482"/>
      <c r="F80" s="482"/>
      <c r="G80" s="475"/>
      <c r="H80" s="475"/>
      <c r="I80" s="475"/>
      <c r="J80" s="475"/>
      <c r="K80" s="482"/>
      <c r="L80" s="482"/>
      <c r="M80" s="482"/>
      <c r="N80" s="482"/>
    </row>
    <row r="81" spans="1:14" s="108" customFormat="1" ht="12.75" customHeight="1">
      <c r="A81" s="114"/>
      <c r="B81" s="116"/>
      <c r="C81" s="14" t="s">
        <v>797</v>
      </c>
      <c r="D81" s="482"/>
      <c r="E81" s="475"/>
      <c r="F81" s="475"/>
      <c r="G81" s="475"/>
      <c r="H81" s="475"/>
      <c r="I81" s="475">
        <v>400</v>
      </c>
      <c r="J81" s="475"/>
      <c r="K81" s="475"/>
      <c r="L81" s="475"/>
      <c r="M81" s="475"/>
      <c r="N81" s="475">
        <f>SUM(D81:M81)</f>
        <v>400</v>
      </c>
    </row>
    <row r="82" spans="1:14" s="108" customFormat="1" ht="12.75" customHeight="1">
      <c r="A82" s="2"/>
      <c r="B82" s="110"/>
      <c r="C82" s="111" t="s">
        <v>1092</v>
      </c>
      <c r="D82" s="469">
        <f aca="true" t="shared" si="8" ref="D82:N82">SUM(D75:D81)</f>
        <v>0</v>
      </c>
      <c r="E82" s="469">
        <f t="shared" si="8"/>
        <v>0</v>
      </c>
      <c r="F82" s="469">
        <f t="shared" si="8"/>
        <v>0</v>
      </c>
      <c r="G82" s="469">
        <f t="shared" si="8"/>
        <v>2168</v>
      </c>
      <c r="H82" s="469">
        <f t="shared" si="8"/>
        <v>180</v>
      </c>
      <c r="I82" s="469">
        <f t="shared" si="8"/>
        <v>500</v>
      </c>
      <c r="J82" s="469">
        <f t="shared" si="8"/>
        <v>2671</v>
      </c>
      <c r="K82" s="469">
        <f t="shared" si="8"/>
        <v>0</v>
      </c>
      <c r="L82" s="469">
        <f t="shared" si="8"/>
        <v>0</v>
      </c>
      <c r="M82" s="469">
        <f t="shared" si="8"/>
        <v>0</v>
      </c>
      <c r="N82" s="469">
        <f t="shared" si="8"/>
        <v>5519</v>
      </c>
    </row>
    <row r="83" spans="1:14" s="108" customFormat="1" ht="25.5" customHeight="1">
      <c r="A83" s="110"/>
      <c r="B83" s="110"/>
      <c r="C83" s="484" t="s">
        <v>602</v>
      </c>
      <c r="D83" s="469">
        <f aca="true" t="shared" si="9" ref="D83:N83">SUM(D10+D20+D34+D40+D46+D49+D68+D72+D82)</f>
        <v>82158</v>
      </c>
      <c r="E83" s="469">
        <f t="shared" si="9"/>
        <v>65566</v>
      </c>
      <c r="F83" s="469">
        <f t="shared" si="9"/>
        <v>-428845</v>
      </c>
      <c r="G83" s="469">
        <f t="shared" si="9"/>
        <v>12494</v>
      </c>
      <c r="H83" s="469">
        <f t="shared" si="9"/>
        <v>180</v>
      </c>
      <c r="I83" s="469">
        <f t="shared" si="9"/>
        <v>2700</v>
      </c>
      <c r="J83" s="469">
        <f t="shared" si="9"/>
        <v>25631</v>
      </c>
      <c r="K83" s="469">
        <f t="shared" si="9"/>
        <v>0</v>
      </c>
      <c r="L83" s="469">
        <f t="shared" si="9"/>
        <v>407431</v>
      </c>
      <c r="M83" s="469">
        <f t="shared" si="9"/>
        <v>0</v>
      </c>
      <c r="N83" s="469">
        <f t="shared" si="9"/>
        <v>167315</v>
      </c>
    </row>
    <row r="84" spans="1:14" s="108" customFormat="1" ht="15" customHeight="1">
      <c r="A84" s="114">
        <v>2</v>
      </c>
      <c r="B84" s="116"/>
      <c r="C84" s="113" t="s">
        <v>398</v>
      </c>
      <c r="D84" s="475">
        <f>'[3]táj.1.'!C20</f>
        <v>31192</v>
      </c>
      <c r="E84" s="475">
        <f>'[3]táj.1.'!D20</f>
        <v>10580</v>
      </c>
      <c r="F84" s="475">
        <f>'[3]táj.1.'!E20</f>
        <v>0</v>
      </c>
      <c r="G84" s="475">
        <f>'[3]táj.1.'!F20</f>
        <v>29820</v>
      </c>
      <c r="H84" s="475">
        <f>'[3]táj.1.'!G20</f>
        <v>0</v>
      </c>
      <c r="I84" s="475">
        <f>'[3]táj.1.'!H20</f>
        <v>4074</v>
      </c>
      <c r="J84" s="475">
        <f>'[3]táj.1.'!I20</f>
        <v>0</v>
      </c>
      <c r="K84" s="475"/>
      <c r="L84" s="475">
        <f>'[3]táj.1.'!J20</f>
        <v>5255</v>
      </c>
      <c r="M84" s="475">
        <f>'[3]táj.1.'!L20</f>
        <v>0</v>
      </c>
      <c r="N84" s="475">
        <f>SUM(D84:M84)</f>
        <v>80921</v>
      </c>
    </row>
    <row r="85" spans="1:14" s="108" customFormat="1" ht="15" customHeight="1">
      <c r="A85" s="110"/>
      <c r="B85" s="110"/>
      <c r="C85" s="111" t="s">
        <v>376</v>
      </c>
      <c r="D85" s="469">
        <f aca="true" t="shared" si="10" ref="D85:N85">SUM(D83:D84)</f>
        <v>113350</v>
      </c>
      <c r="E85" s="469">
        <f t="shared" si="10"/>
        <v>76146</v>
      </c>
      <c r="F85" s="469">
        <f t="shared" si="10"/>
        <v>-428845</v>
      </c>
      <c r="G85" s="469">
        <f t="shared" si="10"/>
        <v>42314</v>
      </c>
      <c r="H85" s="469">
        <f t="shared" si="10"/>
        <v>180</v>
      </c>
      <c r="I85" s="469">
        <f t="shared" si="10"/>
        <v>6774</v>
      </c>
      <c r="J85" s="469">
        <f t="shared" si="10"/>
        <v>25631</v>
      </c>
      <c r="K85" s="469">
        <f t="shared" si="10"/>
        <v>0</v>
      </c>
      <c r="L85" s="469">
        <f t="shared" si="10"/>
        <v>412686</v>
      </c>
      <c r="M85" s="469">
        <f t="shared" si="10"/>
        <v>0</v>
      </c>
      <c r="N85" s="469">
        <f t="shared" si="10"/>
        <v>248236</v>
      </c>
    </row>
    <row r="86" spans="1:14" s="108" customFormat="1" ht="13.5" customHeight="1">
      <c r="A86" s="129"/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</row>
    <row r="87" spans="1:14" ht="12.75">
      <c r="A87" s="129"/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</row>
    <row r="88" spans="1:14" ht="12.75">
      <c r="A88" s="129"/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</row>
    <row r="89" spans="1:14" ht="12.75">
      <c r="A89" s="129"/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50"/>
    </row>
    <row r="90" spans="1:14" ht="12.75">
      <c r="A90" s="129"/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</row>
    <row r="91" spans="1:14" ht="12.75">
      <c r="A91" s="129"/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</row>
    <row r="92" spans="1:14" ht="12.75">
      <c r="A92" s="129"/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</row>
    <row r="93" spans="1:14" ht="12.75">
      <c r="A93" s="129"/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</row>
    <row r="94" spans="1:14" ht="12.75">
      <c r="A94" s="129"/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</row>
    <row r="95" spans="3:14" ht="12.75"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</row>
    <row r="96" spans="3:14" ht="12.75"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</row>
    <row r="97" spans="3:14" ht="12.75"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</row>
    <row r="98" spans="3:14" ht="12.75"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</row>
    <row r="99" spans="3:14" ht="12.75"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</row>
    <row r="100" spans="3:14" ht="12.75"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</row>
    <row r="101" spans="3:14" ht="12.75"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</row>
    <row r="102" spans="3:14" ht="12.75"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</row>
    <row r="103" spans="3:14" ht="12.75"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</row>
    <row r="104" spans="3:14" ht="12.75"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</row>
    <row r="105" spans="3:14" ht="12.75"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</row>
    <row r="106" spans="3:14" ht="12.75"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</row>
    <row r="107" spans="3:14" ht="12.75"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</row>
    <row r="108" spans="3:14" ht="12.75"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</row>
    <row r="109" spans="3:14" ht="12.75"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</row>
    <row r="110" spans="3:14" ht="12.75"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</row>
    <row r="111" spans="3:14" ht="12.75"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</row>
  </sheetData>
  <sheetProtection/>
  <mergeCells count="3">
    <mergeCell ref="D1:J1"/>
    <mergeCell ref="K1:M1"/>
    <mergeCell ref="N1:N2"/>
  </mergeCells>
  <printOptions horizontalCentered="1" verticalCentered="1"/>
  <pageMargins left="0.11811023622047245" right="0.11811023622047245" top="1.1811023622047245" bottom="0.7086614173228347" header="0.5905511811023623" footer="0.5118110236220472"/>
  <pageSetup horizontalDpi="600" verticalDpi="600" orientation="landscape" paperSize="9" scale="90" r:id="rId1"/>
  <headerFooter alignWithMargins="0">
    <oddHeader>&amp;C&amp;"Times New Roman,Normál"ZALAEGERSZEG MEGYEI JOGÚ VÁROS ÖNKORMÁNYZATA
2014. ÉVI BEVÉTELI ELŐIRÁNYZATAINAK  MÓDOSÍTÁSA A III. NEGYEDÉVBEN&amp;R&amp;"Times New Roman,Normál"5.a  melléklet mód.
Adatok: ezer Ft-ban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ZMJV 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Közgazdasági Osztály</dc:creator>
  <cp:keywords/>
  <dc:description/>
  <cp:lastModifiedBy>Viki</cp:lastModifiedBy>
  <cp:lastPrinted>2015-02-06T10:54:15Z</cp:lastPrinted>
  <dcterms:created xsi:type="dcterms:W3CDTF">2002-12-30T13:12:46Z</dcterms:created>
  <dcterms:modified xsi:type="dcterms:W3CDTF">2015-02-06T10:54:25Z</dcterms:modified>
  <cp:category/>
  <cp:version/>
  <cp:contentType/>
  <cp:contentStatus/>
</cp:coreProperties>
</file>