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ITKARSAG\2017. évi zárszámadás\Elfogadott rendelet\"/>
    </mc:Choice>
  </mc:AlternateContent>
  <bookViews>
    <workbookView xWindow="0" yWindow="60" windowWidth="19440" windowHeight="13740"/>
  </bookViews>
  <sheets>
    <sheet name="2.1.3. melléklet" sheetId="3" r:id="rId1"/>
  </sheets>
  <definedNames>
    <definedName name="feljé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O138" i="3" l="1"/>
  <c r="O129" i="3"/>
  <c r="O99" i="3"/>
  <c r="O144" i="3" s="1"/>
  <c r="O90" i="3"/>
  <c r="O148" i="3" l="1"/>
  <c r="P53" i="3"/>
  <c r="P54" i="3"/>
  <c r="P64" i="3"/>
  <c r="P65" i="3"/>
  <c r="P106" i="3"/>
  <c r="N137" i="3"/>
  <c r="P137" i="3" s="1"/>
  <c r="N46" i="3"/>
  <c r="P46" i="3" s="1"/>
  <c r="N51" i="3"/>
  <c r="P51" i="3" s="1"/>
  <c r="N52" i="3"/>
  <c r="P52" i="3" s="1"/>
  <c r="N55" i="3"/>
  <c r="P55" i="3" s="1"/>
  <c r="N60" i="3"/>
  <c r="P60" i="3" s="1"/>
  <c r="N61" i="3"/>
  <c r="P61" i="3" s="1"/>
  <c r="N62" i="3"/>
  <c r="P62" i="3" s="1"/>
  <c r="N63" i="3"/>
  <c r="P63" i="3" s="1"/>
  <c r="N76" i="3"/>
  <c r="P76" i="3" s="1"/>
  <c r="N81" i="3"/>
  <c r="P81" i="3" s="1"/>
  <c r="N87" i="3"/>
  <c r="P87" i="3" s="1"/>
  <c r="N88" i="3"/>
  <c r="P88" i="3" s="1"/>
  <c r="N89" i="3"/>
  <c r="P89" i="3" s="1"/>
  <c r="N98" i="3"/>
  <c r="N100" i="3"/>
  <c r="P100" i="3" s="1"/>
  <c r="N101" i="3"/>
  <c r="P101" i="3" s="1"/>
  <c r="N102" i="3"/>
  <c r="P102" i="3" s="1"/>
  <c r="N103" i="3"/>
  <c r="P103" i="3" s="1"/>
  <c r="N104" i="3"/>
  <c r="P104" i="3" s="1"/>
  <c r="N105" i="3"/>
  <c r="P105" i="3" s="1"/>
  <c r="N107" i="3"/>
  <c r="P107" i="3" s="1"/>
  <c r="N109" i="3"/>
  <c r="P109" i="3" s="1"/>
  <c r="N111" i="3"/>
  <c r="P111" i="3" s="1"/>
  <c r="N112" i="3"/>
  <c r="P112" i="3" s="1"/>
  <c r="N113" i="3"/>
  <c r="P113" i="3" s="1"/>
  <c r="N114" i="3"/>
  <c r="P114" i="3" s="1"/>
  <c r="N116" i="3"/>
  <c r="P116" i="3" s="1"/>
  <c r="N117" i="3"/>
  <c r="P117" i="3" s="1"/>
  <c r="N119" i="3"/>
  <c r="P119" i="3" s="1"/>
  <c r="N120" i="3"/>
  <c r="P120" i="3" s="1"/>
  <c r="N130" i="3"/>
  <c r="P130" i="3" s="1"/>
  <c r="N139" i="3"/>
  <c r="P139" i="3" s="1"/>
  <c r="N140" i="3"/>
  <c r="P140" i="3" s="1"/>
  <c r="N141" i="3"/>
  <c r="P141" i="3" s="1"/>
  <c r="N142" i="3"/>
  <c r="P142" i="3" s="1"/>
  <c r="M138" i="3"/>
  <c r="M129" i="3"/>
  <c r="L99" i="3"/>
  <c r="M99" i="3"/>
  <c r="M90" i="3"/>
  <c r="L85" i="3"/>
  <c r="M85" i="3"/>
  <c r="L74" i="3"/>
  <c r="M74" i="3"/>
  <c r="L43" i="3"/>
  <c r="M43" i="3"/>
  <c r="J99" i="3"/>
  <c r="K99" i="3"/>
  <c r="K138" i="3"/>
  <c r="K129" i="3"/>
  <c r="K90" i="3"/>
  <c r="K85" i="3"/>
  <c r="J85" i="3"/>
  <c r="I85" i="3"/>
  <c r="H85" i="3"/>
  <c r="J74" i="3"/>
  <c r="K74" i="3"/>
  <c r="J43" i="3"/>
  <c r="K43" i="3"/>
  <c r="I90" i="3"/>
  <c r="H43" i="3"/>
  <c r="I43" i="3"/>
  <c r="H74" i="3"/>
  <c r="I74" i="3"/>
  <c r="H99" i="3"/>
  <c r="I99" i="3"/>
  <c r="I138" i="3"/>
  <c r="I129" i="3"/>
  <c r="I144" i="3" l="1"/>
  <c r="K144" i="3"/>
  <c r="M144" i="3"/>
  <c r="N43" i="3"/>
  <c r="P43" i="3" s="1"/>
  <c r="N138" i="3"/>
  <c r="P138" i="3" s="1"/>
  <c r="N99" i="3"/>
  <c r="P99" i="3" s="1"/>
  <c r="N90" i="3"/>
  <c r="P90" i="3" s="1"/>
  <c r="N85" i="3"/>
  <c r="P85" i="3" s="1"/>
  <c r="N129" i="3"/>
  <c r="P129" i="3" s="1"/>
  <c r="N74" i="3"/>
  <c r="P74" i="3" s="1"/>
  <c r="N12" i="3"/>
  <c r="P12" i="3" s="1"/>
  <c r="N13" i="3"/>
  <c r="P13" i="3" s="1"/>
  <c r="N14" i="3"/>
  <c r="P14" i="3" s="1"/>
  <c r="N15" i="3"/>
  <c r="P15" i="3" s="1"/>
  <c r="N16" i="3"/>
  <c r="P16" i="3" s="1"/>
  <c r="N17" i="3"/>
  <c r="P17" i="3" s="1"/>
  <c r="N18" i="3"/>
  <c r="P18" i="3" s="1"/>
  <c r="N19" i="3"/>
  <c r="P19" i="3" s="1"/>
  <c r="N20" i="3"/>
  <c r="P20" i="3" s="1"/>
  <c r="N21" i="3"/>
  <c r="P21" i="3" s="1"/>
  <c r="N22" i="3"/>
  <c r="P22" i="3" s="1"/>
  <c r="N23" i="3"/>
  <c r="P23" i="3" s="1"/>
  <c r="N24" i="3"/>
  <c r="P24" i="3" s="1"/>
  <c r="N25" i="3"/>
  <c r="P25" i="3" s="1"/>
  <c r="N26" i="3"/>
  <c r="P26" i="3" s="1"/>
  <c r="N27" i="3"/>
  <c r="P27" i="3" s="1"/>
  <c r="N28" i="3"/>
  <c r="P28" i="3" s="1"/>
  <c r="N29" i="3"/>
  <c r="P29" i="3" s="1"/>
  <c r="N30" i="3"/>
  <c r="P30" i="3" s="1"/>
  <c r="N31" i="3"/>
  <c r="P31" i="3" s="1"/>
  <c r="N32" i="3"/>
  <c r="P32" i="3" s="1"/>
  <c r="N11" i="3"/>
  <c r="P11" i="3" s="1"/>
  <c r="M33" i="3"/>
  <c r="K33" i="3"/>
  <c r="K148" i="3" s="1"/>
  <c r="I33" i="3"/>
  <c r="I148" i="3" l="1"/>
  <c r="N144" i="3"/>
  <c r="P144" i="3" s="1"/>
  <c r="M148" i="3"/>
  <c r="N33" i="3"/>
  <c r="P33" i="3" s="1"/>
  <c r="G142" i="3"/>
  <c r="G141" i="3"/>
  <c r="G139" i="3"/>
  <c r="G130" i="3"/>
  <c r="G129" i="3" s="1"/>
  <c r="G120" i="3"/>
  <c r="G117" i="3"/>
  <c r="G114" i="3"/>
  <c r="G113" i="3"/>
  <c r="G112" i="3"/>
  <c r="G111" i="3"/>
  <c r="G109" i="3"/>
  <c r="G107" i="3"/>
  <c r="G104" i="3"/>
  <c r="G103" i="3"/>
  <c r="G102" i="3"/>
  <c r="G101" i="3"/>
  <c r="G100" i="3"/>
  <c r="G88" i="3"/>
  <c r="G87" i="3"/>
  <c r="G81" i="3"/>
  <c r="G76" i="3"/>
  <c r="G63" i="3"/>
  <c r="G62" i="3"/>
  <c r="G61" i="3"/>
  <c r="G60" i="3"/>
  <c r="G55" i="3"/>
  <c r="G52" i="3"/>
  <c r="G51" i="3"/>
  <c r="G46" i="3"/>
  <c r="G32" i="3"/>
  <c r="G33" i="3" s="1"/>
  <c r="E25" i="3"/>
  <c r="G23" i="3"/>
  <c r="E21" i="3"/>
  <c r="E19" i="3"/>
  <c r="E17" i="3"/>
  <c r="E15" i="3"/>
  <c r="G13" i="3"/>
  <c r="G11" i="3"/>
  <c r="N148" i="3" l="1"/>
  <c r="P148" i="3" s="1"/>
  <c r="G90" i="3"/>
  <c r="G43" i="3"/>
  <c r="G138" i="3"/>
  <c r="G99" i="3"/>
  <c r="G85" i="3"/>
  <c r="G30" i="3"/>
  <c r="G31" i="3" s="1"/>
  <c r="G74" i="3"/>
  <c r="G144" i="3" l="1"/>
  <c r="G148" i="3" s="1"/>
</calcChain>
</file>

<file path=xl/sharedStrings.xml><?xml version="1.0" encoding="utf-8"?>
<sst xmlns="http://schemas.openxmlformats.org/spreadsheetml/2006/main" count="513" uniqueCount="342">
  <si>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</si>
  <si>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</si>
  <si>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</si>
  <si>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</si>
  <si>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</si>
  <si>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</si>
  <si>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</si>
  <si>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</si>
  <si>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</si>
  <si>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</si>
  <si>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</si>
  <si>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</t>
  </si>
  <si>
    <t>12.</t>
  </si>
  <si>
    <t>Alapozó felmérés</t>
  </si>
  <si>
    <t>Májusi felmérés</t>
  </si>
  <si>
    <t>Októberi felmérés</t>
  </si>
  <si>
    <t>Tényleges elszámolás</t>
  </si>
  <si>
    <t>Év végi eltérés, mutatószám szerinti támogatás               (12=11-9)</t>
  </si>
  <si>
    <t>Az Önkormányzat által az adott célra december 31-ig ténylegesen felhasznált összeg</t>
  </si>
  <si>
    <t>Többlettámogatás (+), visszafizetési kötelezettség (-)            (14=13-11+12)</t>
  </si>
  <si>
    <t>Jogcím</t>
  </si>
  <si>
    <t>Mennyiségi egység</t>
  </si>
  <si>
    <t>Mutató</t>
  </si>
  <si>
    <t>Fajlagos összeg</t>
  </si>
  <si>
    <t xml:space="preserve"> Támogatás         </t>
  </si>
  <si>
    <t xml:space="preserve"> Támogatás </t>
  </si>
  <si>
    <t>I.</t>
  </si>
  <si>
    <t>A HELYI ÖNKORMÁNYZATOK MŰKÖDÉSÉNEK ÁLTALÁNOS TÁMOGATÁSA</t>
  </si>
  <si>
    <t>I.1.a)</t>
  </si>
  <si>
    <t>Önkormányzati hivatal működésének támogatása</t>
  </si>
  <si>
    <t>Önkormányzati hivatal működésének támogatása - elismert hivatali létszám alapján</t>
  </si>
  <si>
    <t>fő</t>
  </si>
  <si>
    <t>I.1.b)</t>
  </si>
  <si>
    <t>Település-üzemeltetéshez kapcsolódó feladatellátás támogatása összesen</t>
  </si>
  <si>
    <t xml:space="preserve">V. Támogatás összesen - beszámítás után </t>
  </si>
  <si>
    <t>I.1.ba)</t>
  </si>
  <si>
    <t>A zöldterület-gazdálkodással kapcsolatos feladatok ellátásának támogatása</t>
  </si>
  <si>
    <t>hektár</t>
  </si>
  <si>
    <t>22 300 Ft/ha</t>
  </si>
  <si>
    <t xml:space="preserve">V. A zöldterület-gazdálkodással kapcsolatos feladatok ellátásának támogatása - beszámítás után </t>
  </si>
  <si>
    <t>I.1.bb)</t>
  </si>
  <si>
    <t>Közvilágítás fenntartásának támogatása</t>
  </si>
  <si>
    <t>km</t>
  </si>
  <si>
    <t>415 000 Ft/km</t>
  </si>
  <si>
    <t xml:space="preserve">V.Közvilágítás fenntartásának támogatása-beszámítás után </t>
  </si>
  <si>
    <t xml:space="preserve"> </t>
  </si>
  <si>
    <t>I.1.bc)</t>
  </si>
  <si>
    <t>Köztemető fenntartással kapcsolatos feladatok támogatása</t>
  </si>
  <si>
    <t xml:space="preserve">V. Köztemető fenntartással kapcsolatos feladatok támogatása - beszámítás után </t>
  </si>
  <si>
    <t>I.1.bd)</t>
  </si>
  <si>
    <t>Közutak fenntartásának támogatása</t>
  </si>
  <si>
    <t>470 000 Ft/km</t>
  </si>
  <si>
    <t xml:space="preserve">V. Közutak fenntartásának támogatása - beszámítás után </t>
  </si>
  <si>
    <t>I.1.c)</t>
  </si>
  <si>
    <t>Egyéb önkormányzati feladatok támogatása</t>
  </si>
  <si>
    <t>2 700 Ft/fő</t>
  </si>
  <si>
    <t xml:space="preserve">V.Egyéb önkormányzati feladatok támogatása-beszámítás után </t>
  </si>
  <si>
    <t>I.1.d)</t>
  </si>
  <si>
    <t>Lakott külterülettel kapcsolatos feladatok támogatása</t>
  </si>
  <si>
    <t>külterületi lakos</t>
  </si>
  <si>
    <t>2 550 Ft/külterületi lakos</t>
  </si>
  <si>
    <t>V.Lakott külterülettel kapcsolatos feladatok támogatása-beszámítás után</t>
  </si>
  <si>
    <t>I.1.e)</t>
  </si>
  <si>
    <t>Üdülőhelyi feladatok támogatása</t>
  </si>
  <si>
    <t>Ft</t>
  </si>
  <si>
    <t>V.Üdülőhelyi feladatok támogatása-beszámítás után</t>
  </si>
  <si>
    <t>V. Beszámítás összesen</t>
  </si>
  <si>
    <t>I.2.</t>
  </si>
  <si>
    <t>Nem közművel összegyűjtött háztartási szennyvíz ártalmatlanítása</t>
  </si>
  <si>
    <t>A HELYI ÖNKORMÁNYZATOK MŰKÖDÉSÉNEK ÁLTALÁNOS TÁMOGATÁSA ÖSSZESEN:</t>
  </si>
  <si>
    <t>II.</t>
  </si>
  <si>
    <t>II.1.</t>
  </si>
  <si>
    <t>Óvodapedagógusok, és az óvodapedagógusok nevelő munkáját közvetlenül segítők bértámogatása</t>
  </si>
  <si>
    <t>II.1.(1) 1</t>
  </si>
  <si>
    <t>óvodapedagógusok elismert létszáma</t>
  </si>
  <si>
    <t>L1(1)</t>
  </si>
  <si>
    <t>a Köznev. tv.-ben elismerhető vezetői létszám (vezetők és vezető-helyettesek együttesen)</t>
  </si>
  <si>
    <t>a Köznev. tv.-ben elismerhető vezetőlétszám kötelező nevelési óraszámának összege</t>
  </si>
  <si>
    <t>óraszám</t>
  </si>
  <si>
    <t>II.1.(2) 1</t>
  </si>
  <si>
    <t>1 200 000 Ft/fő</t>
  </si>
  <si>
    <t>II.1.(3) 1</t>
  </si>
  <si>
    <t>II.1.(1) 2</t>
  </si>
  <si>
    <t>L2 (1)</t>
  </si>
  <si>
    <t>II.1.(2) 2</t>
  </si>
  <si>
    <t>600 000 Ft/fő</t>
  </si>
  <si>
    <t>II.1. (3) 2</t>
  </si>
  <si>
    <t>II.1.(4) 2</t>
  </si>
  <si>
    <t>óvodapedagógusok elismert létszáma (pótlólagos összeg)</t>
  </si>
  <si>
    <t>II.1.(5) 2</t>
  </si>
  <si>
    <t>pedagógus szakképzettséggel rendelkező, óvodapedagógusok nevelő munkáját közvetlenül segítők pótlólagos támogatása</t>
  </si>
  <si>
    <t>II.2.</t>
  </si>
  <si>
    <t>Óvodaműködtetési támogatás</t>
  </si>
  <si>
    <t>II.2.(1) 1</t>
  </si>
  <si>
    <t>a Köznev. tv. 47. § (7) bekezdése alapján három főként figyelembe vehető sajátos nevelési igényű gyermekek száma</t>
  </si>
  <si>
    <t>nem sajátos nevelési igényű óvodás gyermekek száma</t>
  </si>
  <si>
    <t>a Köznev. tv. 47. § (7) bekezdése alapján két főként figyelembe vehető sajátos nevelési igényű gyermekek száma</t>
  </si>
  <si>
    <t>II.2.(1) 2</t>
  </si>
  <si>
    <t>II.2.(2) 2</t>
  </si>
  <si>
    <t>II.4.</t>
  </si>
  <si>
    <t>Kiegészítő támogatás az óvódapedagósusok minősítéséből adódó többletkiadásokhoz</t>
  </si>
  <si>
    <t>Alapfokozatú végzettségű óvodapedagógusok</t>
  </si>
  <si>
    <t>A TELEPÜLÉSI ÖNKORMÁNYZATOK EGYES KÖZNEVELÉSI FELADATAINAK TÁMOGATÁSA ÖSSZESEN:</t>
  </si>
  <si>
    <t>III.</t>
  </si>
  <si>
    <t>A TELEPÜLÉSI ÖNKORMÁNYZATOK SZOCIÁLIS, GYERMEKJÓLÉTI ÉS GYERMEKÉTKEZTETÉSI FELADATAINAK TÁMOGATÁSA</t>
  </si>
  <si>
    <t>III.3.</t>
  </si>
  <si>
    <t>Egyes szociális és gyermekjóléti feladatok támogatása</t>
  </si>
  <si>
    <t>III.3.a</t>
  </si>
  <si>
    <t>család-és gyermekjóléti szolgálat</t>
  </si>
  <si>
    <t>3 000 000 Ft/számított létszám/év</t>
  </si>
  <si>
    <t>III.3.b</t>
  </si>
  <si>
    <t>család-és gyermekjóléti központ</t>
  </si>
  <si>
    <t xml:space="preserve">III.3.c (1) </t>
  </si>
  <si>
    <t>szociális étkeztetés</t>
  </si>
  <si>
    <t>55 360 Ft/fő</t>
  </si>
  <si>
    <t>III.3.f</t>
  </si>
  <si>
    <t>Időskorúak nappali intézményi ellátása</t>
  </si>
  <si>
    <t xml:space="preserve">III.3.f (1) </t>
  </si>
  <si>
    <t>időskorúak nappali intézményi ellátása</t>
  </si>
  <si>
    <t>109 000 Ft/fő</t>
  </si>
  <si>
    <t>III.3.h</t>
  </si>
  <si>
    <t>Pszichiátriai és szenvedélybetegek nappali intézményi ellátása</t>
  </si>
  <si>
    <t>III.3.h (1)</t>
  </si>
  <si>
    <t>pszichiátriai betegek nappali intézményi ellátása</t>
  </si>
  <si>
    <t>310 000 Ft/fő</t>
  </si>
  <si>
    <t xml:space="preserve">III.3.j </t>
  </si>
  <si>
    <t>Gyermekek napközbeni ellátása</t>
  </si>
  <si>
    <t xml:space="preserve">III.3.ja (1) </t>
  </si>
  <si>
    <t>494 100 Ft/fő</t>
  </si>
  <si>
    <t xml:space="preserve">III.3.ja (2) </t>
  </si>
  <si>
    <t>518 805 Ft/fő</t>
  </si>
  <si>
    <t xml:space="preserve">III.3.ja (3) </t>
  </si>
  <si>
    <t>543 510 Ft/fő</t>
  </si>
  <si>
    <t>III.3.ja (4)</t>
  </si>
  <si>
    <t>741 150 Ft/fő</t>
  </si>
  <si>
    <t xml:space="preserve">III.4. </t>
  </si>
  <si>
    <t>A települési önkormányzatok által biztosított egyes szociális szakosított ellátások, valamint a gyermekek átmeneti gondozásával kapcsolatos feladatok támogatása</t>
  </si>
  <si>
    <t xml:space="preserve"> A finanszírozás szempontjából elismert szakmai dolgozók bértámogatása</t>
  </si>
  <si>
    <t xml:space="preserve">III.4.a </t>
  </si>
  <si>
    <t>2 606 040 Ft/fő</t>
  </si>
  <si>
    <t xml:space="preserve">L (1) </t>
  </si>
  <si>
    <t>időskorúak ápoló-gondozó otthoni ellátása nem demens személyek</t>
  </si>
  <si>
    <t>L (2)</t>
  </si>
  <si>
    <t>időskorúak ápoló-gondozó otthoni ellátása demens személyek</t>
  </si>
  <si>
    <t>L (3)</t>
  </si>
  <si>
    <t>időskorúak gondozóháza nem demens személyek</t>
  </si>
  <si>
    <t>L (7)</t>
  </si>
  <si>
    <t>gyermekek átmeneti otthona</t>
  </si>
  <si>
    <t>L (8)</t>
  </si>
  <si>
    <t>családok átmeneti otthona</t>
  </si>
  <si>
    <t>III.4.b</t>
  </si>
  <si>
    <t>Intézmény-üzemeltetési támogatás</t>
  </si>
  <si>
    <t xml:space="preserve">III.5. </t>
  </si>
  <si>
    <t>A finanszírozás szempontjából elismert dolgozók bértámogatása</t>
  </si>
  <si>
    <t>1 632 000 Ft/fő</t>
  </si>
  <si>
    <t>Gyermekétkeztetés üzemeltetési támogatása</t>
  </si>
  <si>
    <t>III.7.</t>
  </si>
  <si>
    <t>A TELEPÜLÉSI ÖNKORMÁNYZATOK SZOCIÁLIS, GYERMEKJÓLÉTI ÉS GYERMEKÉTKEZTETÉSI FELADATAINAK TÁMOGATÁSA ÖSSZESEN:</t>
  </si>
  <si>
    <t>támogató szolgáltatás-alaptámogatás</t>
  </si>
  <si>
    <t>működési hó</t>
  </si>
  <si>
    <t>3 000 000 Ft/év/szolgálat</t>
  </si>
  <si>
    <t>támogató szolgáltatás-teljesítménytámogatás</t>
  </si>
  <si>
    <t>feladategység</t>
  </si>
  <si>
    <t>1800 Ft/feladategység</t>
  </si>
  <si>
    <t>pszichiátriai betegek részére nyújtott közösségi alapellátás-alaptámogatás</t>
  </si>
  <si>
    <t>2 000 000 Ft/év/szolgálat</t>
  </si>
  <si>
    <t>pszichiátriai betegek részére nyújtott közösségi alapellátás-teljesítménytámogatás</t>
  </si>
  <si>
    <t>150 000 Ft/feladategység</t>
  </si>
  <si>
    <t>I.+II.+III.</t>
  </si>
  <si>
    <t>A HELYI ÖNKORMÁNYZAT ÁLTALÁNOS MŰKÖDÉSÉNEK ÉS ÁGAZATI FELADATAINAK TÁMOGATÁSA MINDÖSSZESEN:</t>
  </si>
  <si>
    <t>1 Ft/idegenfogalmi adóforint</t>
  </si>
  <si>
    <t>V.1.</t>
  </si>
  <si>
    <t>V.2.</t>
  </si>
  <si>
    <t>Nem teljesült bszámítás/szolidaritási hozzájárulás alapja</t>
  </si>
  <si>
    <t>SZH</t>
  </si>
  <si>
    <t xml:space="preserve">Szolidaritási hozzájárulás </t>
  </si>
  <si>
    <t xml:space="preserve"> 2017. évben 8 hónapra</t>
  </si>
  <si>
    <t>Óvoda napi nyitvatartási ideje eléri a nyolc órát</t>
  </si>
  <si>
    <t>2 979 933 Ft/fő</t>
  </si>
  <si>
    <t>gyermekek száma</t>
  </si>
  <si>
    <t>Vk 1 (1)</t>
  </si>
  <si>
    <t>vezetői órakedvezményből adódó létszámtöbblet a 2. melléklet Kiegészítő szabályok 4. a) pontja szerint</t>
  </si>
  <si>
    <t>V 1 (1)</t>
  </si>
  <si>
    <t>Vi 1 (19</t>
  </si>
  <si>
    <t xml:space="preserve"> 2017. évben 4 hónapra</t>
  </si>
  <si>
    <t>1 489 967 Ft/fő</t>
  </si>
  <si>
    <t>Vk 2 (1)</t>
  </si>
  <si>
    <t>V 2 (1)</t>
  </si>
  <si>
    <t>Vi 2 (1)</t>
  </si>
  <si>
    <t>38 200 Ft/3 hónap</t>
  </si>
  <si>
    <t>Info (1) 2</t>
  </si>
  <si>
    <t>a fenntartott intézmények, továbbá az intézményekhez tartozó tagintézmények száma összesen</t>
  </si>
  <si>
    <t>darab</t>
  </si>
  <si>
    <t>Info (2) 2</t>
  </si>
  <si>
    <t>a fenntartott intézményekben az óvodai csoportok száma összesen</t>
  </si>
  <si>
    <t>54 467 Ft/fő</t>
  </si>
  <si>
    <t>II.2.(2) 1</t>
  </si>
  <si>
    <t>II.2.(4) 1</t>
  </si>
  <si>
    <t xml:space="preserve">II.2.(5) 1 </t>
  </si>
  <si>
    <t>27 233 Ft/fő</t>
  </si>
  <si>
    <t>II.2.(4) 2</t>
  </si>
  <si>
    <t xml:space="preserve">II.2.(5) 2 </t>
  </si>
  <si>
    <t>II.4. a (1)</t>
  </si>
  <si>
    <t>Pedagógus II. kategóriába sorolt óvodapedagógusok kiegészítő támogatása, akik a minősítést 2015. december 31-éig szerezték meg</t>
  </si>
  <si>
    <t>418 900 Ft/fő/év</t>
  </si>
  <si>
    <t>II.4. a (2)</t>
  </si>
  <si>
    <t>Mesterpedagógus kategóriába sorolt óvodapedagógusok kiegészítő támogatása, akik a minősítést 2015. december 31-éig szerezték meg</t>
  </si>
  <si>
    <t>1 530 600 Ft/fő/év</t>
  </si>
  <si>
    <t>számított létszám</t>
  </si>
  <si>
    <t>III.3.da</t>
  </si>
  <si>
    <t>házi segítségnyújtás-szociális segítés</t>
  </si>
  <si>
    <t>25 000 Ft/fő</t>
  </si>
  <si>
    <t>III.3.db (1)</t>
  </si>
  <si>
    <t>házi segítségnyújtás-személyi gondozás</t>
  </si>
  <si>
    <t>210 000 Ft/fő</t>
  </si>
  <si>
    <t>bölcsőde, mini bölcsőde - nem fogyatékos, nem hátrányos helyzetű gyermek</t>
  </si>
  <si>
    <t>bölcsőde, mini bölcsőde - nem fogyatékos, hátrányos helyzetű gyermek</t>
  </si>
  <si>
    <t>bölcsőde, mini bölcsőde - nem fogyatékos, halmozottan hátrányos helyzetű gyermek</t>
  </si>
  <si>
    <t>bölcsőde, mini bölcsőde - fogyatékos gyermek</t>
  </si>
  <si>
    <t>III.3.l</t>
  </si>
  <si>
    <t>Támogató szolgáltatás</t>
  </si>
  <si>
    <t>III.3.m</t>
  </si>
  <si>
    <t>Közösségi alapellátások</t>
  </si>
  <si>
    <t>ellátottak száma</t>
  </si>
  <si>
    <t>Intézményi gyermekétkeztetés támogatása</t>
  </si>
  <si>
    <t>III.5.a</t>
  </si>
  <si>
    <t>III.5.b</t>
  </si>
  <si>
    <t>III.6.</t>
  </si>
  <si>
    <t>A rászoruló gyermekek szünidei étkeztetésének támogatása</t>
  </si>
  <si>
    <t>342 Ft/fő</t>
  </si>
  <si>
    <t>Kiegészítő támogatás a bölcsődében, mini bölcsődében foglalkoztatott, felsőfokú végzettségű kisgyermeknevelők és szakemberek béréhez</t>
  </si>
  <si>
    <t>1 508 760 Ft/számított létszám/év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</si>
  <si>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</si>
  <si>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</si>
  <si>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</si>
  <si>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</si>
  <si>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</si>
  <si>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</si>
  <si>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</si>
  <si>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</si>
  <si>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</si>
  <si>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</si>
  <si>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</si>
  <si>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</si>
  <si>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</si>
  <si>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</si>
  <si>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</si>
  <si>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</si>
  <si>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</si>
  <si>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</si>
  <si>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</si>
  <si>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</si>
  <si>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</si>
  <si>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</si>
  <si>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</si>
  <si>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</si>
  <si>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</si>
  <si>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</si>
  <si>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</si>
  <si>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</si>
  <si>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</si>
  <si>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</si>
  <si>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</si>
  <si>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</si>
  <si>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</si>
  <si>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</si>
  <si>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</si>
  <si>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</si>
  <si>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 xml:space="preserve">V. Önkormányzati hivatal működésének támogatása-beszámítás után </t>
  </si>
  <si>
    <t>III.3db (2)</t>
  </si>
  <si>
    <t>házi segítségnyújáts-személyi gondozás - társulás által történő feladatellátás</t>
  </si>
  <si>
    <t>II.4.b (1)</t>
  </si>
  <si>
    <t>Alapfokozatú végzettségű pedagógus II. katergóriába sorolt óvodapedagógusok kiegészítő támogatása, akik a minősítést 2016. december 31-éig szerezték meg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</si>
  <si>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</si>
  <si>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</si>
  <si>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</si>
  <si>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</si>
  <si>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</si>
  <si>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</si>
  <si>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</si>
  <si>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</si>
  <si>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</si>
  <si>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</si>
  <si>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</si>
  <si>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</si>
  <si>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</si>
  <si>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</si>
  <si>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</si>
  <si>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</si>
  <si>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</si>
  <si>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</si>
  <si>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</si>
  <si>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</si>
  <si>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</si>
  <si>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</si>
  <si>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</si>
  <si>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</si>
  <si>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</si>
  <si>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</si>
  <si>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</si>
  <si>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</si>
  <si>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</si>
  <si>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</si>
  <si>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</si>
  <si>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</si>
  <si>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</si>
  <si>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</si>
  <si>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</si>
  <si>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</si>
  <si>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</si>
  <si>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</si>
  <si>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</si>
  <si>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</si>
  <si>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</si>
  <si>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</si>
  <si>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</si>
  <si>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</si>
  <si>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</si>
  <si>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</si>
  <si>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</si>
  <si>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</si>
  <si>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</si>
  <si>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</si>
  <si>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</si>
  <si>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</si>
  <si>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</si>
  <si>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</si>
  <si>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</si>
  <si>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</si>
  <si>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A helyi önkormányzat általános működésének és ágazati feladatainak 2017. évi támogatása</t>
  </si>
  <si>
    <r>
      <t>m</t>
    </r>
    <r>
      <rPr>
        <vertAlign val="superscript"/>
        <sz val="14"/>
        <rFont val="Arial"/>
        <family val="2"/>
        <charset val="238"/>
      </rPr>
      <t>2</t>
    </r>
  </si>
  <si>
    <r>
      <t>70 Ft/m</t>
    </r>
    <r>
      <rPr>
        <vertAlign val="superscript"/>
        <sz val="14"/>
        <rFont val="Arial"/>
        <family val="2"/>
        <charset val="238"/>
      </rPr>
      <t>2</t>
    </r>
  </si>
  <si>
    <r>
      <t>m</t>
    </r>
    <r>
      <rPr>
        <vertAlign val="superscript"/>
        <sz val="14"/>
        <rFont val="Arial"/>
        <family val="2"/>
        <charset val="238"/>
      </rPr>
      <t>3</t>
    </r>
  </si>
  <si>
    <r>
      <t>100 Ft/m</t>
    </r>
    <r>
      <rPr>
        <vertAlign val="superscript"/>
        <sz val="14"/>
        <rFont val="Arial"/>
        <family val="2"/>
        <charset val="238"/>
      </rPr>
      <t>3</t>
    </r>
  </si>
  <si>
    <r>
      <rPr>
        <u/>
        <sz val="14"/>
        <rFont val="Arial"/>
        <family val="2"/>
        <charset val="238"/>
      </rPr>
      <t>pedagógus szakképzettséggel nem rendelkező</t>
    </r>
    <r>
      <rPr>
        <sz val="14"/>
        <rFont val="Arial"/>
        <family val="2"/>
        <charset val="238"/>
      </rPr>
      <t>,óvodapedagógusok nevelő munkáját közvetlenül segítők száma a Köznev. tv. 2. melléklete szerint</t>
    </r>
  </si>
  <si>
    <r>
      <rPr>
        <u/>
        <sz val="14"/>
        <rFont val="Arial"/>
        <family val="2"/>
        <charset val="238"/>
      </rPr>
      <t>pedagógus szakképzettséggel rendelkező</t>
    </r>
    <r>
      <rPr>
        <sz val="14"/>
        <rFont val="Arial"/>
        <family val="2"/>
        <charset val="238"/>
      </rPr>
      <t>,óvodapedagógusok nevelő munkáját közvetlenül segítők száma a Köznev. tv. 2. melléklete szerint</t>
    </r>
  </si>
  <si>
    <r>
      <rPr>
        <u/>
        <sz val="14"/>
        <rFont val="Arial"/>
        <family val="2"/>
        <charset val="238"/>
      </rPr>
      <t>pedagógiai szakképzettséggel nem rendelkező</t>
    </r>
    <r>
      <rPr>
        <sz val="14"/>
        <rFont val="Arial"/>
        <family val="2"/>
        <charset val="238"/>
      </rPr>
      <t>, óvodapedagógusok nevelő munkáját közvetlenül segítők száma a Köznev. tv. 2. melléklete szerint</t>
    </r>
  </si>
  <si>
    <r>
      <rPr>
        <u/>
        <sz val="14"/>
        <rFont val="Arial"/>
        <family val="2"/>
        <charset val="238"/>
      </rPr>
      <t>pedagógus szakképzettséggel rendelkező</t>
    </r>
    <r>
      <rPr>
        <sz val="14"/>
        <rFont val="Arial"/>
        <family val="2"/>
        <charset val="238"/>
      </rPr>
      <t>, óvodapedagógusok nevelő munkáját közvetlenül segítők száma a Köznev. tv. 2. melléklete szerint</t>
    </r>
  </si>
  <si>
    <t>4 580 000 Ft/fő</t>
  </si>
  <si>
    <t>273 000 Ft/fő</t>
  </si>
  <si>
    <t>383 992 Ft/fő/év</t>
  </si>
  <si>
    <t>2.1.3. melléklet Az Önkormányzat 2017. évi zárszámadásáról szóló 4/2018.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</si>
</sst>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 CE"/>
    </font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4"/>
      <name val="Arial"/>
      <family val="2"/>
      <charset val="238"/>
    </font>
    <font>
      <i/>
      <sz val="14"/>
      <name val="Arial"/>
      <family val="2"/>
      <charset val="238"/>
    </font>
    <font>
      <u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3" fillId="0" borderId="0"/>
    <xf numFmtId="0" fontId="4" fillId="0" borderId="0"/>
    <xf numFmtId="0" fontId="2" fillId="0" borderId="0"/>
    <xf numFmtId="0" fontId="8" fillId="0" borderId="0"/>
    <xf numFmtId="0" fontId="7" fillId="0" borderId="0"/>
    <xf numFmtId="0" fontId="7" fillId="0" borderId="0"/>
  </cellStyleXfs>
  <cellXfs count="245">
    <xf numFmtId="0" fontId="0" fillId="0" borderId="0" xfId="0"/>
    <xf numFmtId="0" fontId="9" fillId="0" borderId="0" xfId="0" applyFont="1" applyFill="1" applyAlignment="1"/>
    <xf numFmtId="49" fontId="9" fillId="0" borderId="0" xfId="0" applyNumberFormat="1" applyFont="1" applyFill="1" applyAlignment="1"/>
    <xf numFmtId="49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3" fontId="9" fillId="0" borderId="0" xfId="0" applyNumberFormat="1" applyFont="1" applyFill="1" applyAlignment="1"/>
    <xf numFmtId="3" fontId="10" fillId="0" borderId="15" xfId="0" applyNumberFormat="1" applyFont="1" applyFill="1" applyBorder="1" applyAlignment="1">
      <alignment horizontal="center" vertical="center" wrapText="1"/>
    </xf>
    <xf numFmtId="3" fontId="10" fillId="0" borderId="3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9" fillId="0" borderId="48" xfId="0" applyFont="1" applyFill="1" applyBorder="1" applyAlignment="1">
      <alignment horizontal="center"/>
    </xf>
    <xf numFmtId="49" fontId="10" fillId="0" borderId="40" xfId="0" applyNumberFormat="1" applyFont="1" applyFill="1" applyBorder="1" applyAlignment="1">
      <alignment horizontal="center"/>
    </xf>
    <xf numFmtId="49" fontId="10" fillId="0" borderId="18" xfId="0" applyNumberFormat="1" applyFont="1" applyFill="1" applyBorder="1" applyAlignment="1">
      <alignment wrapText="1"/>
    </xf>
    <xf numFmtId="0" fontId="9" fillId="0" borderId="16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wrapText="1"/>
    </xf>
    <xf numFmtId="0" fontId="9" fillId="0" borderId="18" xfId="0" applyFont="1" applyFill="1" applyBorder="1" applyAlignment="1"/>
    <xf numFmtId="4" fontId="9" fillId="0" borderId="0" xfId="0" applyNumberFormat="1" applyFont="1" applyFill="1" applyAlignment="1"/>
    <xf numFmtId="3" fontId="9" fillId="0" borderId="16" xfId="0" applyNumberFormat="1" applyFont="1" applyFill="1" applyBorder="1" applyAlignment="1"/>
    <xf numFmtId="4" fontId="9" fillId="0" borderId="17" xfId="0" applyNumberFormat="1" applyFont="1" applyFill="1" applyBorder="1" applyAlignment="1"/>
    <xf numFmtId="3" fontId="9" fillId="0" borderId="18" xfId="0" applyNumberFormat="1" applyFont="1" applyFill="1" applyBorder="1" applyAlignment="1"/>
    <xf numFmtId="4" fontId="9" fillId="0" borderId="16" xfId="0" applyNumberFormat="1" applyFont="1" applyFill="1" applyBorder="1" applyAlignment="1"/>
    <xf numFmtId="3" fontId="9" fillId="0" borderId="35" xfId="0" applyNumberFormat="1" applyFont="1" applyFill="1" applyBorder="1" applyAlignment="1"/>
    <xf numFmtId="0" fontId="9" fillId="0" borderId="11" xfId="0" applyFont="1" applyFill="1" applyBorder="1" applyAlignment="1">
      <alignment horizontal="center"/>
    </xf>
    <xf numFmtId="49" fontId="9" fillId="0" borderId="46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9" fillId="0" borderId="29" xfId="0" applyFont="1" applyFill="1" applyBorder="1" applyAlignment="1"/>
    <xf numFmtId="3" fontId="9" fillId="0" borderId="0" xfId="0" applyNumberFormat="1" applyFont="1" applyFill="1" applyBorder="1" applyAlignment="1"/>
    <xf numFmtId="4" fontId="9" fillId="0" borderId="41" xfId="0" applyNumberFormat="1" applyFont="1" applyFill="1" applyBorder="1" applyAlignment="1"/>
    <xf numFmtId="3" fontId="9" fillId="0" borderId="29" xfId="0" applyNumberFormat="1" applyFont="1" applyFill="1" applyBorder="1" applyAlignment="1"/>
    <xf numFmtId="4" fontId="9" fillId="0" borderId="0" xfId="0" applyNumberFormat="1" applyFont="1" applyFill="1" applyBorder="1" applyAlignment="1"/>
    <xf numFmtId="49" fontId="9" fillId="0" borderId="42" xfId="0" applyNumberFormat="1" applyFont="1" applyFill="1" applyBorder="1" applyAlignment="1">
      <alignment wrapText="1"/>
    </xf>
    <xf numFmtId="0" fontId="9" fillId="0" borderId="10" xfId="0" applyFont="1" applyFill="1" applyBorder="1" applyAlignment="1">
      <alignment horizontal="center"/>
    </xf>
    <xf numFmtId="4" fontId="9" fillId="0" borderId="6" xfId="0" applyNumberFormat="1" applyFont="1" applyFill="1" applyBorder="1" applyAlignment="1">
      <alignment horizontal="center" wrapText="1"/>
    </xf>
    <xf numFmtId="3" fontId="9" fillId="0" borderId="11" xfId="0" applyNumberFormat="1" applyFont="1" applyFill="1" applyBorder="1" applyAlignment="1"/>
    <xf numFmtId="4" fontId="9" fillId="0" borderId="19" xfId="0" applyNumberFormat="1" applyFont="1" applyFill="1" applyBorder="1" applyAlignment="1"/>
    <xf numFmtId="3" fontId="9" fillId="0" borderId="24" xfId="0" applyNumberFormat="1" applyFont="1" applyFill="1" applyBorder="1" applyAlignment="1"/>
    <xf numFmtId="4" fontId="9" fillId="0" borderId="9" xfId="0" applyNumberFormat="1" applyFont="1" applyFill="1" applyBorder="1" applyAlignment="1"/>
    <xf numFmtId="4" fontId="9" fillId="0" borderId="10" xfId="0" applyNumberFormat="1" applyFont="1" applyFill="1" applyBorder="1" applyAlignment="1"/>
    <xf numFmtId="3" fontId="9" fillId="0" borderId="37" xfId="0" applyNumberFormat="1" applyFont="1" applyFill="1" applyBorder="1" applyAlignment="1"/>
    <xf numFmtId="3" fontId="9" fillId="0" borderId="12" xfId="0" applyNumberFormat="1" applyFont="1" applyFill="1" applyBorder="1" applyAlignment="1"/>
    <xf numFmtId="0" fontId="9" fillId="0" borderId="43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 wrapText="1"/>
    </xf>
    <xf numFmtId="3" fontId="9" fillId="0" borderId="43" xfId="0" applyNumberFormat="1" applyFont="1" applyFill="1" applyBorder="1" applyAlignment="1"/>
    <xf numFmtId="4" fontId="9" fillId="0" borderId="36" xfId="0" applyNumberFormat="1" applyFont="1" applyFill="1" applyBorder="1" applyAlignment="1"/>
    <xf numFmtId="3" fontId="9" fillId="0" borderId="42" xfId="0" applyNumberFormat="1" applyFont="1" applyFill="1" applyBorder="1" applyAlignment="1"/>
    <xf numFmtId="49" fontId="9" fillId="0" borderId="43" xfId="0" applyNumberFormat="1" applyFont="1" applyFill="1" applyBorder="1" applyAlignment="1">
      <alignment wrapText="1"/>
    </xf>
    <xf numFmtId="3" fontId="9" fillId="0" borderId="2" xfId="0" applyNumberFormat="1" applyFont="1" applyFill="1" applyBorder="1" applyAlignment="1"/>
    <xf numFmtId="4" fontId="9" fillId="0" borderId="12" xfId="0" applyNumberFormat="1" applyFont="1" applyFill="1" applyBorder="1" applyAlignment="1"/>
    <xf numFmtId="3" fontId="9" fillId="0" borderId="1" xfId="0" applyNumberFormat="1" applyFont="1" applyFill="1" applyBorder="1" applyAlignment="1"/>
    <xf numFmtId="0" fontId="9" fillId="0" borderId="12" xfId="0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/>
    </xf>
    <xf numFmtId="3" fontId="9" fillId="0" borderId="12" xfId="0" applyNumberFormat="1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/>
    </xf>
    <xf numFmtId="164" fontId="9" fillId="0" borderId="23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 wrapText="1"/>
    </xf>
    <xf numFmtId="3" fontId="9" fillId="0" borderId="8" xfId="0" applyNumberFormat="1" applyFont="1" applyFill="1" applyBorder="1" applyAlignment="1"/>
    <xf numFmtId="0" fontId="9" fillId="0" borderId="7" xfId="0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/>
    </xf>
    <xf numFmtId="3" fontId="9" fillId="0" borderId="7" xfId="0" applyNumberFormat="1" applyFont="1" applyFill="1" applyBorder="1" applyAlignment="1">
      <alignment horizontal="center" wrapText="1"/>
    </xf>
    <xf numFmtId="3" fontId="9" fillId="0" borderId="46" xfId="0" applyNumberFormat="1" applyFont="1" applyFill="1" applyBorder="1" applyAlignment="1"/>
    <xf numFmtId="4" fontId="9" fillId="0" borderId="6" xfId="0" applyNumberFormat="1" applyFont="1" applyFill="1" applyBorder="1" applyAlignment="1">
      <alignment horizontal="center"/>
    </xf>
    <xf numFmtId="3" fontId="9" fillId="0" borderId="34" xfId="0" applyNumberFormat="1" applyFont="1" applyFill="1" applyBorder="1" applyAlignment="1">
      <alignment horizontal="center" wrapText="1"/>
    </xf>
    <xf numFmtId="3" fontId="9" fillId="0" borderId="11" xfId="0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 wrapText="1"/>
    </xf>
    <xf numFmtId="3" fontId="9" fillId="0" borderId="13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3" fontId="9" fillId="0" borderId="4" xfId="0" applyNumberFormat="1" applyFont="1" applyFill="1" applyBorder="1" applyAlignment="1">
      <alignment horizontal="center"/>
    </xf>
    <xf numFmtId="49" fontId="9" fillId="0" borderId="37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 wrapText="1"/>
    </xf>
    <xf numFmtId="3" fontId="9" fillId="0" borderId="25" xfId="0" applyNumberFormat="1" applyFont="1" applyFill="1" applyBorder="1" applyAlignment="1"/>
    <xf numFmtId="0" fontId="9" fillId="0" borderId="24" xfId="0" applyFont="1" applyFill="1" applyBorder="1" applyAlignment="1">
      <alignment horizontal="center"/>
    </xf>
    <xf numFmtId="49" fontId="9" fillId="0" borderId="42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 wrapText="1"/>
    </xf>
    <xf numFmtId="49" fontId="9" fillId="0" borderId="43" xfId="0" applyNumberFormat="1" applyFont="1" applyFill="1" applyBorder="1" applyAlignment="1">
      <alignment horizontal="center"/>
    </xf>
    <xf numFmtId="49" fontId="9" fillId="0" borderId="49" xfId="0" applyNumberFormat="1" applyFont="1" applyFill="1" applyBorder="1" applyAlignment="1">
      <alignment wrapText="1"/>
    </xf>
    <xf numFmtId="0" fontId="9" fillId="0" borderId="3" xfId="0" applyFont="1" applyFill="1" applyBorder="1" applyAlignment="1">
      <alignment horizontal="center"/>
    </xf>
    <xf numFmtId="4" fontId="9" fillId="0" borderId="3" xfId="0" applyNumberFormat="1" applyFont="1" applyFill="1" applyBorder="1" applyAlignment="1"/>
    <xf numFmtId="3" fontId="9" fillId="0" borderId="22" xfId="0" applyNumberFormat="1" applyFont="1" applyFill="1" applyBorder="1" applyAlignment="1"/>
    <xf numFmtId="4" fontId="9" fillId="0" borderId="20" xfId="0" applyNumberFormat="1" applyFont="1" applyFill="1" applyBorder="1" applyAlignment="1"/>
    <xf numFmtId="3" fontId="9" fillId="0" borderId="39" xfId="0" applyNumberFormat="1" applyFont="1" applyFill="1" applyBorder="1" applyAlignment="1"/>
    <xf numFmtId="49" fontId="10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wrapText="1"/>
    </xf>
    <xf numFmtId="3" fontId="10" fillId="0" borderId="0" xfId="0" applyNumberFormat="1" applyFont="1" applyFill="1" applyBorder="1" applyAlignment="1"/>
    <xf numFmtId="3" fontId="10" fillId="0" borderId="26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49" fontId="12" fillId="0" borderId="51" xfId="0" applyNumberFormat="1" applyFont="1" applyFill="1" applyBorder="1" applyAlignment="1">
      <alignment wrapText="1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wrapText="1"/>
    </xf>
    <xf numFmtId="3" fontId="12" fillId="0" borderId="48" xfId="0" applyNumberFormat="1" applyFont="1" applyFill="1" applyBorder="1" applyAlignment="1"/>
    <xf numFmtId="3" fontId="12" fillId="0" borderId="9" xfId="0" applyNumberFormat="1" applyFont="1" applyFill="1" applyBorder="1" applyAlignment="1"/>
    <xf numFmtId="3" fontId="12" fillId="0" borderId="8" xfId="0" applyNumberFormat="1" applyFont="1" applyFill="1" applyBorder="1" applyAlignment="1"/>
    <xf numFmtId="3" fontId="12" fillId="0" borderId="54" xfId="0" applyNumberFormat="1" applyFont="1" applyFill="1" applyBorder="1" applyAlignment="1"/>
    <xf numFmtId="3" fontId="9" fillId="0" borderId="51" xfId="0" applyNumberFormat="1" applyFont="1" applyFill="1" applyBorder="1" applyAlignment="1"/>
    <xf numFmtId="49" fontId="13" fillId="0" borderId="43" xfId="0" applyNumberFormat="1" applyFont="1" applyFill="1" applyBorder="1" applyAlignment="1">
      <alignment wrapText="1"/>
    </xf>
    <xf numFmtId="4" fontId="9" fillId="0" borderId="38" xfId="0" applyNumberFormat="1" applyFont="1" applyFill="1" applyBorder="1" applyAlignment="1"/>
    <xf numFmtId="1" fontId="9" fillId="0" borderId="6" xfId="0" applyNumberFormat="1" applyFont="1" applyFill="1" applyBorder="1" applyAlignment="1">
      <alignment horizontal="center" wrapText="1"/>
    </xf>
    <xf numFmtId="3" fontId="10" fillId="0" borderId="29" xfId="0" applyNumberFormat="1" applyFont="1" applyFill="1" applyBorder="1" applyAlignment="1"/>
    <xf numFmtId="4" fontId="9" fillId="0" borderId="0" xfId="0" applyNumberFormat="1" applyFont="1" applyFill="1" applyBorder="1" applyAlignment="1">
      <alignment horizontal="center" wrapText="1"/>
    </xf>
    <xf numFmtId="164" fontId="9" fillId="0" borderId="6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center" wrapText="1"/>
    </xf>
    <xf numFmtId="164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 wrapText="1"/>
    </xf>
    <xf numFmtId="49" fontId="9" fillId="0" borderId="29" xfId="0" applyNumberFormat="1" applyFont="1" applyFill="1" applyBorder="1" applyAlignment="1">
      <alignment wrapText="1"/>
    </xf>
    <xf numFmtId="0" fontId="9" fillId="0" borderId="5" xfId="0" applyFont="1" applyFill="1" applyBorder="1" applyAlignment="1">
      <alignment horizontal="center"/>
    </xf>
    <xf numFmtId="164" fontId="9" fillId="0" borderId="34" xfId="0" applyNumberFormat="1" applyFont="1" applyFill="1" applyBorder="1" applyAlignment="1">
      <alignment horizontal="center"/>
    </xf>
    <xf numFmtId="164" fontId="9" fillId="0" borderId="34" xfId="0" applyNumberFormat="1" applyFont="1" applyFill="1" applyBorder="1" applyAlignment="1">
      <alignment horizontal="center" wrapText="1"/>
    </xf>
    <xf numFmtId="3" fontId="10" fillId="0" borderId="30" xfId="0" applyNumberFormat="1" applyFont="1" applyFill="1" applyBorder="1" applyAlignment="1"/>
    <xf numFmtId="49" fontId="9" fillId="0" borderId="53" xfId="0" applyNumberFormat="1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 wrapText="1"/>
    </xf>
    <xf numFmtId="3" fontId="10" fillId="0" borderId="22" xfId="0" applyNumberFormat="1" applyFont="1" applyFill="1" applyBorder="1" applyAlignment="1"/>
    <xf numFmtId="3" fontId="9" fillId="0" borderId="53" xfId="0" applyNumberFormat="1" applyFont="1" applyFill="1" applyBorder="1" applyAlignment="1"/>
    <xf numFmtId="49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 wrapText="1"/>
    </xf>
    <xf numFmtId="164" fontId="10" fillId="0" borderId="0" xfId="0" applyNumberFormat="1" applyFont="1" applyFill="1" applyBorder="1" applyAlignment="1"/>
    <xf numFmtId="0" fontId="9" fillId="0" borderId="8" xfId="0" applyFont="1" applyFill="1" applyBorder="1" applyAlignment="1">
      <alignment horizontal="center"/>
    </xf>
    <xf numFmtId="49" fontId="9" fillId="0" borderId="40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wrapText="1"/>
    </xf>
    <xf numFmtId="3" fontId="12" fillId="0" borderId="24" xfId="0" applyNumberFormat="1" applyFont="1" applyFill="1" applyBorder="1" applyAlignment="1"/>
    <xf numFmtId="3" fontId="12" fillId="0" borderId="10" xfId="0" applyNumberFormat="1" applyFont="1" applyFill="1" applyBorder="1" applyAlignment="1"/>
    <xf numFmtId="49" fontId="13" fillId="0" borderId="46" xfId="0" applyNumberFormat="1" applyFont="1" applyFill="1" applyBorder="1" applyAlignment="1">
      <alignment wrapText="1"/>
    </xf>
    <xf numFmtId="0" fontId="10" fillId="0" borderId="29" xfId="0" applyFont="1" applyFill="1" applyBorder="1" applyAlignment="1"/>
    <xf numFmtId="0" fontId="9" fillId="0" borderId="6" xfId="0" applyFont="1" applyFill="1" applyBorder="1" applyAlignment="1">
      <alignment horizontal="center" wrapText="1"/>
    </xf>
    <xf numFmtId="49" fontId="13" fillId="0" borderId="42" xfId="0" applyNumberFormat="1" applyFont="1" applyFill="1" applyBorder="1" applyAlignment="1">
      <alignment wrapText="1"/>
    </xf>
    <xf numFmtId="3" fontId="9" fillId="0" borderId="52" xfId="0" applyNumberFormat="1" applyFont="1" applyFill="1" applyBorder="1" applyAlignment="1"/>
    <xf numFmtId="49" fontId="9" fillId="0" borderId="45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0" fontId="10" fillId="0" borderId="18" xfId="0" applyFont="1" applyFill="1" applyBorder="1" applyAlignment="1"/>
    <xf numFmtId="3" fontId="9" fillId="0" borderId="40" xfId="0" applyNumberFormat="1" applyFont="1" applyFill="1" applyBorder="1" applyAlignment="1"/>
    <xf numFmtId="49" fontId="12" fillId="0" borderId="46" xfId="0" applyNumberFormat="1" applyFont="1" applyFill="1" applyBorder="1" applyAlignment="1">
      <alignment wrapText="1"/>
    </xf>
    <xf numFmtId="3" fontId="12" fillId="0" borderId="29" xfId="0" applyNumberFormat="1" applyFont="1" applyFill="1" applyBorder="1" applyAlignment="1"/>
    <xf numFmtId="3" fontId="12" fillId="0" borderId="0" xfId="0" applyNumberFormat="1" applyFont="1" applyFill="1" applyBorder="1" applyAlignment="1"/>
    <xf numFmtId="165" fontId="9" fillId="0" borderId="6" xfId="0" applyNumberFormat="1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center"/>
    </xf>
    <xf numFmtId="0" fontId="9" fillId="0" borderId="43" xfId="0" applyFont="1" applyFill="1" applyBorder="1" applyAlignment="1">
      <alignment wrapText="1"/>
    </xf>
    <xf numFmtId="0" fontId="9" fillId="0" borderId="42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9" fillId="0" borderId="49" xfId="0" applyFont="1" applyFill="1" applyBorder="1" applyAlignment="1">
      <alignment wrapText="1"/>
    </xf>
    <xf numFmtId="0" fontId="9" fillId="0" borderId="21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wrapText="1"/>
    </xf>
    <xf numFmtId="4" fontId="9" fillId="0" borderId="44" xfId="0" applyNumberFormat="1" applyFont="1" applyFill="1" applyBorder="1" applyAlignment="1"/>
    <xf numFmtId="3" fontId="9" fillId="0" borderId="45" xfId="0" applyNumberFormat="1" applyFont="1" applyFill="1" applyBorder="1" applyAlignment="1"/>
    <xf numFmtId="0" fontId="9" fillId="0" borderId="0" xfId="0" applyFont="1" applyFill="1" applyAlignment="1">
      <alignment wrapText="1"/>
    </xf>
    <xf numFmtId="49" fontId="9" fillId="0" borderId="51" xfId="0" applyNumberFormat="1" applyFont="1" applyFill="1" applyBorder="1" applyAlignment="1">
      <alignment horizontal="center" wrapText="1"/>
    </xf>
    <xf numFmtId="49" fontId="12" fillId="0" borderId="50" xfId="0" applyNumberFormat="1" applyFont="1" applyFill="1" applyBorder="1" applyAlignment="1">
      <alignment wrapText="1"/>
    </xf>
    <xf numFmtId="3" fontId="12" fillId="0" borderId="50" xfId="0" applyNumberFormat="1" applyFont="1" applyFill="1" applyBorder="1" applyAlignment="1"/>
    <xf numFmtId="3" fontId="12" fillId="0" borderId="18" xfId="0" applyNumberFormat="1" applyFont="1" applyFill="1" applyBorder="1" applyAlignment="1"/>
    <xf numFmtId="3" fontId="9" fillId="0" borderId="10" xfId="0" applyNumberFormat="1" applyFont="1" applyFill="1" applyBorder="1" applyAlignment="1">
      <alignment horizontal="center" wrapText="1"/>
    </xf>
    <xf numFmtId="49" fontId="12" fillId="0" borderId="43" xfId="0" applyNumberFormat="1" applyFont="1" applyFill="1" applyBorder="1" applyAlignment="1">
      <alignment wrapText="1"/>
    </xf>
    <xf numFmtId="0" fontId="9" fillId="0" borderId="2" xfId="0" applyFont="1" applyFill="1" applyBorder="1" applyAlignment="1"/>
    <xf numFmtId="0" fontId="9" fillId="0" borderId="2" xfId="0" applyFont="1" applyFill="1" applyBorder="1" applyAlignment="1">
      <alignment wrapText="1"/>
    </xf>
    <xf numFmtId="0" fontId="9" fillId="0" borderId="13" xfId="0" applyFont="1" applyFill="1" applyBorder="1" applyAlignment="1">
      <alignment horizontal="center" wrapText="1"/>
    </xf>
    <xf numFmtId="3" fontId="9" fillId="0" borderId="2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wrapText="1"/>
    </xf>
    <xf numFmtId="49" fontId="9" fillId="0" borderId="0" xfId="0" applyNumberFormat="1" applyFont="1" applyFill="1" applyAlignment="1">
      <alignment horizont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center" vertical="center"/>
    </xf>
    <xf numFmtId="3" fontId="10" fillId="0" borderId="26" xfId="0" applyNumberFormat="1" applyFont="1" applyFill="1" applyBorder="1" applyAlignment="1">
      <alignment vertical="center"/>
    </xf>
    <xf numFmtId="49" fontId="10" fillId="0" borderId="59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 wrapText="1"/>
    </xf>
    <xf numFmtId="3" fontId="10" fillId="0" borderId="26" xfId="0" applyNumberFormat="1" applyFont="1" applyFill="1" applyBorder="1" applyAlignment="1"/>
    <xf numFmtId="3" fontId="10" fillId="0" borderId="14" xfId="0" applyNumberFormat="1" applyFont="1" applyFill="1" applyBorder="1" applyAlignment="1"/>
    <xf numFmtId="3" fontId="10" fillId="0" borderId="32" xfId="0" applyNumberFormat="1" applyFont="1" applyFill="1" applyBorder="1" applyAlignment="1"/>
    <xf numFmtId="3" fontId="10" fillId="0" borderId="15" xfId="0" applyNumberFormat="1" applyFont="1" applyFill="1" applyBorder="1" applyAlignment="1"/>
    <xf numFmtId="3" fontId="12" fillId="0" borderId="56" xfId="0" applyNumberFormat="1" applyFont="1" applyFill="1" applyBorder="1" applyAlignment="1"/>
    <xf numFmtId="3" fontId="9" fillId="0" borderId="57" xfId="0" applyNumberFormat="1" applyFont="1" applyFill="1" applyBorder="1" applyAlignment="1"/>
    <xf numFmtId="3" fontId="12" fillId="0" borderId="55" xfId="0" applyNumberFormat="1" applyFont="1" applyFill="1" applyBorder="1" applyAlignment="1"/>
    <xf numFmtId="49" fontId="10" fillId="0" borderId="14" xfId="0" applyNumberFormat="1" applyFont="1" applyFill="1" applyBorder="1" applyAlignment="1">
      <alignment horizontal="center"/>
    </xf>
    <xf numFmtId="49" fontId="10" fillId="0" borderId="14" xfId="0" applyNumberFormat="1" applyFont="1" applyFill="1" applyBorder="1" applyAlignment="1">
      <alignment wrapText="1"/>
    </xf>
    <xf numFmtId="3" fontId="10" fillId="0" borderId="31" xfId="0" applyNumberFormat="1" applyFont="1" applyFill="1" applyBorder="1" applyAlignment="1"/>
    <xf numFmtId="3" fontId="10" fillId="0" borderId="45" xfId="0" applyNumberFormat="1" applyFont="1" applyFill="1" applyBorder="1" applyAlignment="1"/>
    <xf numFmtId="0" fontId="9" fillId="0" borderId="12" xfId="0" applyFont="1" applyFill="1" applyBorder="1" applyAlignment="1"/>
    <xf numFmtId="4" fontId="9" fillId="0" borderId="33" xfId="0" applyNumberFormat="1" applyFont="1" applyFill="1" applyBorder="1" applyAlignment="1"/>
    <xf numFmtId="3" fontId="9" fillId="0" borderId="58" xfId="0" applyNumberFormat="1" applyFont="1" applyFill="1" applyBorder="1" applyAlignment="1"/>
    <xf numFmtId="3" fontId="9" fillId="0" borderId="47" xfId="0" applyNumberFormat="1" applyFont="1" applyFill="1" applyBorder="1" applyAlignment="1"/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wrapText="1"/>
    </xf>
    <xf numFmtId="3" fontId="10" fillId="0" borderId="0" xfId="0" applyNumberFormat="1" applyFont="1" applyFill="1" applyAlignment="1">
      <alignment horizontal="center"/>
    </xf>
    <xf numFmtId="3" fontId="9" fillId="0" borderId="10" xfId="0" applyNumberFormat="1" applyFont="1" applyFill="1" applyBorder="1" applyAlignment="1"/>
    <xf numFmtId="49" fontId="10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49" fontId="9" fillId="0" borderId="35" xfId="0" applyNumberFormat="1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wrapText="1"/>
    </xf>
    <xf numFmtId="0" fontId="9" fillId="0" borderId="17" xfId="0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horizontal="center" wrapText="1"/>
    </xf>
    <xf numFmtId="3" fontId="10" fillId="0" borderId="60" xfId="0" applyNumberFormat="1" applyFont="1" applyFill="1" applyBorder="1" applyAlignment="1"/>
    <xf numFmtId="3" fontId="10" fillId="0" borderId="61" xfId="0" applyNumberFormat="1" applyFont="1" applyFill="1" applyBorder="1" applyAlignment="1"/>
    <xf numFmtId="3" fontId="10" fillId="0" borderId="17" xfId="0" applyNumberFormat="1" applyFont="1" applyFill="1" applyBorder="1" applyAlignment="1"/>
    <xf numFmtId="3" fontId="10" fillId="0" borderId="40" xfId="0" applyNumberFormat="1" applyFont="1" applyFill="1" applyBorder="1" applyAlignment="1"/>
    <xf numFmtId="3" fontId="10" fillId="0" borderId="16" xfId="0" applyNumberFormat="1" applyFont="1" applyFill="1" applyBorder="1" applyAlignment="1"/>
    <xf numFmtId="3" fontId="10" fillId="0" borderId="4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/>
    </xf>
    <xf numFmtId="49" fontId="10" fillId="0" borderId="47" xfId="0" applyNumberFormat="1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4" fontId="9" fillId="0" borderId="47" xfId="0" applyNumberFormat="1" applyFont="1" applyFill="1" applyBorder="1" applyAlignment="1"/>
    <xf numFmtId="49" fontId="10" fillId="0" borderId="16" xfId="0" applyNumberFormat="1" applyFont="1" applyFill="1" applyBorder="1" applyAlignment="1">
      <alignment horizontal="center"/>
    </xf>
    <xf numFmtId="0" fontId="9" fillId="0" borderId="57" xfId="0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31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58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/>
    </xf>
    <xf numFmtId="0" fontId="10" fillId="0" borderId="14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49" fontId="9" fillId="0" borderId="35" xfId="0" applyNumberFormat="1" applyFont="1" applyFill="1" applyBorder="1" applyAlignment="1">
      <alignment horizontal="center"/>
    </xf>
    <xf numFmtId="49" fontId="9" fillId="0" borderId="52" xfId="0" applyNumberFormat="1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 vertical="center"/>
    </xf>
    <xf numFmtId="49" fontId="10" fillId="0" borderId="47" xfId="0" applyNumberFormat="1" applyFont="1" applyFill="1" applyBorder="1" applyAlignment="1">
      <alignment horizontal="center" vertical="center"/>
    </xf>
    <xf numFmtId="49" fontId="10" fillId="0" borderId="5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</cellXfs>
  <cellStyles count="18">
    <cellStyle name="Normál" xfId="0" builtinId="0"/>
    <cellStyle name="Normál 2" xfId="3"/>
    <cellStyle name="Normál 2 2" xfId="6"/>
    <cellStyle name="Normál 2 2 2" xfId="17"/>
    <cellStyle name="Normál 2 3" xfId="12"/>
    <cellStyle name="Normál 3" xfId="7"/>
    <cellStyle name="Normál 3 2" xfId="2"/>
    <cellStyle name="Normál 3 2 2" xfId="5"/>
    <cellStyle name="Normál 3 3" xfId="13"/>
    <cellStyle name="Normál 4" xfId="1"/>
    <cellStyle name="Normál 4 2" xfId="8"/>
    <cellStyle name="Normál 4 2 2" xfId="15"/>
    <cellStyle name="Normál 4 3" xfId="11"/>
    <cellStyle name="Normál 5" xfId="4"/>
    <cellStyle name="Normál 5 2" xfId="16"/>
    <cellStyle name="Normál 6" xfId="10"/>
    <cellStyle name="Normál 6 2" xfId="14"/>
    <cellStyle name="Normal_KARSZJ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Z163"/>
  <sheetViews>
    <sheetView tabSelected="1" view="pageBreakPreview" zoomScale="70" zoomScaleNormal="70" zoomScaleSheetLayoutView="70" workbookViewId="0">
      <selection activeCell="A2" sqref="A2:P2"/>
    </sheetView>
  </sheetViews>
  <sheetFormatPr defaultColWidth="9.140625" defaultRowHeight="18" x14ac:dyDescent="0.25"/>
  <cols>
    <col min="1" max="1" width="6" style="203" customWidth="1"/>
    <col min="2" max="2" width="13.140625" style="1" customWidth="1"/>
    <col min="3" max="3" width="76.5703125" style="155" customWidth="1"/>
    <col min="4" max="4" width="17.7109375" style="203" customWidth="1"/>
    <col min="5" max="5" width="10.85546875" style="203" customWidth="1"/>
    <col min="6" max="6" width="21" style="4" customWidth="1"/>
    <col min="7" max="7" width="20.5703125" style="1" customWidth="1"/>
    <col min="8" max="8" width="14.5703125" style="1" customWidth="1"/>
    <col min="9" max="9" width="18.5703125" style="5" customWidth="1"/>
    <col min="10" max="10" width="16" style="1" customWidth="1"/>
    <col min="11" max="11" width="19.7109375" style="5" customWidth="1"/>
    <col min="12" max="12" width="15.85546875" style="1" customWidth="1"/>
    <col min="13" max="13" width="19.140625" style="5" customWidth="1"/>
    <col min="14" max="14" width="26.7109375" style="5" customWidth="1"/>
    <col min="15" max="15" width="26.28515625" style="5" customWidth="1"/>
    <col min="16" max="16" width="26.140625" style="5" customWidth="1"/>
    <col min="17" max="256" width="9.140625" style="1"/>
    <col min="257" max="257" width="13.140625" style="1" customWidth="1"/>
    <col min="258" max="258" width="115.5703125" style="1" customWidth="1"/>
    <col min="259" max="259" width="26" style="1" customWidth="1"/>
    <col min="260" max="260" width="21" style="1" customWidth="1"/>
    <col min="261" max="261" width="30.5703125" style="1" customWidth="1"/>
    <col min="262" max="262" width="31.140625" style="1" customWidth="1"/>
    <col min="263" max="263" width="18" style="1" customWidth="1"/>
    <col min="264" max="512" width="9.140625" style="1"/>
    <col min="513" max="513" width="13.140625" style="1" customWidth="1"/>
    <col min="514" max="514" width="115.5703125" style="1" customWidth="1"/>
    <col min="515" max="515" width="26" style="1" customWidth="1"/>
    <col min="516" max="516" width="21" style="1" customWidth="1"/>
    <col min="517" max="517" width="30.5703125" style="1" customWidth="1"/>
    <col min="518" max="518" width="31.140625" style="1" customWidth="1"/>
    <col min="519" max="519" width="18" style="1" customWidth="1"/>
    <col min="520" max="768" width="9.140625" style="1"/>
    <col min="769" max="769" width="13.140625" style="1" customWidth="1"/>
    <col min="770" max="770" width="115.5703125" style="1" customWidth="1"/>
    <col min="771" max="771" width="26" style="1" customWidth="1"/>
    <col min="772" max="772" width="21" style="1" customWidth="1"/>
    <col min="773" max="773" width="30.5703125" style="1" customWidth="1"/>
    <col min="774" max="774" width="31.140625" style="1" customWidth="1"/>
    <col min="775" max="775" width="18" style="1" customWidth="1"/>
    <col min="776" max="1024" width="9.140625" style="1"/>
    <col min="1025" max="1025" width="13.140625" style="1" customWidth="1"/>
    <col min="1026" max="1026" width="115.5703125" style="1" customWidth="1"/>
    <col min="1027" max="1027" width="26" style="1" customWidth="1"/>
    <col min="1028" max="1028" width="21" style="1" customWidth="1"/>
    <col min="1029" max="1029" width="30.5703125" style="1" customWidth="1"/>
    <col min="1030" max="1030" width="31.140625" style="1" customWidth="1"/>
    <col min="1031" max="1031" width="18" style="1" customWidth="1"/>
    <col min="1032" max="1280" width="9.140625" style="1"/>
    <col min="1281" max="1281" width="13.140625" style="1" customWidth="1"/>
    <col min="1282" max="1282" width="115.5703125" style="1" customWidth="1"/>
    <col min="1283" max="1283" width="26" style="1" customWidth="1"/>
    <col min="1284" max="1284" width="21" style="1" customWidth="1"/>
    <col min="1285" max="1285" width="30.5703125" style="1" customWidth="1"/>
    <col min="1286" max="1286" width="31.140625" style="1" customWidth="1"/>
    <col min="1287" max="1287" width="18" style="1" customWidth="1"/>
    <col min="1288" max="1536" width="9.140625" style="1"/>
    <col min="1537" max="1537" width="13.140625" style="1" customWidth="1"/>
    <col min="1538" max="1538" width="115.5703125" style="1" customWidth="1"/>
    <col min="1539" max="1539" width="26" style="1" customWidth="1"/>
    <col min="1540" max="1540" width="21" style="1" customWidth="1"/>
    <col min="1541" max="1541" width="30.5703125" style="1" customWidth="1"/>
    <col min="1542" max="1542" width="31.140625" style="1" customWidth="1"/>
    <col min="1543" max="1543" width="18" style="1" customWidth="1"/>
    <col min="1544" max="1792" width="9.140625" style="1"/>
    <col min="1793" max="1793" width="13.140625" style="1" customWidth="1"/>
    <col min="1794" max="1794" width="115.5703125" style="1" customWidth="1"/>
    <col min="1795" max="1795" width="26" style="1" customWidth="1"/>
    <col min="1796" max="1796" width="21" style="1" customWidth="1"/>
    <col min="1797" max="1797" width="30.5703125" style="1" customWidth="1"/>
    <col min="1798" max="1798" width="31.140625" style="1" customWidth="1"/>
    <col min="1799" max="1799" width="18" style="1" customWidth="1"/>
    <col min="1800" max="2048" width="9.140625" style="1"/>
    <col min="2049" max="2049" width="13.140625" style="1" customWidth="1"/>
    <col min="2050" max="2050" width="115.5703125" style="1" customWidth="1"/>
    <col min="2051" max="2051" width="26" style="1" customWidth="1"/>
    <col min="2052" max="2052" width="21" style="1" customWidth="1"/>
    <col min="2053" max="2053" width="30.5703125" style="1" customWidth="1"/>
    <col min="2054" max="2054" width="31.140625" style="1" customWidth="1"/>
    <col min="2055" max="2055" width="18" style="1" customWidth="1"/>
    <col min="2056" max="2304" width="9.140625" style="1"/>
    <col min="2305" max="2305" width="13.140625" style="1" customWidth="1"/>
    <col min="2306" max="2306" width="115.5703125" style="1" customWidth="1"/>
    <col min="2307" max="2307" width="26" style="1" customWidth="1"/>
    <col min="2308" max="2308" width="21" style="1" customWidth="1"/>
    <col min="2309" max="2309" width="30.5703125" style="1" customWidth="1"/>
    <col min="2310" max="2310" width="31.140625" style="1" customWidth="1"/>
    <col min="2311" max="2311" width="18" style="1" customWidth="1"/>
    <col min="2312" max="2560" width="9.140625" style="1"/>
    <col min="2561" max="2561" width="13.140625" style="1" customWidth="1"/>
    <col min="2562" max="2562" width="115.5703125" style="1" customWidth="1"/>
    <col min="2563" max="2563" width="26" style="1" customWidth="1"/>
    <col min="2564" max="2564" width="21" style="1" customWidth="1"/>
    <col min="2565" max="2565" width="30.5703125" style="1" customWidth="1"/>
    <col min="2566" max="2566" width="31.140625" style="1" customWidth="1"/>
    <col min="2567" max="2567" width="18" style="1" customWidth="1"/>
    <col min="2568" max="2816" width="9.140625" style="1"/>
    <col min="2817" max="2817" width="13.140625" style="1" customWidth="1"/>
    <col min="2818" max="2818" width="115.5703125" style="1" customWidth="1"/>
    <col min="2819" max="2819" width="26" style="1" customWidth="1"/>
    <col min="2820" max="2820" width="21" style="1" customWidth="1"/>
    <col min="2821" max="2821" width="30.5703125" style="1" customWidth="1"/>
    <col min="2822" max="2822" width="31.140625" style="1" customWidth="1"/>
    <col min="2823" max="2823" width="18" style="1" customWidth="1"/>
    <col min="2824" max="3072" width="9.140625" style="1"/>
    <col min="3073" max="3073" width="13.140625" style="1" customWidth="1"/>
    <col min="3074" max="3074" width="115.5703125" style="1" customWidth="1"/>
    <col min="3075" max="3075" width="26" style="1" customWidth="1"/>
    <col min="3076" max="3076" width="21" style="1" customWidth="1"/>
    <col min="3077" max="3077" width="30.5703125" style="1" customWidth="1"/>
    <col min="3078" max="3078" width="31.140625" style="1" customWidth="1"/>
    <col min="3079" max="3079" width="18" style="1" customWidth="1"/>
    <col min="3080" max="3328" width="9.140625" style="1"/>
    <col min="3329" max="3329" width="13.140625" style="1" customWidth="1"/>
    <col min="3330" max="3330" width="115.5703125" style="1" customWidth="1"/>
    <col min="3331" max="3331" width="26" style="1" customWidth="1"/>
    <col min="3332" max="3332" width="21" style="1" customWidth="1"/>
    <col min="3333" max="3333" width="30.5703125" style="1" customWidth="1"/>
    <col min="3334" max="3334" width="31.140625" style="1" customWidth="1"/>
    <col min="3335" max="3335" width="18" style="1" customWidth="1"/>
    <col min="3336" max="3584" width="9.140625" style="1"/>
    <col min="3585" max="3585" width="13.140625" style="1" customWidth="1"/>
    <col min="3586" max="3586" width="115.5703125" style="1" customWidth="1"/>
    <col min="3587" max="3587" width="26" style="1" customWidth="1"/>
    <col min="3588" max="3588" width="21" style="1" customWidth="1"/>
    <col min="3589" max="3589" width="30.5703125" style="1" customWidth="1"/>
    <col min="3590" max="3590" width="31.140625" style="1" customWidth="1"/>
    <col min="3591" max="3591" width="18" style="1" customWidth="1"/>
    <col min="3592" max="3840" width="9.140625" style="1"/>
    <col min="3841" max="3841" width="13.140625" style="1" customWidth="1"/>
    <col min="3842" max="3842" width="115.5703125" style="1" customWidth="1"/>
    <col min="3843" max="3843" width="26" style="1" customWidth="1"/>
    <col min="3844" max="3844" width="21" style="1" customWidth="1"/>
    <col min="3845" max="3845" width="30.5703125" style="1" customWidth="1"/>
    <col min="3846" max="3846" width="31.140625" style="1" customWidth="1"/>
    <col min="3847" max="3847" width="18" style="1" customWidth="1"/>
    <col min="3848" max="4096" width="9.140625" style="1"/>
    <col min="4097" max="4097" width="13.140625" style="1" customWidth="1"/>
    <col min="4098" max="4098" width="115.5703125" style="1" customWidth="1"/>
    <col min="4099" max="4099" width="26" style="1" customWidth="1"/>
    <col min="4100" max="4100" width="21" style="1" customWidth="1"/>
    <col min="4101" max="4101" width="30.5703125" style="1" customWidth="1"/>
    <col min="4102" max="4102" width="31.140625" style="1" customWidth="1"/>
    <col min="4103" max="4103" width="18" style="1" customWidth="1"/>
    <col min="4104" max="4352" width="9.140625" style="1"/>
    <col min="4353" max="4353" width="13.140625" style="1" customWidth="1"/>
    <col min="4354" max="4354" width="115.5703125" style="1" customWidth="1"/>
    <col min="4355" max="4355" width="26" style="1" customWidth="1"/>
    <col min="4356" max="4356" width="21" style="1" customWidth="1"/>
    <col min="4357" max="4357" width="30.5703125" style="1" customWidth="1"/>
    <col min="4358" max="4358" width="31.140625" style="1" customWidth="1"/>
    <col min="4359" max="4359" width="18" style="1" customWidth="1"/>
    <col min="4360" max="4608" width="9.140625" style="1"/>
    <col min="4609" max="4609" width="13.140625" style="1" customWidth="1"/>
    <col min="4610" max="4610" width="115.5703125" style="1" customWidth="1"/>
    <col min="4611" max="4611" width="26" style="1" customWidth="1"/>
    <col min="4612" max="4612" width="21" style="1" customWidth="1"/>
    <col min="4613" max="4613" width="30.5703125" style="1" customWidth="1"/>
    <col min="4614" max="4614" width="31.140625" style="1" customWidth="1"/>
    <col min="4615" max="4615" width="18" style="1" customWidth="1"/>
    <col min="4616" max="4864" width="9.140625" style="1"/>
    <col min="4865" max="4865" width="13.140625" style="1" customWidth="1"/>
    <col min="4866" max="4866" width="115.5703125" style="1" customWidth="1"/>
    <col min="4867" max="4867" width="26" style="1" customWidth="1"/>
    <col min="4868" max="4868" width="21" style="1" customWidth="1"/>
    <col min="4869" max="4869" width="30.5703125" style="1" customWidth="1"/>
    <col min="4870" max="4870" width="31.140625" style="1" customWidth="1"/>
    <col min="4871" max="4871" width="18" style="1" customWidth="1"/>
    <col min="4872" max="5120" width="9.140625" style="1"/>
    <col min="5121" max="5121" width="13.140625" style="1" customWidth="1"/>
    <col min="5122" max="5122" width="115.5703125" style="1" customWidth="1"/>
    <col min="5123" max="5123" width="26" style="1" customWidth="1"/>
    <col min="5124" max="5124" width="21" style="1" customWidth="1"/>
    <col min="5125" max="5125" width="30.5703125" style="1" customWidth="1"/>
    <col min="5126" max="5126" width="31.140625" style="1" customWidth="1"/>
    <col min="5127" max="5127" width="18" style="1" customWidth="1"/>
    <col min="5128" max="5376" width="9.140625" style="1"/>
    <col min="5377" max="5377" width="13.140625" style="1" customWidth="1"/>
    <col min="5378" max="5378" width="115.5703125" style="1" customWidth="1"/>
    <col min="5379" max="5379" width="26" style="1" customWidth="1"/>
    <col min="5380" max="5380" width="21" style="1" customWidth="1"/>
    <col min="5381" max="5381" width="30.5703125" style="1" customWidth="1"/>
    <col min="5382" max="5382" width="31.140625" style="1" customWidth="1"/>
    <col min="5383" max="5383" width="18" style="1" customWidth="1"/>
    <col min="5384" max="5632" width="9.140625" style="1"/>
    <col min="5633" max="5633" width="13.140625" style="1" customWidth="1"/>
    <col min="5634" max="5634" width="115.5703125" style="1" customWidth="1"/>
    <col min="5635" max="5635" width="26" style="1" customWidth="1"/>
    <col min="5636" max="5636" width="21" style="1" customWidth="1"/>
    <col min="5637" max="5637" width="30.5703125" style="1" customWidth="1"/>
    <col min="5638" max="5638" width="31.140625" style="1" customWidth="1"/>
    <col min="5639" max="5639" width="18" style="1" customWidth="1"/>
    <col min="5640" max="5888" width="9.140625" style="1"/>
    <col min="5889" max="5889" width="13.140625" style="1" customWidth="1"/>
    <col min="5890" max="5890" width="115.5703125" style="1" customWidth="1"/>
    <col min="5891" max="5891" width="26" style="1" customWidth="1"/>
    <col min="5892" max="5892" width="21" style="1" customWidth="1"/>
    <col min="5893" max="5893" width="30.5703125" style="1" customWidth="1"/>
    <col min="5894" max="5894" width="31.140625" style="1" customWidth="1"/>
    <col min="5895" max="5895" width="18" style="1" customWidth="1"/>
    <col min="5896" max="6144" width="9.140625" style="1"/>
    <col min="6145" max="6145" width="13.140625" style="1" customWidth="1"/>
    <col min="6146" max="6146" width="115.5703125" style="1" customWidth="1"/>
    <col min="6147" max="6147" width="26" style="1" customWidth="1"/>
    <col min="6148" max="6148" width="21" style="1" customWidth="1"/>
    <col min="6149" max="6149" width="30.5703125" style="1" customWidth="1"/>
    <col min="6150" max="6150" width="31.140625" style="1" customWidth="1"/>
    <col min="6151" max="6151" width="18" style="1" customWidth="1"/>
    <col min="6152" max="6400" width="9.140625" style="1"/>
    <col min="6401" max="6401" width="13.140625" style="1" customWidth="1"/>
    <col min="6402" max="6402" width="115.5703125" style="1" customWidth="1"/>
    <col min="6403" max="6403" width="26" style="1" customWidth="1"/>
    <col min="6404" max="6404" width="21" style="1" customWidth="1"/>
    <col min="6405" max="6405" width="30.5703125" style="1" customWidth="1"/>
    <col min="6406" max="6406" width="31.140625" style="1" customWidth="1"/>
    <col min="6407" max="6407" width="18" style="1" customWidth="1"/>
    <col min="6408" max="6656" width="9.140625" style="1"/>
    <col min="6657" max="6657" width="13.140625" style="1" customWidth="1"/>
    <col min="6658" max="6658" width="115.5703125" style="1" customWidth="1"/>
    <col min="6659" max="6659" width="26" style="1" customWidth="1"/>
    <col min="6660" max="6660" width="21" style="1" customWidth="1"/>
    <col min="6661" max="6661" width="30.5703125" style="1" customWidth="1"/>
    <col min="6662" max="6662" width="31.140625" style="1" customWidth="1"/>
    <col min="6663" max="6663" width="18" style="1" customWidth="1"/>
    <col min="6664" max="6912" width="9.140625" style="1"/>
    <col min="6913" max="6913" width="13.140625" style="1" customWidth="1"/>
    <col min="6914" max="6914" width="115.5703125" style="1" customWidth="1"/>
    <col min="6915" max="6915" width="26" style="1" customWidth="1"/>
    <col min="6916" max="6916" width="21" style="1" customWidth="1"/>
    <col min="6917" max="6917" width="30.5703125" style="1" customWidth="1"/>
    <col min="6918" max="6918" width="31.140625" style="1" customWidth="1"/>
    <col min="6919" max="6919" width="18" style="1" customWidth="1"/>
    <col min="6920" max="7168" width="9.140625" style="1"/>
    <col min="7169" max="7169" width="13.140625" style="1" customWidth="1"/>
    <col min="7170" max="7170" width="115.5703125" style="1" customWidth="1"/>
    <col min="7171" max="7171" width="26" style="1" customWidth="1"/>
    <col min="7172" max="7172" width="21" style="1" customWidth="1"/>
    <col min="7173" max="7173" width="30.5703125" style="1" customWidth="1"/>
    <col min="7174" max="7174" width="31.140625" style="1" customWidth="1"/>
    <col min="7175" max="7175" width="18" style="1" customWidth="1"/>
    <col min="7176" max="7424" width="9.140625" style="1"/>
    <col min="7425" max="7425" width="13.140625" style="1" customWidth="1"/>
    <col min="7426" max="7426" width="115.5703125" style="1" customWidth="1"/>
    <col min="7427" max="7427" width="26" style="1" customWidth="1"/>
    <col min="7428" max="7428" width="21" style="1" customWidth="1"/>
    <col min="7429" max="7429" width="30.5703125" style="1" customWidth="1"/>
    <col min="7430" max="7430" width="31.140625" style="1" customWidth="1"/>
    <col min="7431" max="7431" width="18" style="1" customWidth="1"/>
    <col min="7432" max="7680" width="9.140625" style="1"/>
    <col min="7681" max="7681" width="13.140625" style="1" customWidth="1"/>
    <col min="7682" max="7682" width="115.5703125" style="1" customWidth="1"/>
    <col min="7683" max="7683" width="26" style="1" customWidth="1"/>
    <col min="7684" max="7684" width="21" style="1" customWidth="1"/>
    <col min="7685" max="7685" width="30.5703125" style="1" customWidth="1"/>
    <col min="7686" max="7686" width="31.140625" style="1" customWidth="1"/>
    <col min="7687" max="7687" width="18" style="1" customWidth="1"/>
    <col min="7688" max="7936" width="9.140625" style="1"/>
    <col min="7937" max="7937" width="13.140625" style="1" customWidth="1"/>
    <col min="7938" max="7938" width="115.5703125" style="1" customWidth="1"/>
    <col min="7939" max="7939" width="26" style="1" customWidth="1"/>
    <col min="7940" max="7940" width="21" style="1" customWidth="1"/>
    <col min="7941" max="7941" width="30.5703125" style="1" customWidth="1"/>
    <col min="7942" max="7942" width="31.140625" style="1" customWidth="1"/>
    <col min="7943" max="7943" width="18" style="1" customWidth="1"/>
    <col min="7944" max="8192" width="9.140625" style="1"/>
    <col min="8193" max="8193" width="13.140625" style="1" customWidth="1"/>
    <col min="8194" max="8194" width="115.5703125" style="1" customWidth="1"/>
    <col min="8195" max="8195" width="26" style="1" customWidth="1"/>
    <col min="8196" max="8196" width="21" style="1" customWidth="1"/>
    <col min="8197" max="8197" width="30.5703125" style="1" customWidth="1"/>
    <col min="8198" max="8198" width="31.140625" style="1" customWidth="1"/>
    <col min="8199" max="8199" width="18" style="1" customWidth="1"/>
    <col min="8200" max="8448" width="9.140625" style="1"/>
    <col min="8449" max="8449" width="13.140625" style="1" customWidth="1"/>
    <col min="8450" max="8450" width="115.5703125" style="1" customWidth="1"/>
    <col min="8451" max="8451" width="26" style="1" customWidth="1"/>
    <col min="8452" max="8452" width="21" style="1" customWidth="1"/>
    <col min="8453" max="8453" width="30.5703125" style="1" customWidth="1"/>
    <col min="8454" max="8454" width="31.140625" style="1" customWidth="1"/>
    <col min="8455" max="8455" width="18" style="1" customWidth="1"/>
    <col min="8456" max="8704" width="9.140625" style="1"/>
    <col min="8705" max="8705" width="13.140625" style="1" customWidth="1"/>
    <col min="8706" max="8706" width="115.5703125" style="1" customWidth="1"/>
    <col min="8707" max="8707" width="26" style="1" customWidth="1"/>
    <col min="8708" max="8708" width="21" style="1" customWidth="1"/>
    <col min="8709" max="8709" width="30.5703125" style="1" customWidth="1"/>
    <col min="8710" max="8710" width="31.140625" style="1" customWidth="1"/>
    <col min="8711" max="8711" width="18" style="1" customWidth="1"/>
    <col min="8712" max="8960" width="9.140625" style="1"/>
    <col min="8961" max="8961" width="13.140625" style="1" customWidth="1"/>
    <col min="8962" max="8962" width="115.5703125" style="1" customWidth="1"/>
    <col min="8963" max="8963" width="26" style="1" customWidth="1"/>
    <col min="8964" max="8964" width="21" style="1" customWidth="1"/>
    <col min="8965" max="8965" width="30.5703125" style="1" customWidth="1"/>
    <col min="8966" max="8966" width="31.140625" style="1" customWidth="1"/>
    <col min="8967" max="8967" width="18" style="1" customWidth="1"/>
    <col min="8968" max="9216" width="9.140625" style="1"/>
    <col min="9217" max="9217" width="13.140625" style="1" customWidth="1"/>
    <col min="9218" max="9218" width="115.5703125" style="1" customWidth="1"/>
    <col min="9219" max="9219" width="26" style="1" customWidth="1"/>
    <col min="9220" max="9220" width="21" style="1" customWidth="1"/>
    <col min="9221" max="9221" width="30.5703125" style="1" customWidth="1"/>
    <col min="9222" max="9222" width="31.140625" style="1" customWidth="1"/>
    <col min="9223" max="9223" width="18" style="1" customWidth="1"/>
    <col min="9224" max="9472" width="9.140625" style="1"/>
    <col min="9473" max="9473" width="13.140625" style="1" customWidth="1"/>
    <col min="9474" max="9474" width="115.5703125" style="1" customWidth="1"/>
    <col min="9475" max="9475" width="26" style="1" customWidth="1"/>
    <col min="9476" max="9476" width="21" style="1" customWidth="1"/>
    <col min="9477" max="9477" width="30.5703125" style="1" customWidth="1"/>
    <col min="9478" max="9478" width="31.140625" style="1" customWidth="1"/>
    <col min="9479" max="9479" width="18" style="1" customWidth="1"/>
    <col min="9480" max="9728" width="9.140625" style="1"/>
    <col min="9729" max="9729" width="13.140625" style="1" customWidth="1"/>
    <col min="9730" max="9730" width="115.5703125" style="1" customWidth="1"/>
    <col min="9731" max="9731" width="26" style="1" customWidth="1"/>
    <col min="9732" max="9732" width="21" style="1" customWidth="1"/>
    <col min="9733" max="9733" width="30.5703125" style="1" customWidth="1"/>
    <col min="9734" max="9734" width="31.140625" style="1" customWidth="1"/>
    <col min="9735" max="9735" width="18" style="1" customWidth="1"/>
    <col min="9736" max="9984" width="9.140625" style="1"/>
    <col min="9985" max="9985" width="13.140625" style="1" customWidth="1"/>
    <col min="9986" max="9986" width="115.5703125" style="1" customWidth="1"/>
    <col min="9987" max="9987" width="26" style="1" customWidth="1"/>
    <col min="9988" max="9988" width="21" style="1" customWidth="1"/>
    <col min="9989" max="9989" width="30.5703125" style="1" customWidth="1"/>
    <col min="9990" max="9990" width="31.140625" style="1" customWidth="1"/>
    <col min="9991" max="9991" width="18" style="1" customWidth="1"/>
    <col min="9992" max="10240" width="9.140625" style="1"/>
    <col min="10241" max="10241" width="13.140625" style="1" customWidth="1"/>
    <col min="10242" max="10242" width="115.5703125" style="1" customWidth="1"/>
    <col min="10243" max="10243" width="26" style="1" customWidth="1"/>
    <col min="10244" max="10244" width="21" style="1" customWidth="1"/>
    <col min="10245" max="10245" width="30.5703125" style="1" customWidth="1"/>
    <col min="10246" max="10246" width="31.140625" style="1" customWidth="1"/>
    <col min="10247" max="10247" width="18" style="1" customWidth="1"/>
    <col min="10248" max="10496" width="9.140625" style="1"/>
    <col min="10497" max="10497" width="13.140625" style="1" customWidth="1"/>
    <col min="10498" max="10498" width="115.5703125" style="1" customWidth="1"/>
    <col min="10499" max="10499" width="26" style="1" customWidth="1"/>
    <col min="10500" max="10500" width="21" style="1" customWidth="1"/>
    <col min="10501" max="10501" width="30.5703125" style="1" customWidth="1"/>
    <col min="10502" max="10502" width="31.140625" style="1" customWidth="1"/>
    <col min="10503" max="10503" width="18" style="1" customWidth="1"/>
    <col min="10504" max="10752" width="9.140625" style="1"/>
    <col min="10753" max="10753" width="13.140625" style="1" customWidth="1"/>
    <col min="10754" max="10754" width="115.5703125" style="1" customWidth="1"/>
    <col min="10755" max="10755" width="26" style="1" customWidth="1"/>
    <col min="10756" max="10756" width="21" style="1" customWidth="1"/>
    <col min="10757" max="10757" width="30.5703125" style="1" customWidth="1"/>
    <col min="10758" max="10758" width="31.140625" style="1" customWidth="1"/>
    <col min="10759" max="10759" width="18" style="1" customWidth="1"/>
    <col min="10760" max="11008" width="9.140625" style="1"/>
    <col min="11009" max="11009" width="13.140625" style="1" customWidth="1"/>
    <col min="11010" max="11010" width="115.5703125" style="1" customWidth="1"/>
    <col min="11011" max="11011" width="26" style="1" customWidth="1"/>
    <col min="11012" max="11012" width="21" style="1" customWidth="1"/>
    <col min="11013" max="11013" width="30.5703125" style="1" customWidth="1"/>
    <col min="11014" max="11014" width="31.140625" style="1" customWidth="1"/>
    <col min="11015" max="11015" width="18" style="1" customWidth="1"/>
    <col min="11016" max="11264" width="9.140625" style="1"/>
    <col min="11265" max="11265" width="13.140625" style="1" customWidth="1"/>
    <col min="11266" max="11266" width="115.5703125" style="1" customWidth="1"/>
    <col min="11267" max="11267" width="26" style="1" customWidth="1"/>
    <col min="11268" max="11268" width="21" style="1" customWidth="1"/>
    <col min="11269" max="11269" width="30.5703125" style="1" customWidth="1"/>
    <col min="11270" max="11270" width="31.140625" style="1" customWidth="1"/>
    <col min="11271" max="11271" width="18" style="1" customWidth="1"/>
    <col min="11272" max="11520" width="9.140625" style="1"/>
    <col min="11521" max="11521" width="13.140625" style="1" customWidth="1"/>
    <col min="11522" max="11522" width="115.5703125" style="1" customWidth="1"/>
    <col min="11523" max="11523" width="26" style="1" customWidth="1"/>
    <col min="11524" max="11524" width="21" style="1" customWidth="1"/>
    <col min="11525" max="11525" width="30.5703125" style="1" customWidth="1"/>
    <col min="11526" max="11526" width="31.140625" style="1" customWidth="1"/>
    <col min="11527" max="11527" width="18" style="1" customWidth="1"/>
    <col min="11528" max="11776" width="9.140625" style="1"/>
    <col min="11777" max="11777" width="13.140625" style="1" customWidth="1"/>
    <col min="11778" max="11778" width="115.5703125" style="1" customWidth="1"/>
    <col min="11779" max="11779" width="26" style="1" customWidth="1"/>
    <col min="11780" max="11780" width="21" style="1" customWidth="1"/>
    <col min="11781" max="11781" width="30.5703125" style="1" customWidth="1"/>
    <col min="11782" max="11782" width="31.140625" style="1" customWidth="1"/>
    <col min="11783" max="11783" width="18" style="1" customWidth="1"/>
    <col min="11784" max="12032" width="9.140625" style="1"/>
    <col min="12033" max="12033" width="13.140625" style="1" customWidth="1"/>
    <col min="12034" max="12034" width="115.5703125" style="1" customWidth="1"/>
    <col min="12035" max="12035" width="26" style="1" customWidth="1"/>
    <col min="12036" max="12036" width="21" style="1" customWidth="1"/>
    <col min="12037" max="12037" width="30.5703125" style="1" customWidth="1"/>
    <col min="12038" max="12038" width="31.140625" style="1" customWidth="1"/>
    <col min="12039" max="12039" width="18" style="1" customWidth="1"/>
    <col min="12040" max="12288" width="9.140625" style="1"/>
    <col min="12289" max="12289" width="13.140625" style="1" customWidth="1"/>
    <col min="12290" max="12290" width="115.5703125" style="1" customWidth="1"/>
    <col min="12291" max="12291" width="26" style="1" customWidth="1"/>
    <col min="12292" max="12292" width="21" style="1" customWidth="1"/>
    <col min="12293" max="12293" width="30.5703125" style="1" customWidth="1"/>
    <col min="12294" max="12294" width="31.140625" style="1" customWidth="1"/>
    <col min="12295" max="12295" width="18" style="1" customWidth="1"/>
    <col min="12296" max="12544" width="9.140625" style="1"/>
    <col min="12545" max="12545" width="13.140625" style="1" customWidth="1"/>
    <col min="12546" max="12546" width="115.5703125" style="1" customWidth="1"/>
    <col min="12547" max="12547" width="26" style="1" customWidth="1"/>
    <col min="12548" max="12548" width="21" style="1" customWidth="1"/>
    <col min="12549" max="12549" width="30.5703125" style="1" customWidth="1"/>
    <col min="12550" max="12550" width="31.140625" style="1" customWidth="1"/>
    <col min="12551" max="12551" width="18" style="1" customWidth="1"/>
    <col min="12552" max="12800" width="9.140625" style="1"/>
    <col min="12801" max="12801" width="13.140625" style="1" customWidth="1"/>
    <col min="12802" max="12802" width="115.5703125" style="1" customWidth="1"/>
    <col min="12803" max="12803" width="26" style="1" customWidth="1"/>
    <col min="12804" max="12804" width="21" style="1" customWidth="1"/>
    <col min="12805" max="12805" width="30.5703125" style="1" customWidth="1"/>
    <col min="12806" max="12806" width="31.140625" style="1" customWidth="1"/>
    <col min="12807" max="12807" width="18" style="1" customWidth="1"/>
    <col min="12808" max="13056" width="9.140625" style="1"/>
    <col min="13057" max="13057" width="13.140625" style="1" customWidth="1"/>
    <col min="13058" max="13058" width="115.5703125" style="1" customWidth="1"/>
    <col min="13059" max="13059" width="26" style="1" customWidth="1"/>
    <col min="13060" max="13060" width="21" style="1" customWidth="1"/>
    <col min="13061" max="13061" width="30.5703125" style="1" customWidth="1"/>
    <col min="13062" max="13062" width="31.140625" style="1" customWidth="1"/>
    <col min="13063" max="13063" width="18" style="1" customWidth="1"/>
    <col min="13064" max="13312" width="9.140625" style="1"/>
    <col min="13313" max="13313" width="13.140625" style="1" customWidth="1"/>
    <col min="13314" max="13314" width="115.5703125" style="1" customWidth="1"/>
    <col min="13315" max="13315" width="26" style="1" customWidth="1"/>
    <col min="13316" max="13316" width="21" style="1" customWidth="1"/>
    <col min="13317" max="13317" width="30.5703125" style="1" customWidth="1"/>
    <col min="13318" max="13318" width="31.140625" style="1" customWidth="1"/>
    <col min="13319" max="13319" width="18" style="1" customWidth="1"/>
    <col min="13320" max="13568" width="9.140625" style="1"/>
    <col min="13569" max="13569" width="13.140625" style="1" customWidth="1"/>
    <col min="13570" max="13570" width="115.5703125" style="1" customWidth="1"/>
    <col min="13571" max="13571" width="26" style="1" customWidth="1"/>
    <col min="13572" max="13572" width="21" style="1" customWidth="1"/>
    <col min="13573" max="13573" width="30.5703125" style="1" customWidth="1"/>
    <col min="13574" max="13574" width="31.140625" style="1" customWidth="1"/>
    <col min="13575" max="13575" width="18" style="1" customWidth="1"/>
    <col min="13576" max="13824" width="9.140625" style="1"/>
    <col min="13825" max="13825" width="13.140625" style="1" customWidth="1"/>
    <col min="13826" max="13826" width="115.5703125" style="1" customWidth="1"/>
    <col min="13827" max="13827" width="26" style="1" customWidth="1"/>
    <col min="13828" max="13828" width="21" style="1" customWidth="1"/>
    <col min="13829" max="13829" width="30.5703125" style="1" customWidth="1"/>
    <col min="13830" max="13830" width="31.140625" style="1" customWidth="1"/>
    <col min="13831" max="13831" width="18" style="1" customWidth="1"/>
    <col min="13832" max="14080" width="9.140625" style="1"/>
    <col min="14081" max="14081" width="13.140625" style="1" customWidth="1"/>
    <col min="14082" max="14082" width="115.5703125" style="1" customWidth="1"/>
    <col min="14083" max="14083" width="26" style="1" customWidth="1"/>
    <col min="14084" max="14084" width="21" style="1" customWidth="1"/>
    <col min="14085" max="14085" width="30.5703125" style="1" customWidth="1"/>
    <col min="14086" max="14086" width="31.140625" style="1" customWidth="1"/>
    <col min="14087" max="14087" width="18" style="1" customWidth="1"/>
    <col min="14088" max="14336" width="9.140625" style="1"/>
    <col min="14337" max="14337" width="13.140625" style="1" customWidth="1"/>
    <col min="14338" max="14338" width="115.5703125" style="1" customWidth="1"/>
    <col min="14339" max="14339" width="26" style="1" customWidth="1"/>
    <col min="14340" max="14340" width="21" style="1" customWidth="1"/>
    <col min="14341" max="14341" width="30.5703125" style="1" customWidth="1"/>
    <col min="14342" max="14342" width="31.140625" style="1" customWidth="1"/>
    <col min="14343" max="14343" width="18" style="1" customWidth="1"/>
    <col min="14344" max="14592" width="9.140625" style="1"/>
    <col min="14593" max="14593" width="13.140625" style="1" customWidth="1"/>
    <col min="14594" max="14594" width="115.5703125" style="1" customWidth="1"/>
    <col min="14595" max="14595" width="26" style="1" customWidth="1"/>
    <col min="14596" max="14596" width="21" style="1" customWidth="1"/>
    <col min="14597" max="14597" width="30.5703125" style="1" customWidth="1"/>
    <col min="14598" max="14598" width="31.140625" style="1" customWidth="1"/>
    <col min="14599" max="14599" width="18" style="1" customWidth="1"/>
    <col min="14600" max="14848" width="9.140625" style="1"/>
    <col min="14849" max="14849" width="13.140625" style="1" customWidth="1"/>
    <col min="14850" max="14850" width="115.5703125" style="1" customWidth="1"/>
    <col min="14851" max="14851" width="26" style="1" customWidth="1"/>
    <col min="14852" max="14852" width="21" style="1" customWidth="1"/>
    <col min="14853" max="14853" width="30.5703125" style="1" customWidth="1"/>
    <col min="14854" max="14854" width="31.140625" style="1" customWidth="1"/>
    <col min="14855" max="14855" width="18" style="1" customWidth="1"/>
    <col min="14856" max="15104" width="9.140625" style="1"/>
    <col min="15105" max="15105" width="13.140625" style="1" customWidth="1"/>
    <col min="15106" max="15106" width="115.5703125" style="1" customWidth="1"/>
    <col min="15107" max="15107" width="26" style="1" customWidth="1"/>
    <col min="15108" max="15108" width="21" style="1" customWidth="1"/>
    <col min="15109" max="15109" width="30.5703125" style="1" customWidth="1"/>
    <col min="15110" max="15110" width="31.140625" style="1" customWidth="1"/>
    <col min="15111" max="15111" width="18" style="1" customWidth="1"/>
    <col min="15112" max="15360" width="9.140625" style="1"/>
    <col min="15361" max="15361" width="13.140625" style="1" customWidth="1"/>
    <col min="15362" max="15362" width="115.5703125" style="1" customWidth="1"/>
    <col min="15363" max="15363" width="26" style="1" customWidth="1"/>
    <col min="15364" max="15364" width="21" style="1" customWidth="1"/>
    <col min="15365" max="15365" width="30.5703125" style="1" customWidth="1"/>
    <col min="15366" max="15366" width="31.140625" style="1" customWidth="1"/>
    <col min="15367" max="15367" width="18" style="1" customWidth="1"/>
    <col min="15368" max="15616" width="9.140625" style="1"/>
    <col min="15617" max="15617" width="13.140625" style="1" customWidth="1"/>
    <col min="15618" max="15618" width="115.5703125" style="1" customWidth="1"/>
    <col min="15619" max="15619" width="26" style="1" customWidth="1"/>
    <col min="15620" max="15620" width="21" style="1" customWidth="1"/>
    <col min="15621" max="15621" width="30.5703125" style="1" customWidth="1"/>
    <col min="15622" max="15622" width="31.140625" style="1" customWidth="1"/>
    <col min="15623" max="15623" width="18" style="1" customWidth="1"/>
    <col min="15624" max="15872" width="9.140625" style="1"/>
    <col min="15873" max="15873" width="13.140625" style="1" customWidth="1"/>
    <col min="15874" max="15874" width="115.5703125" style="1" customWidth="1"/>
    <col min="15875" max="15875" width="26" style="1" customWidth="1"/>
    <col min="15876" max="15876" width="21" style="1" customWidth="1"/>
    <col min="15877" max="15877" width="30.5703125" style="1" customWidth="1"/>
    <col min="15878" max="15878" width="31.140625" style="1" customWidth="1"/>
    <col min="15879" max="15879" width="18" style="1" customWidth="1"/>
    <col min="15880" max="16128" width="9.140625" style="1"/>
    <col min="16129" max="16129" width="13.140625" style="1" customWidth="1"/>
    <col min="16130" max="16130" width="115.5703125" style="1" customWidth="1"/>
    <col min="16131" max="16131" width="26" style="1" customWidth="1"/>
    <col min="16132" max="16132" width="21" style="1" customWidth="1"/>
    <col min="16133" max="16133" width="30.5703125" style="1" customWidth="1"/>
    <col min="16134" max="16134" width="31.140625" style="1" customWidth="1"/>
    <col min="16135" max="16135" width="18" style="1" customWidth="1"/>
    <col min="16136" max="16384" width="9.140625" style="1"/>
  </cols>
  <sheetData>
    <row r="2" spans="1:52" ht="24" customHeight="1" x14ac:dyDescent="0.25">
      <c r="A2" s="234" t="s">
        <v>341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</row>
    <row r="3" spans="1:52" ht="24" customHeight="1" x14ac:dyDescent="0.25">
      <c r="B3" s="2"/>
      <c r="C3" s="3"/>
    </row>
    <row r="4" spans="1:52" ht="24" customHeight="1" x14ac:dyDescent="0.25">
      <c r="A4" s="225" t="s">
        <v>329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</row>
    <row r="5" spans="1:52" ht="24" customHeight="1" thickBot="1" x14ac:dyDescent="0.3">
      <c r="A5" s="202"/>
      <c r="B5" s="202"/>
      <c r="C5" s="202"/>
      <c r="D5" s="202"/>
      <c r="E5" s="202"/>
      <c r="F5" s="202"/>
      <c r="G5" s="202"/>
    </row>
    <row r="6" spans="1:52" ht="180" customHeight="1" thickBot="1" x14ac:dyDescent="0.3">
      <c r="A6" s="228" t="s">
        <v>13</v>
      </c>
      <c r="B6" s="229"/>
      <c r="C6" s="229"/>
      <c r="D6" s="229"/>
      <c r="E6" s="229"/>
      <c r="F6" s="229"/>
      <c r="G6" s="230"/>
      <c r="H6" s="235" t="s">
        <v>14</v>
      </c>
      <c r="I6" s="236"/>
      <c r="J6" s="235" t="s">
        <v>15</v>
      </c>
      <c r="K6" s="236"/>
      <c r="L6" s="235" t="s">
        <v>16</v>
      </c>
      <c r="M6" s="236"/>
      <c r="N6" s="6" t="s">
        <v>17</v>
      </c>
      <c r="O6" s="7" t="s">
        <v>18</v>
      </c>
      <c r="P6" s="7" t="s">
        <v>19</v>
      </c>
    </row>
    <row r="7" spans="1:52" ht="60.75" customHeight="1" thickBot="1" x14ac:dyDescent="0.3">
      <c r="A7" s="228" t="s">
        <v>20</v>
      </c>
      <c r="B7" s="229"/>
      <c r="C7" s="229"/>
      <c r="D7" s="168" t="s">
        <v>21</v>
      </c>
      <c r="E7" s="169" t="s">
        <v>22</v>
      </c>
      <c r="F7" s="170" t="s">
        <v>23</v>
      </c>
      <c r="G7" s="171" t="s">
        <v>24</v>
      </c>
      <c r="H7" s="204" t="s">
        <v>22</v>
      </c>
      <c r="I7" s="172" t="s">
        <v>25</v>
      </c>
      <c r="J7" s="205" t="s">
        <v>22</v>
      </c>
      <c r="K7" s="173" t="s">
        <v>24</v>
      </c>
      <c r="L7" s="205" t="s">
        <v>22</v>
      </c>
      <c r="M7" s="172" t="s">
        <v>25</v>
      </c>
      <c r="N7" s="6" t="s">
        <v>24</v>
      </c>
      <c r="O7" s="7" t="s">
        <v>24</v>
      </c>
      <c r="P7" s="7" t="s">
        <v>24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</row>
    <row r="8" spans="1:52" s="203" customFormat="1" ht="24" customHeight="1" thickBot="1" x14ac:dyDescent="0.3">
      <c r="A8" s="125" t="s">
        <v>11</v>
      </c>
      <c r="B8" s="174"/>
      <c r="C8" s="175"/>
      <c r="D8" s="176">
        <v>2</v>
      </c>
      <c r="E8" s="177">
        <v>3</v>
      </c>
      <c r="F8" s="168">
        <v>4</v>
      </c>
      <c r="G8" s="178">
        <v>5</v>
      </c>
      <c r="H8" s="89">
        <v>6</v>
      </c>
      <c r="I8" s="88">
        <v>7</v>
      </c>
      <c r="J8" s="89">
        <v>8</v>
      </c>
      <c r="K8" s="88">
        <v>9</v>
      </c>
      <c r="L8" s="89">
        <v>10</v>
      </c>
      <c r="M8" s="88">
        <v>11</v>
      </c>
      <c r="N8" s="7">
        <v>12</v>
      </c>
      <c r="O8" s="6">
        <v>13</v>
      </c>
      <c r="P8" s="7">
        <v>14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</row>
    <row r="9" spans="1:52" ht="54.75" customHeight="1" x14ac:dyDescent="0.25">
      <c r="A9" s="9" t="s">
        <v>0</v>
      </c>
      <c r="B9" s="10" t="s">
        <v>26</v>
      </c>
      <c r="C9" s="11" t="s">
        <v>27</v>
      </c>
      <c r="D9" s="12"/>
      <c r="E9" s="12"/>
      <c r="F9" s="13"/>
      <c r="G9" s="14"/>
      <c r="H9" s="15"/>
      <c r="I9" s="16"/>
      <c r="J9" s="17"/>
      <c r="K9" s="18"/>
      <c r="L9" s="19"/>
      <c r="M9" s="18"/>
      <c r="N9" s="20"/>
      <c r="P9" s="20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52" x14ac:dyDescent="0.25">
      <c r="A10" s="21" t="s">
        <v>1</v>
      </c>
      <c r="B10" s="237" t="s">
        <v>28</v>
      </c>
      <c r="C10" s="22" t="s">
        <v>29</v>
      </c>
      <c r="D10" s="23"/>
      <c r="E10" s="23"/>
      <c r="F10" s="24"/>
      <c r="G10" s="25"/>
      <c r="H10" s="15"/>
      <c r="I10" s="26"/>
      <c r="J10" s="27"/>
      <c r="K10" s="28"/>
      <c r="L10" s="29"/>
      <c r="M10" s="28"/>
      <c r="N10" s="20"/>
      <c r="P10" s="20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52" ht="36" x14ac:dyDescent="0.25">
      <c r="A11" s="21" t="s">
        <v>2</v>
      </c>
      <c r="B11" s="237"/>
      <c r="C11" s="30" t="s">
        <v>30</v>
      </c>
      <c r="D11" s="31" t="s">
        <v>31</v>
      </c>
      <c r="E11" s="32">
        <v>250.71</v>
      </c>
      <c r="F11" s="32" t="s">
        <v>338</v>
      </c>
      <c r="G11" s="33">
        <f>E11*4580000</f>
        <v>1148251800</v>
      </c>
      <c r="H11" s="34">
        <v>250.71</v>
      </c>
      <c r="I11" s="35">
        <f>H11*4580000</f>
        <v>1148251800</v>
      </c>
      <c r="J11" s="36">
        <v>250.71</v>
      </c>
      <c r="K11" s="35">
        <v>1148251800</v>
      </c>
      <c r="L11" s="37">
        <v>250.71</v>
      </c>
      <c r="M11" s="35">
        <v>1148251800</v>
      </c>
      <c r="N11" s="38">
        <f>M11-K11</f>
        <v>0</v>
      </c>
      <c r="O11" s="39">
        <v>1148251800</v>
      </c>
      <c r="P11" s="38">
        <f>O11-M11+N11</f>
        <v>0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</row>
    <row r="12" spans="1:52" ht="40.5" customHeight="1" x14ac:dyDescent="0.25">
      <c r="A12" s="21" t="s">
        <v>3</v>
      </c>
      <c r="B12" s="238"/>
      <c r="C12" s="40" t="s">
        <v>268</v>
      </c>
      <c r="D12" s="41"/>
      <c r="E12" s="42"/>
      <c r="F12" s="43"/>
      <c r="G12" s="44">
        <v>0</v>
      </c>
      <c r="H12" s="15"/>
      <c r="I12" s="26">
        <v>0</v>
      </c>
      <c r="J12" s="45"/>
      <c r="K12" s="28">
        <v>0</v>
      </c>
      <c r="L12" s="15"/>
      <c r="M12" s="46">
        <v>0</v>
      </c>
      <c r="N12" s="38">
        <f t="shared" ref="N12:N33" si="0">M12-K12</f>
        <v>0</v>
      </c>
      <c r="P12" s="38">
        <f t="shared" ref="P12:P33" si="1">O12-M12+N12</f>
        <v>0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</row>
    <row r="13" spans="1:52" ht="36" x14ac:dyDescent="0.25">
      <c r="A13" s="21" t="s">
        <v>4</v>
      </c>
      <c r="B13" s="239" t="s">
        <v>32</v>
      </c>
      <c r="C13" s="47" t="s">
        <v>33</v>
      </c>
      <c r="D13" s="41"/>
      <c r="E13" s="42"/>
      <c r="F13" s="43"/>
      <c r="G13" s="48">
        <f>SUM(G15+G17+G19+G21)</f>
        <v>705020280</v>
      </c>
      <c r="H13" s="34"/>
      <c r="I13" s="35">
        <v>705020280</v>
      </c>
      <c r="J13" s="37"/>
      <c r="K13" s="35">
        <v>705020280</v>
      </c>
      <c r="L13" s="49"/>
      <c r="M13" s="50">
        <v>705020280</v>
      </c>
      <c r="N13" s="38">
        <f t="shared" si="0"/>
        <v>0</v>
      </c>
      <c r="O13" s="39">
        <v>705020280</v>
      </c>
      <c r="P13" s="38">
        <f t="shared" si="1"/>
        <v>0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</row>
    <row r="14" spans="1:52" ht="24" customHeight="1" x14ac:dyDescent="0.25">
      <c r="A14" s="21" t="s">
        <v>5</v>
      </c>
      <c r="B14" s="238"/>
      <c r="C14" s="30" t="s">
        <v>34</v>
      </c>
      <c r="D14" s="51"/>
      <c r="E14" s="52"/>
      <c r="F14" s="53"/>
      <c r="G14" s="46">
        <v>0</v>
      </c>
      <c r="H14" s="15"/>
      <c r="I14" s="26">
        <v>0</v>
      </c>
      <c r="J14" s="45"/>
      <c r="K14" s="28">
        <v>0</v>
      </c>
      <c r="L14" s="15"/>
      <c r="M14" s="46">
        <v>0</v>
      </c>
      <c r="N14" s="38">
        <f t="shared" si="0"/>
        <v>0</v>
      </c>
      <c r="P14" s="38">
        <f t="shared" si="1"/>
        <v>0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</row>
    <row r="15" spans="1:52" ht="36" x14ac:dyDescent="0.25">
      <c r="A15" s="21" t="s">
        <v>6</v>
      </c>
      <c r="B15" s="239" t="s">
        <v>35</v>
      </c>
      <c r="C15" s="22" t="s">
        <v>36</v>
      </c>
      <c r="D15" s="54" t="s">
        <v>37</v>
      </c>
      <c r="E15" s="55">
        <f>G15/22300</f>
        <v>5421.6</v>
      </c>
      <c r="F15" s="56" t="s">
        <v>38</v>
      </c>
      <c r="G15" s="57">
        <v>120901680</v>
      </c>
      <c r="H15" s="34">
        <v>5421.6</v>
      </c>
      <c r="I15" s="33">
        <v>120901680</v>
      </c>
      <c r="J15" s="34">
        <v>5421.6</v>
      </c>
      <c r="K15" s="35">
        <v>120901680</v>
      </c>
      <c r="L15" s="37">
        <v>5421.6</v>
      </c>
      <c r="M15" s="35">
        <v>120901680</v>
      </c>
      <c r="N15" s="38">
        <f t="shared" si="0"/>
        <v>0</v>
      </c>
      <c r="O15" s="39">
        <v>120901680</v>
      </c>
      <c r="P15" s="38">
        <f t="shared" si="1"/>
        <v>0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</row>
    <row r="16" spans="1:52" ht="36" x14ac:dyDescent="0.25">
      <c r="A16" s="21" t="s">
        <v>7</v>
      </c>
      <c r="B16" s="238"/>
      <c r="C16" s="30" t="s">
        <v>39</v>
      </c>
      <c r="D16" s="58"/>
      <c r="E16" s="59"/>
      <c r="F16" s="53"/>
      <c r="G16" s="46">
        <v>0</v>
      </c>
      <c r="H16" s="15"/>
      <c r="I16" s="26">
        <v>0</v>
      </c>
      <c r="J16" s="45"/>
      <c r="K16" s="28">
        <v>0</v>
      </c>
      <c r="L16" s="15"/>
      <c r="M16" s="28">
        <v>0</v>
      </c>
      <c r="N16" s="38">
        <f t="shared" si="0"/>
        <v>0</v>
      </c>
      <c r="P16" s="38">
        <f t="shared" si="1"/>
        <v>0</v>
      </c>
      <c r="Q16" s="15"/>
      <c r="R16" s="29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</row>
    <row r="17" spans="1:52" ht="24" customHeight="1" x14ac:dyDescent="0.25">
      <c r="A17" s="21" t="s">
        <v>8</v>
      </c>
      <c r="B17" s="239" t="s">
        <v>40</v>
      </c>
      <c r="C17" s="30" t="s">
        <v>41</v>
      </c>
      <c r="D17" s="31" t="s">
        <v>42</v>
      </c>
      <c r="E17" s="60">
        <f>G17/415000</f>
        <v>810</v>
      </c>
      <c r="F17" s="56" t="s">
        <v>43</v>
      </c>
      <c r="G17" s="33">
        <v>336150000</v>
      </c>
      <c r="H17" s="34">
        <v>810</v>
      </c>
      <c r="I17" s="33">
        <v>336150000</v>
      </c>
      <c r="J17" s="34">
        <v>810</v>
      </c>
      <c r="K17" s="35">
        <v>336150000</v>
      </c>
      <c r="L17" s="37">
        <v>810</v>
      </c>
      <c r="M17" s="35">
        <v>336150000</v>
      </c>
      <c r="N17" s="38">
        <f t="shared" si="0"/>
        <v>0</v>
      </c>
      <c r="O17" s="39">
        <v>336150000</v>
      </c>
      <c r="P17" s="38">
        <f t="shared" si="1"/>
        <v>0</v>
      </c>
      <c r="Q17" s="15"/>
      <c r="R17" s="29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1:52" x14ac:dyDescent="0.25">
      <c r="A18" s="21" t="s">
        <v>9</v>
      </c>
      <c r="B18" s="238"/>
      <c r="C18" s="30" t="s">
        <v>44</v>
      </c>
      <c r="D18" s="23" t="s">
        <v>45</v>
      </c>
      <c r="E18" s="59"/>
      <c r="F18" s="61"/>
      <c r="G18" s="46">
        <v>0</v>
      </c>
      <c r="H18" s="15"/>
      <c r="I18" s="26">
        <v>0</v>
      </c>
      <c r="J18" s="45"/>
      <c r="K18" s="62">
        <v>0</v>
      </c>
      <c r="L18" s="15"/>
      <c r="M18" s="44">
        <v>0</v>
      </c>
      <c r="N18" s="38">
        <f t="shared" si="0"/>
        <v>0</v>
      </c>
      <c r="O18" s="5">
        <v>0</v>
      </c>
      <c r="P18" s="38">
        <f t="shared" si="1"/>
        <v>0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1:52" ht="21" x14ac:dyDescent="0.25">
      <c r="A19" s="21" t="s">
        <v>10</v>
      </c>
      <c r="B19" s="239" t="s">
        <v>46</v>
      </c>
      <c r="C19" s="30" t="s">
        <v>47</v>
      </c>
      <c r="D19" s="31" t="s">
        <v>330</v>
      </c>
      <c r="E19" s="60">
        <f>G19/70</f>
        <v>1428.5714285714287</v>
      </c>
      <c r="F19" s="56" t="s">
        <v>331</v>
      </c>
      <c r="G19" s="33">
        <v>100000</v>
      </c>
      <c r="H19" s="34">
        <v>1428.6</v>
      </c>
      <c r="I19" s="33">
        <v>100000</v>
      </c>
      <c r="J19" s="34">
        <v>1428.6</v>
      </c>
      <c r="K19" s="35">
        <v>100000</v>
      </c>
      <c r="L19" s="37">
        <v>1428.6</v>
      </c>
      <c r="M19" s="35">
        <v>100000</v>
      </c>
      <c r="N19" s="38">
        <f t="shared" si="0"/>
        <v>0</v>
      </c>
      <c r="O19" s="39">
        <v>100000</v>
      </c>
      <c r="P19" s="38">
        <f t="shared" si="1"/>
        <v>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1:52" ht="36" x14ac:dyDescent="0.25">
      <c r="A20" s="21" t="s">
        <v>12</v>
      </c>
      <c r="B20" s="238"/>
      <c r="C20" s="30" t="s">
        <v>48</v>
      </c>
      <c r="D20" s="23"/>
      <c r="E20" s="59"/>
      <c r="F20" s="53"/>
      <c r="G20" s="46">
        <v>0</v>
      </c>
      <c r="H20" s="15"/>
      <c r="I20" s="44">
        <v>0</v>
      </c>
      <c r="J20" s="49"/>
      <c r="K20" s="28">
        <v>0</v>
      </c>
      <c r="L20" s="15"/>
      <c r="M20" s="28">
        <v>0</v>
      </c>
      <c r="N20" s="38">
        <f t="shared" si="0"/>
        <v>0</v>
      </c>
      <c r="O20" s="5">
        <v>0</v>
      </c>
      <c r="P20" s="38">
        <f t="shared" si="1"/>
        <v>0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</row>
    <row r="21" spans="1:52" ht="39.75" customHeight="1" x14ac:dyDescent="0.25">
      <c r="A21" s="21" t="s">
        <v>254</v>
      </c>
      <c r="B21" s="239" t="s">
        <v>49</v>
      </c>
      <c r="C21" s="30" t="s">
        <v>50</v>
      </c>
      <c r="D21" s="31" t="s">
        <v>42</v>
      </c>
      <c r="E21" s="63">
        <f>G21/470000</f>
        <v>527.38</v>
      </c>
      <c r="F21" s="64" t="s">
        <v>51</v>
      </c>
      <c r="G21" s="33">
        <v>247868600</v>
      </c>
      <c r="H21" s="34">
        <v>527.38</v>
      </c>
      <c r="I21" s="46">
        <v>247868600</v>
      </c>
      <c r="J21" s="37">
        <v>527.38</v>
      </c>
      <c r="K21" s="35">
        <v>247868600</v>
      </c>
      <c r="L21" s="37">
        <v>527.38</v>
      </c>
      <c r="M21" s="35">
        <v>247868600</v>
      </c>
      <c r="N21" s="38">
        <f t="shared" si="0"/>
        <v>0</v>
      </c>
      <c r="O21" s="39">
        <v>247868600</v>
      </c>
      <c r="P21" s="38">
        <f t="shared" si="1"/>
        <v>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</row>
    <row r="22" spans="1:52" x14ac:dyDescent="0.25">
      <c r="A22" s="21" t="s">
        <v>255</v>
      </c>
      <c r="B22" s="238"/>
      <c r="C22" s="30" t="s">
        <v>52</v>
      </c>
      <c r="D22" s="23" t="s">
        <v>45</v>
      </c>
      <c r="E22" s="59"/>
      <c r="F22" s="53"/>
      <c r="G22" s="46">
        <v>0</v>
      </c>
      <c r="H22" s="15"/>
      <c r="I22" s="28">
        <v>0</v>
      </c>
      <c r="J22" s="49"/>
      <c r="K22" s="28">
        <v>0</v>
      </c>
      <c r="L22" s="15"/>
      <c r="M22" s="28">
        <v>0</v>
      </c>
      <c r="N22" s="38">
        <f t="shared" si="0"/>
        <v>0</v>
      </c>
      <c r="O22" s="5">
        <v>0</v>
      </c>
      <c r="P22" s="38">
        <f t="shared" si="1"/>
        <v>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</row>
    <row r="23" spans="1:52" ht="24.75" customHeight="1" x14ac:dyDescent="0.25">
      <c r="A23" s="21" t="s">
        <v>256</v>
      </c>
      <c r="B23" s="239" t="s">
        <v>53</v>
      </c>
      <c r="C23" s="30" t="s">
        <v>54</v>
      </c>
      <c r="D23" s="31" t="s">
        <v>31</v>
      </c>
      <c r="E23" s="56">
        <v>162251</v>
      </c>
      <c r="F23" s="56" t="s">
        <v>55</v>
      </c>
      <c r="G23" s="35">
        <f>E23*2700</f>
        <v>438077700</v>
      </c>
      <c r="H23" s="37">
        <v>162251</v>
      </c>
      <c r="I23" s="35">
        <v>438077700</v>
      </c>
      <c r="J23" s="37">
        <v>162251</v>
      </c>
      <c r="K23" s="35">
        <v>438077700</v>
      </c>
      <c r="L23" s="37">
        <v>162251</v>
      </c>
      <c r="M23" s="35">
        <v>438077700</v>
      </c>
      <c r="N23" s="38">
        <f t="shared" si="0"/>
        <v>0</v>
      </c>
      <c r="O23" s="39">
        <v>438077700</v>
      </c>
      <c r="P23" s="38">
        <f t="shared" si="1"/>
        <v>0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1:52" ht="36" x14ac:dyDescent="0.25">
      <c r="A24" s="21" t="s">
        <v>257</v>
      </c>
      <c r="B24" s="238"/>
      <c r="C24" s="30" t="s">
        <v>56</v>
      </c>
      <c r="D24" s="31"/>
      <c r="E24" s="65"/>
      <c r="F24" s="66"/>
      <c r="G24" s="46">
        <v>0</v>
      </c>
      <c r="H24" s="15"/>
      <c r="I24" s="28">
        <v>0</v>
      </c>
      <c r="J24" s="49"/>
      <c r="K24" s="28">
        <v>0</v>
      </c>
      <c r="L24" s="15"/>
      <c r="M24" s="28">
        <v>0</v>
      </c>
      <c r="N24" s="38">
        <f t="shared" si="0"/>
        <v>0</v>
      </c>
      <c r="O24" s="5">
        <v>0</v>
      </c>
      <c r="P24" s="38">
        <f t="shared" si="1"/>
        <v>0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1:52" ht="36.75" customHeight="1" x14ac:dyDescent="0.25">
      <c r="A25" s="21" t="s">
        <v>258</v>
      </c>
      <c r="B25" s="239" t="s">
        <v>57</v>
      </c>
      <c r="C25" s="47" t="s">
        <v>58</v>
      </c>
      <c r="D25" s="31" t="s">
        <v>59</v>
      </c>
      <c r="E25" s="67">
        <f>G25/2550</f>
        <v>5149</v>
      </c>
      <c r="F25" s="68" t="s">
        <v>60</v>
      </c>
      <c r="G25" s="35">
        <v>13129950</v>
      </c>
      <c r="H25" s="37">
        <v>5149</v>
      </c>
      <c r="I25" s="35">
        <v>13129950</v>
      </c>
      <c r="J25" s="37">
        <v>5149</v>
      </c>
      <c r="K25" s="35">
        <v>13129950</v>
      </c>
      <c r="L25" s="37">
        <v>5149</v>
      </c>
      <c r="M25" s="35">
        <v>13129950</v>
      </c>
      <c r="N25" s="38">
        <f t="shared" si="0"/>
        <v>0</v>
      </c>
      <c r="O25" s="39">
        <v>13129950</v>
      </c>
      <c r="P25" s="38">
        <f t="shared" si="1"/>
        <v>0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1:52" ht="36" x14ac:dyDescent="0.25">
      <c r="A26" s="21" t="s">
        <v>259</v>
      </c>
      <c r="B26" s="238"/>
      <c r="C26" s="47" t="s">
        <v>61</v>
      </c>
      <c r="D26" s="51"/>
      <c r="E26" s="52"/>
      <c r="F26" s="53"/>
      <c r="G26" s="46">
        <v>0</v>
      </c>
      <c r="H26" s="15"/>
      <c r="I26" s="28">
        <v>0</v>
      </c>
      <c r="J26" s="49"/>
      <c r="K26" s="28">
        <v>0</v>
      </c>
      <c r="L26" s="15"/>
      <c r="M26" s="28">
        <v>0</v>
      </c>
      <c r="N26" s="38">
        <f t="shared" si="0"/>
        <v>0</v>
      </c>
      <c r="O26" s="5">
        <v>0</v>
      </c>
      <c r="P26" s="38">
        <f t="shared" si="1"/>
        <v>0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1:52" ht="59.25" customHeight="1" x14ac:dyDescent="0.25">
      <c r="A27" s="21" t="s">
        <v>260</v>
      </c>
      <c r="B27" s="239" t="s">
        <v>62</v>
      </c>
      <c r="C27" s="47" t="s">
        <v>63</v>
      </c>
      <c r="D27" s="69" t="s">
        <v>64</v>
      </c>
      <c r="E27" s="70"/>
      <c r="F27" s="68" t="s">
        <v>170</v>
      </c>
      <c r="G27" s="46">
        <v>125528000</v>
      </c>
      <c r="H27" s="37"/>
      <c r="I27" s="35">
        <v>125528000</v>
      </c>
      <c r="J27" s="37"/>
      <c r="K27" s="35">
        <v>125528000</v>
      </c>
      <c r="L27" s="37"/>
      <c r="M27" s="35">
        <v>125528000</v>
      </c>
      <c r="N27" s="38">
        <f t="shared" si="0"/>
        <v>0</v>
      </c>
      <c r="O27" s="39">
        <v>125528000</v>
      </c>
      <c r="P27" s="38">
        <f t="shared" si="1"/>
        <v>0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</row>
    <row r="28" spans="1:52" ht="24" customHeight="1" x14ac:dyDescent="0.25">
      <c r="A28" s="21" t="s">
        <v>261</v>
      </c>
      <c r="B28" s="237"/>
      <c r="C28" s="30" t="s">
        <v>65</v>
      </c>
      <c r="D28" s="41"/>
      <c r="E28" s="42"/>
      <c r="F28" s="43"/>
      <c r="G28" s="44">
        <v>0</v>
      </c>
      <c r="H28" s="15"/>
      <c r="I28" s="46">
        <v>0</v>
      </c>
      <c r="J28" s="15"/>
      <c r="K28" s="28">
        <v>0</v>
      </c>
      <c r="L28" s="15"/>
      <c r="M28" s="28">
        <v>0</v>
      </c>
      <c r="N28" s="38">
        <f t="shared" si="0"/>
        <v>0</v>
      </c>
      <c r="P28" s="38">
        <f t="shared" si="1"/>
        <v>0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</row>
    <row r="29" spans="1:52" ht="28.5" customHeight="1" x14ac:dyDescent="0.25">
      <c r="A29" s="21" t="s">
        <v>262</v>
      </c>
      <c r="B29" s="71" t="s">
        <v>171</v>
      </c>
      <c r="C29" s="47" t="s">
        <v>66</v>
      </c>
      <c r="D29" s="69"/>
      <c r="E29" s="72"/>
      <c r="F29" s="68"/>
      <c r="G29" s="44">
        <v>2441174219</v>
      </c>
      <c r="H29" s="37"/>
      <c r="I29" s="35">
        <v>2441174219</v>
      </c>
      <c r="J29" s="37"/>
      <c r="K29" s="35">
        <v>2441174219</v>
      </c>
      <c r="L29" s="37"/>
      <c r="M29" s="35">
        <v>2441174219</v>
      </c>
      <c r="N29" s="38">
        <f t="shared" si="0"/>
        <v>0</v>
      </c>
      <c r="O29" s="39">
        <v>2441174219</v>
      </c>
      <c r="P29" s="38">
        <f t="shared" si="1"/>
        <v>0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</row>
    <row r="30" spans="1:52" ht="25.5" customHeight="1" x14ac:dyDescent="0.25">
      <c r="A30" s="21" t="s">
        <v>263</v>
      </c>
      <c r="B30" s="206" t="s">
        <v>172</v>
      </c>
      <c r="C30" s="47" t="s">
        <v>173</v>
      </c>
      <c r="D30" s="69"/>
      <c r="E30" s="72"/>
      <c r="F30" s="73"/>
      <c r="G30" s="74">
        <f>G29-G27-G25-G23-G13-G11</f>
        <v>11166489</v>
      </c>
      <c r="H30" s="37"/>
      <c r="I30" s="35">
        <v>11166489</v>
      </c>
      <c r="J30" s="49"/>
      <c r="K30" s="35">
        <v>11166489</v>
      </c>
      <c r="L30" s="37"/>
      <c r="M30" s="35">
        <v>11166489</v>
      </c>
      <c r="N30" s="38">
        <f t="shared" si="0"/>
        <v>0</v>
      </c>
      <c r="O30" s="39">
        <v>11166489</v>
      </c>
      <c r="P30" s="38">
        <f t="shared" si="1"/>
        <v>0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1:52" ht="30" customHeight="1" x14ac:dyDescent="0.25">
      <c r="A31" s="75" t="s">
        <v>264</v>
      </c>
      <c r="B31" s="76" t="s">
        <v>174</v>
      </c>
      <c r="C31" s="30" t="s">
        <v>175</v>
      </c>
      <c r="D31" s="69"/>
      <c r="E31" s="72"/>
      <c r="F31" s="77"/>
      <c r="G31" s="35">
        <f>G30*0.45</f>
        <v>5024920.05</v>
      </c>
      <c r="H31" s="37"/>
      <c r="I31" s="35">
        <v>5024920</v>
      </c>
      <c r="J31" s="37"/>
      <c r="K31" s="35">
        <v>5024920</v>
      </c>
      <c r="L31" s="37"/>
      <c r="M31" s="35">
        <v>5024920</v>
      </c>
      <c r="N31" s="38">
        <f t="shared" si="0"/>
        <v>0</v>
      </c>
      <c r="O31" s="39">
        <v>5024920</v>
      </c>
      <c r="P31" s="38">
        <f t="shared" si="1"/>
        <v>0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</row>
    <row r="32" spans="1:52" ht="36.75" thickBot="1" x14ac:dyDescent="0.3">
      <c r="A32" s="75" t="s">
        <v>265</v>
      </c>
      <c r="B32" s="78" t="s">
        <v>67</v>
      </c>
      <c r="C32" s="79" t="s">
        <v>68</v>
      </c>
      <c r="D32" s="80" t="s">
        <v>332</v>
      </c>
      <c r="E32" s="67">
        <v>23700</v>
      </c>
      <c r="F32" s="73" t="s">
        <v>333</v>
      </c>
      <c r="G32" s="74">
        <f>E32*100</f>
        <v>2370000</v>
      </c>
      <c r="H32" s="81">
        <v>23700</v>
      </c>
      <c r="I32" s="82">
        <v>2370000</v>
      </c>
      <c r="J32" s="83">
        <v>23700</v>
      </c>
      <c r="K32" s="74">
        <v>2370000</v>
      </c>
      <c r="L32" s="81">
        <v>22779</v>
      </c>
      <c r="M32" s="74">
        <v>2277900</v>
      </c>
      <c r="N32" s="84">
        <f t="shared" si="0"/>
        <v>-92100</v>
      </c>
      <c r="O32" s="48">
        <v>2034140</v>
      </c>
      <c r="P32" s="84">
        <f t="shared" si="1"/>
        <v>-335860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</row>
    <row r="33" spans="1:52" ht="36.75" thickBot="1" x14ac:dyDescent="0.3">
      <c r="A33" s="208" t="s">
        <v>266</v>
      </c>
      <c r="B33" s="10" t="s">
        <v>26</v>
      </c>
      <c r="C33" s="209" t="s">
        <v>69</v>
      </c>
      <c r="D33" s="210"/>
      <c r="E33" s="211"/>
      <c r="F33" s="212"/>
      <c r="G33" s="213">
        <f>SUM(G12,G14,G16,G18,G20,G22,G24,G26,G28,G32,)</f>
        <v>2370000</v>
      </c>
      <c r="H33" s="214"/>
      <c r="I33" s="213">
        <f t="shared" ref="I33" si="2">SUM(I12,I14,I16,I18,I20,I22,I24,I26,I28,I32,)</f>
        <v>2370000</v>
      </c>
      <c r="J33" s="215"/>
      <c r="K33" s="213">
        <f t="shared" ref="K33" si="3">SUM(K12,K14,K16,K18,K20,K22,K24,K26,K28,K32,)</f>
        <v>2370000</v>
      </c>
      <c r="L33" s="215"/>
      <c r="M33" s="213">
        <f t="shared" ref="M33" si="4">SUM(M12,M14,M16,M18,M20,M22,M24,M26,M28,M32,)</f>
        <v>2277900</v>
      </c>
      <c r="N33" s="216">
        <f t="shared" si="0"/>
        <v>-92100</v>
      </c>
      <c r="O33" s="217">
        <v>2034140</v>
      </c>
      <c r="P33" s="216">
        <f t="shared" si="1"/>
        <v>-335860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</row>
    <row r="34" spans="1:52" x14ac:dyDescent="0.25">
      <c r="A34" s="12"/>
      <c r="B34" s="223"/>
      <c r="C34" s="209"/>
      <c r="D34" s="12"/>
      <c r="E34" s="211"/>
      <c r="F34" s="212"/>
      <c r="G34" s="217"/>
      <c r="H34" s="217"/>
      <c r="I34" s="217"/>
      <c r="J34" s="217"/>
      <c r="K34" s="217"/>
      <c r="L34" s="217"/>
      <c r="M34" s="217"/>
      <c r="N34" s="16"/>
      <c r="O34" s="16"/>
      <c r="P34" s="16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</row>
    <row r="35" spans="1:52" ht="24" customHeight="1" x14ac:dyDescent="0.25">
      <c r="A35" s="243"/>
      <c r="B35" s="243"/>
      <c r="C35" s="243"/>
      <c r="D35" s="243"/>
      <c r="E35" s="243"/>
      <c r="F35" s="243"/>
      <c r="G35" s="243"/>
      <c r="H35" s="29"/>
      <c r="I35" s="26"/>
      <c r="J35" s="29"/>
      <c r="K35" s="26"/>
      <c r="L35" s="29"/>
      <c r="M35" s="26"/>
      <c r="N35" s="26"/>
      <c r="O35" s="26"/>
      <c r="P35" s="26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</row>
    <row r="36" spans="1:52" ht="24" customHeight="1" x14ac:dyDescent="0.25">
      <c r="A36" s="219"/>
      <c r="B36" s="219"/>
      <c r="C36" s="219"/>
      <c r="D36" s="219"/>
      <c r="E36" s="219"/>
      <c r="F36" s="219"/>
      <c r="G36" s="219"/>
      <c r="H36" s="29"/>
      <c r="I36" s="26"/>
      <c r="J36" s="29"/>
      <c r="K36" s="26"/>
      <c r="L36" s="29"/>
      <c r="M36" s="26"/>
      <c r="N36" s="26"/>
      <c r="O36" s="26"/>
      <c r="P36" s="26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1:52" ht="24" customHeight="1" x14ac:dyDescent="0.25">
      <c r="A37" s="219"/>
      <c r="B37" s="219"/>
      <c r="C37" s="219"/>
      <c r="D37" s="219"/>
      <c r="E37" s="219"/>
      <c r="F37" s="219"/>
      <c r="G37" s="219"/>
      <c r="H37" s="29"/>
      <c r="I37" s="26"/>
      <c r="J37" s="29"/>
      <c r="K37" s="26"/>
      <c r="L37" s="29"/>
      <c r="M37" s="26"/>
      <c r="N37" s="26"/>
      <c r="O37" s="26"/>
      <c r="P37" s="26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</row>
    <row r="38" spans="1:52" ht="24" customHeight="1" x14ac:dyDescent="0.25">
      <c r="A38" s="226" t="s">
        <v>329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</row>
    <row r="39" spans="1:52" ht="24" customHeight="1" thickBot="1" x14ac:dyDescent="0.3">
      <c r="A39" s="220"/>
      <c r="B39" s="221"/>
      <c r="C39" s="221"/>
      <c r="D39" s="221"/>
      <c r="E39" s="221"/>
      <c r="F39" s="221"/>
      <c r="G39" s="221"/>
      <c r="H39" s="222"/>
      <c r="I39" s="196"/>
      <c r="J39" s="222"/>
      <c r="K39" s="196"/>
      <c r="L39" s="222"/>
      <c r="M39" s="196"/>
      <c r="N39" s="196"/>
      <c r="O39" s="196"/>
      <c r="P39" s="196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</row>
    <row r="40" spans="1:52" ht="135" customHeight="1" thickBot="1" x14ac:dyDescent="0.3">
      <c r="A40" s="240" t="s">
        <v>13</v>
      </c>
      <c r="B40" s="241"/>
      <c r="C40" s="241"/>
      <c r="D40" s="241"/>
      <c r="E40" s="241"/>
      <c r="F40" s="241"/>
      <c r="G40" s="242"/>
      <c r="H40" s="231" t="s">
        <v>14</v>
      </c>
      <c r="I40" s="232"/>
      <c r="J40" s="231" t="s">
        <v>15</v>
      </c>
      <c r="K40" s="232"/>
      <c r="L40" s="231" t="s">
        <v>16</v>
      </c>
      <c r="M40" s="233"/>
      <c r="N40" s="218" t="s">
        <v>17</v>
      </c>
      <c r="O40" s="218" t="s">
        <v>18</v>
      </c>
      <c r="P40" s="218" t="s">
        <v>19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</row>
    <row r="41" spans="1:52" ht="60.75" customHeight="1" thickBot="1" x14ac:dyDescent="0.3">
      <c r="A41" s="228" t="s">
        <v>20</v>
      </c>
      <c r="B41" s="229"/>
      <c r="C41" s="229"/>
      <c r="D41" s="168" t="s">
        <v>21</v>
      </c>
      <c r="E41" s="169" t="s">
        <v>22</v>
      </c>
      <c r="F41" s="170" t="s">
        <v>23</v>
      </c>
      <c r="G41" s="171" t="s">
        <v>24</v>
      </c>
      <c r="H41" s="204" t="s">
        <v>22</v>
      </c>
      <c r="I41" s="172" t="s">
        <v>25</v>
      </c>
      <c r="J41" s="205" t="s">
        <v>22</v>
      </c>
      <c r="K41" s="173" t="s">
        <v>24</v>
      </c>
      <c r="L41" s="205" t="s">
        <v>22</v>
      </c>
      <c r="M41" s="172" t="s">
        <v>25</v>
      </c>
      <c r="N41" s="6" t="s">
        <v>24</v>
      </c>
      <c r="O41" s="7" t="s">
        <v>24</v>
      </c>
      <c r="P41" s="7" t="s">
        <v>24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</row>
    <row r="42" spans="1:52" s="203" customFormat="1" ht="24" customHeight="1" thickBot="1" x14ac:dyDescent="0.3">
      <c r="A42" s="125"/>
      <c r="B42" s="174"/>
      <c r="C42" s="175" t="s">
        <v>11</v>
      </c>
      <c r="D42" s="176">
        <v>2</v>
      </c>
      <c r="E42" s="177">
        <v>3</v>
      </c>
      <c r="F42" s="168">
        <v>4</v>
      </c>
      <c r="G42" s="178">
        <v>5</v>
      </c>
      <c r="H42" s="89">
        <v>6</v>
      </c>
      <c r="I42" s="88">
        <v>7</v>
      </c>
      <c r="J42" s="89">
        <v>8</v>
      </c>
      <c r="K42" s="88">
        <v>9</v>
      </c>
      <c r="L42" s="89">
        <v>10</v>
      </c>
      <c r="M42" s="88">
        <v>11</v>
      </c>
      <c r="N42" s="7">
        <v>12</v>
      </c>
      <c r="O42" s="6">
        <v>13</v>
      </c>
      <c r="P42" s="7">
        <v>14</v>
      </c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</row>
    <row r="43" spans="1:52" ht="48" customHeight="1" x14ac:dyDescent="0.3">
      <c r="A43" s="9" t="s">
        <v>267</v>
      </c>
      <c r="B43" s="91" t="s">
        <v>71</v>
      </c>
      <c r="C43" s="92" t="s">
        <v>72</v>
      </c>
      <c r="D43" s="54"/>
      <c r="E43" s="93"/>
      <c r="F43" s="94"/>
      <c r="G43" s="95">
        <f>G46+G51+G55+G60+G61+G63+G52+G62</f>
        <v>1927924876.2000003</v>
      </c>
      <c r="H43" s="96">
        <f t="shared" ref="H43:M43" si="5">H46+H51+H55+H60+H61+H63+H52+H62</f>
        <v>1488</v>
      </c>
      <c r="I43" s="95">
        <f t="shared" si="5"/>
        <v>1948535463</v>
      </c>
      <c r="J43" s="96">
        <f t="shared" si="5"/>
        <v>1485.6</v>
      </c>
      <c r="K43" s="97">
        <f t="shared" si="5"/>
        <v>1946701663</v>
      </c>
      <c r="L43" s="98">
        <f t="shared" si="5"/>
        <v>1485.3999999999999</v>
      </c>
      <c r="M43" s="186">
        <f t="shared" si="5"/>
        <v>1946384763</v>
      </c>
      <c r="N43" s="99">
        <f>M43-K43</f>
        <v>-316900</v>
      </c>
      <c r="O43" s="99">
        <v>1946384763</v>
      </c>
      <c r="P43" s="99">
        <f>O43-M43+N43</f>
        <v>-316900</v>
      </c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</row>
    <row r="44" spans="1:52" ht="24" customHeight="1" x14ac:dyDescent="0.25">
      <c r="A44" s="21" t="s">
        <v>232</v>
      </c>
      <c r="B44" s="207"/>
      <c r="C44" s="100" t="s">
        <v>176</v>
      </c>
      <c r="D44" s="23"/>
      <c r="E44" s="23"/>
      <c r="F44" s="24"/>
      <c r="G44" s="25"/>
      <c r="H44" s="15"/>
      <c r="I44" s="28"/>
      <c r="J44" s="15"/>
      <c r="L44" s="101"/>
      <c r="M44" s="26"/>
      <c r="N44" s="20"/>
      <c r="O44" s="20"/>
      <c r="P44" s="20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</row>
    <row r="45" spans="1:52" ht="24" customHeight="1" x14ac:dyDescent="0.25">
      <c r="A45" s="21" t="s">
        <v>233</v>
      </c>
      <c r="B45" s="206"/>
      <c r="C45" s="22" t="s">
        <v>177</v>
      </c>
      <c r="D45" s="23"/>
      <c r="E45" s="23"/>
      <c r="F45" s="24"/>
      <c r="G45" s="25"/>
      <c r="H45" s="15"/>
      <c r="I45" s="28"/>
      <c r="J45" s="15"/>
      <c r="K45" s="28"/>
      <c r="L45" s="15"/>
      <c r="M45" s="26"/>
      <c r="N45" s="20"/>
      <c r="O45" s="20"/>
      <c r="P45" s="20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</row>
    <row r="46" spans="1:52" ht="22.5" customHeight="1" x14ac:dyDescent="0.25">
      <c r="A46" s="21" t="s">
        <v>234</v>
      </c>
      <c r="B46" s="71" t="s">
        <v>73</v>
      </c>
      <c r="C46" s="30" t="s">
        <v>74</v>
      </c>
      <c r="D46" s="31" t="s">
        <v>31</v>
      </c>
      <c r="E46" s="60">
        <v>330.1</v>
      </c>
      <c r="F46" s="102" t="s">
        <v>178</v>
      </c>
      <c r="G46" s="33">
        <f>E46*2979933+110</f>
        <v>983675993.30000007</v>
      </c>
      <c r="H46" s="34">
        <v>331.8</v>
      </c>
      <c r="I46" s="35">
        <v>988741880</v>
      </c>
      <c r="J46" s="37">
        <v>331.8</v>
      </c>
      <c r="K46" s="35">
        <v>988741880</v>
      </c>
      <c r="L46" s="37">
        <v>331.8</v>
      </c>
      <c r="M46" s="33">
        <v>988741880</v>
      </c>
      <c r="N46" s="38">
        <f t="shared" ref="N46:N107" si="6">M46-K46</f>
        <v>0</v>
      </c>
      <c r="O46" s="38">
        <v>988741880</v>
      </c>
      <c r="P46" s="38">
        <f t="shared" ref="P46:P107" si="7">O46-M46+N46</f>
        <v>0</v>
      </c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</row>
    <row r="47" spans="1:52" ht="24" customHeight="1" x14ac:dyDescent="0.25">
      <c r="A47" s="21" t="s">
        <v>235</v>
      </c>
      <c r="B47" s="71" t="s">
        <v>75</v>
      </c>
      <c r="C47" s="30" t="s">
        <v>179</v>
      </c>
      <c r="D47" s="31" t="s">
        <v>31</v>
      </c>
      <c r="E47" s="72">
        <v>3833</v>
      </c>
      <c r="F47" s="66"/>
      <c r="G47" s="28"/>
      <c r="H47" s="15"/>
      <c r="I47" s="44"/>
      <c r="J47" s="15"/>
      <c r="K47" s="28"/>
      <c r="L47" s="15"/>
      <c r="M47" s="48"/>
      <c r="N47" s="20"/>
      <c r="O47" s="20"/>
      <c r="P47" s="20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</row>
    <row r="48" spans="1:52" ht="40.5" customHeight="1" x14ac:dyDescent="0.25">
      <c r="A48" s="21" t="s">
        <v>236</v>
      </c>
      <c r="B48" s="71" t="s">
        <v>180</v>
      </c>
      <c r="C48" s="30" t="s">
        <v>181</v>
      </c>
      <c r="D48" s="31" t="s">
        <v>31</v>
      </c>
      <c r="E48" s="63">
        <v>19.63</v>
      </c>
      <c r="F48" s="104"/>
      <c r="G48" s="28"/>
      <c r="H48" s="15"/>
      <c r="I48" s="28"/>
      <c r="J48" s="15"/>
      <c r="K48" s="28"/>
      <c r="L48" s="15"/>
      <c r="M48" s="26"/>
      <c r="N48" s="20"/>
      <c r="O48" s="20"/>
      <c r="P48" s="20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</row>
    <row r="49" spans="1:52" ht="36" x14ac:dyDescent="0.25">
      <c r="A49" s="21" t="s">
        <v>237</v>
      </c>
      <c r="B49" s="71" t="s">
        <v>182</v>
      </c>
      <c r="C49" s="30" t="s">
        <v>76</v>
      </c>
      <c r="D49" s="31" t="s">
        <v>31</v>
      </c>
      <c r="E49" s="72">
        <v>53</v>
      </c>
      <c r="F49" s="66"/>
      <c r="G49" s="28"/>
      <c r="H49" s="15"/>
      <c r="I49" s="28"/>
      <c r="J49" s="15"/>
      <c r="K49" s="28"/>
      <c r="L49" s="15"/>
      <c r="M49" s="26"/>
      <c r="N49" s="20"/>
      <c r="O49" s="20"/>
      <c r="P49" s="20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</row>
    <row r="50" spans="1:52" ht="36" x14ac:dyDescent="0.25">
      <c r="A50" s="21" t="s">
        <v>238</v>
      </c>
      <c r="B50" s="71" t="s">
        <v>183</v>
      </c>
      <c r="C50" s="30" t="s">
        <v>77</v>
      </c>
      <c r="D50" s="31" t="s">
        <v>78</v>
      </c>
      <c r="E50" s="72">
        <v>1068</v>
      </c>
      <c r="F50" s="66"/>
      <c r="G50" s="28"/>
      <c r="H50" s="15"/>
      <c r="I50" s="28"/>
      <c r="J50" s="15"/>
      <c r="K50" s="28"/>
      <c r="L50" s="15"/>
      <c r="M50" s="26"/>
      <c r="N50" s="20"/>
      <c r="O50" s="20"/>
      <c r="P50" s="2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</row>
    <row r="51" spans="1:52" ht="54" x14ac:dyDescent="0.25">
      <c r="A51" s="21" t="s">
        <v>239</v>
      </c>
      <c r="B51" s="71" t="s">
        <v>79</v>
      </c>
      <c r="C51" s="30" t="s">
        <v>334</v>
      </c>
      <c r="D51" s="31" t="s">
        <v>31</v>
      </c>
      <c r="E51" s="60">
        <v>233</v>
      </c>
      <c r="F51" s="105" t="s">
        <v>80</v>
      </c>
      <c r="G51" s="35">
        <f>E51*1200000</f>
        <v>279600000</v>
      </c>
      <c r="H51" s="37">
        <v>232</v>
      </c>
      <c r="I51" s="35">
        <v>278400000</v>
      </c>
      <c r="J51" s="37">
        <v>232</v>
      </c>
      <c r="K51" s="35">
        <v>278400000</v>
      </c>
      <c r="L51" s="37">
        <v>232</v>
      </c>
      <c r="M51" s="33">
        <v>278400000</v>
      </c>
      <c r="N51" s="38">
        <f t="shared" si="6"/>
        <v>0</v>
      </c>
      <c r="O51" s="38">
        <v>278400000</v>
      </c>
      <c r="P51" s="38">
        <f t="shared" si="7"/>
        <v>0</v>
      </c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</row>
    <row r="52" spans="1:52" ht="54" x14ac:dyDescent="0.25">
      <c r="A52" s="21" t="s">
        <v>240</v>
      </c>
      <c r="B52" s="71" t="s">
        <v>81</v>
      </c>
      <c r="C52" s="30" t="s">
        <v>335</v>
      </c>
      <c r="D52" s="31" t="s">
        <v>31</v>
      </c>
      <c r="E52" s="60">
        <v>5</v>
      </c>
      <c r="F52" s="102" t="s">
        <v>178</v>
      </c>
      <c r="G52" s="35">
        <f>E52*2979933+2</f>
        <v>14899667</v>
      </c>
      <c r="H52" s="37">
        <v>6</v>
      </c>
      <c r="I52" s="35">
        <v>17879600</v>
      </c>
      <c r="J52" s="37">
        <v>6</v>
      </c>
      <c r="K52" s="35">
        <v>17879600</v>
      </c>
      <c r="L52" s="37">
        <v>6</v>
      </c>
      <c r="M52" s="33">
        <v>17879600</v>
      </c>
      <c r="N52" s="38">
        <f t="shared" si="6"/>
        <v>0</v>
      </c>
      <c r="O52" s="38">
        <v>17879600</v>
      </c>
      <c r="P52" s="38">
        <f t="shared" si="7"/>
        <v>0</v>
      </c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</row>
    <row r="53" spans="1:52" ht="24" customHeight="1" x14ac:dyDescent="0.25">
      <c r="A53" s="21" t="s">
        <v>241</v>
      </c>
      <c r="B53" s="206"/>
      <c r="C53" s="100" t="s">
        <v>184</v>
      </c>
      <c r="D53" s="23"/>
      <c r="E53" s="23"/>
      <c r="F53" s="24"/>
      <c r="G53" s="28"/>
      <c r="H53" s="15"/>
      <c r="I53" s="28"/>
      <c r="J53" s="15"/>
      <c r="K53" s="28"/>
      <c r="L53" s="15"/>
      <c r="M53" s="26"/>
      <c r="N53" s="20"/>
      <c r="O53" s="20"/>
      <c r="P53" s="20">
        <f t="shared" si="7"/>
        <v>0</v>
      </c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</row>
    <row r="54" spans="1:52" ht="24" customHeight="1" x14ac:dyDescent="0.25">
      <c r="A54" s="21" t="s">
        <v>242</v>
      </c>
      <c r="B54" s="206"/>
      <c r="C54" s="22" t="s">
        <v>177</v>
      </c>
      <c r="D54" s="23"/>
      <c r="E54" s="23"/>
      <c r="F54" s="24"/>
      <c r="G54" s="28"/>
      <c r="H54" s="15"/>
      <c r="I54" s="28"/>
      <c r="J54" s="15"/>
      <c r="K54" s="28"/>
      <c r="L54" s="15"/>
      <c r="M54" s="26"/>
      <c r="N54" s="20"/>
      <c r="O54" s="20"/>
      <c r="P54" s="20">
        <f t="shared" si="7"/>
        <v>0</v>
      </c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</row>
    <row r="55" spans="1:52" ht="24" customHeight="1" x14ac:dyDescent="0.25">
      <c r="A55" s="21" t="s">
        <v>243</v>
      </c>
      <c r="B55" s="71" t="s">
        <v>82</v>
      </c>
      <c r="C55" s="30" t="s">
        <v>74</v>
      </c>
      <c r="D55" s="31" t="s">
        <v>31</v>
      </c>
      <c r="E55" s="60">
        <v>328.7</v>
      </c>
      <c r="F55" s="102" t="s">
        <v>185</v>
      </c>
      <c r="G55" s="35">
        <f>E55*1489967-110</f>
        <v>489752042.89999998</v>
      </c>
      <c r="H55" s="37">
        <v>337.1</v>
      </c>
      <c r="I55" s="35">
        <v>502267763</v>
      </c>
      <c r="J55" s="37">
        <v>335.9</v>
      </c>
      <c r="K55" s="35">
        <v>500479803</v>
      </c>
      <c r="L55" s="37">
        <v>336.3</v>
      </c>
      <c r="M55" s="33">
        <v>501075790</v>
      </c>
      <c r="N55" s="38">
        <f t="shared" si="6"/>
        <v>595987</v>
      </c>
      <c r="O55" s="38">
        <v>501075790</v>
      </c>
      <c r="P55" s="38">
        <f t="shared" si="7"/>
        <v>595987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</row>
    <row r="56" spans="1:52" ht="24" customHeight="1" x14ac:dyDescent="0.25">
      <c r="A56" s="21" t="s">
        <v>244</v>
      </c>
      <c r="B56" s="71" t="s">
        <v>83</v>
      </c>
      <c r="C56" s="30" t="s">
        <v>179</v>
      </c>
      <c r="D56" s="31" t="s">
        <v>31</v>
      </c>
      <c r="E56" s="72">
        <v>3816</v>
      </c>
      <c r="F56" s="66"/>
      <c r="G56" s="28"/>
      <c r="H56" s="15"/>
      <c r="I56" s="28"/>
      <c r="J56" s="15"/>
      <c r="K56" s="28"/>
      <c r="L56" s="15"/>
      <c r="N56" s="20"/>
      <c r="O56" s="20"/>
      <c r="P56" s="20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</row>
    <row r="57" spans="1:52" ht="36" x14ac:dyDescent="0.25">
      <c r="A57" s="21" t="s">
        <v>245</v>
      </c>
      <c r="B57" s="71" t="s">
        <v>186</v>
      </c>
      <c r="C57" s="30" t="s">
        <v>181</v>
      </c>
      <c r="D57" s="31" t="s">
        <v>31</v>
      </c>
      <c r="E57" s="63">
        <v>19.63</v>
      </c>
      <c r="F57" s="104"/>
      <c r="G57" s="103"/>
      <c r="H57" s="15"/>
      <c r="I57" s="28"/>
      <c r="J57" s="15"/>
      <c r="K57" s="28"/>
      <c r="L57" s="15"/>
      <c r="N57" s="20"/>
      <c r="O57" s="20"/>
      <c r="P57" s="20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</row>
    <row r="58" spans="1:52" ht="36" x14ac:dyDescent="0.25">
      <c r="A58" s="21" t="s">
        <v>246</v>
      </c>
      <c r="B58" s="71" t="s">
        <v>187</v>
      </c>
      <c r="C58" s="30" t="s">
        <v>76</v>
      </c>
      <c r="D58" s="31" t="s">
        <v>31</v>
      </c>
      <c r="E58" s="72">
        <v>53</v>
      </c>
      <c r="F58" s="66"/>
      <c r="G58" s="103"/>
      <c r="H58" s="15"/>
      <c r="I58" s="28"/>
      <c r="J58" s="15"/>
      <c r="K58" s="28"/>
      <c r="L58" s="15"/>
      <c r="N58" s="20"/>
      <c r="O58" s="20"/>
      <c r="P58" s="20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</row>
    <row r="59" spans="1:52" ht="36" x14ac:dyDescent="0.25">
      <c r="A59" s="21" t="s">
        <v>247</v>
      </c>
      <c r="B59" s="71" t="s">
        <v>188</v>
      </c>
      <c r="C59" s="30" t="s">
        <v>77</v>
      </c>
      <c r="D59" s="31" t="s">
        <v>78</v>
      </c>
      <c r="E59" s="72">
        <v>1068</v>
      </c>
      <c r="F59" s="66"/>
      <c r="G59" s="103"/>
      <c r="H59" s="15"/>
      <c r="I59" s="28"/>
      <c r="J59" s="15"/>
      <c r="K59" s="28"/>
      <c r="L59" s="15"/>
      <c r="N59" s="20"/>
      <c r="O59" s="20"/>
      <c r="P59" s="20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</row>
    <row r="60" spans="1:52" ht="60" customHeight="1" x14ac:dyDescent="0.25">
      <c r="A60" s="21" t="s">
        <v>248</v>
      </c>
      <c r="B60" s="71" t="s">
        <v>84</v>
      </c>
      <c r="C60" s="30" t="s">
        <v>336</v>
      </c>
      <c r="D60" s="31" t="s">
        <v>31</v>
      </c>
      <c r="E60" s="60">
        <v>233</v>
      </c>
      <c r="F60" s="106" t="s">
        <v>85</v>
      </c>
      <c r="G60" s="35">
        <f>E60*600000</f>
        <v>139800000</v>
      </c>
      <c r="H60" s="37">
        <v>232</v>
      </c>
      <c r="I60" s="35">
        <v>139200000</v>
      </c>
      <c r="J60" s="37">
        <v>232</v>
      </c>
      <c r="K60" s="35">
        <v>139200000</v>
      </c>
      <c r="L60" s="37">
        <v>233</v>
      </c>
      <c r="M60" s="33">
        <v>139800000</v>
      </c>
      <c r="N60" s="38">
        <f t="shared" si="6"/>
        <v>600000</v>
      </c>
      <c r="O60" s="38">
        <v>139800000</v>
      </c>
      <c r="P60" s="38">
        <f t="shared" si="7"/>
        <v>600000</v>
      </c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</row>
    <row r="61" spans="1:52" ht="59.25" customHeight="1" x14ac:dyDescent="0.25">
      <c r="A61" s="21" t="s">
        <v>249</v>
      </c>
      <c r="B61" s="71" t="s">
        <v>86</v>
      </c>
      <c r="C61" s="30" t="s">
        <v>337</v>
      </c>
      <c r="D61" s="31" t="s">
        <v>31</v>
      </c>
      <c r="E61" s="60">
        <v>5</v>
      </c>
      <c r="F61" s="102" t="s">
        <v>185</v>
      </c>
      <c r="G61" s="35">
        <f>E61*1489967-2</f>
        <v>7449833</v>
      </c>
      <c r="H61" s="37">
        <v>6</v>
      </c>
      <c r="I61" s="35">
        <v>8939800</v>
      </c>
      <c r="J61" s="37">
        <v>6</v>
      </c>
      <c r="K61" s="35">
        <v>8939800</v>
      </c>
      <c r="L61" s="37">
        <v>5</v>
      </c>
      <c r="M61" s="33">
        <v>7449833</v>
      </c>
      <c r="N61" s="38">
        <f t="shared" si="6"/>
        <v>-1489967</v>
      </c>
      <c r="O61" s="38">
        <v>7449833</v>
      </c>
      <c r="P61" s="38">
        <f t="shared" si="7"/>
        <v>-1489967</v>
      </c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</row>
    <row r="62" spans="1:52" ht="36" x14ac:dyDescent="0.25">
      <c r="A62" s="21" t="s">
        <v>250</v>
      </c>
      <c r="B62" s="207" t="s">
        <v>87</v>
      </c>
      <c r="C62" s="30" t="s">
        <v>88</v>
      </c>
      <c r="D62" s="80" t="s">
        <v>31</v>
      </c>
      <c r="E62" s="107">
        <v>328.7</v>
      </c>
      <c r="F62" s="108" t="s">
        <v>189</v>
      </c>
      <c r="G62" s="74">
        <f>E62*38200</f>
        <v>12556340</v>
      </c>
      <c r="H62" s="37">
        <v>337.1</v>
      </c>
      <c r="I62" s="35">
        <v>12877220</v>
      </c>
      <c r="J62" s="37">
        <v>335.9</v>
      </c>
      <c r="K62" s="35">
        <v>12831380</v>
      </c>
      <c r="L62" s="37">
        <v>336.3</v>
      </c>
      <c r="M62" s="33">
        <v>12846660</v>
      </c>
      <c r="N62" s="38">
        <f t="shared" si="6"/>
        <v>15280</v>
      </c>
      <c r="O62" s="38">
        <v>12846660</v>
      </c>
      <c r="P62" s="38">
        <f t="shared" si="7"/>
        <v>15280</v>
      </c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</row>
    <row r="63" spans="1:52" ht="44.25" customHeight="1" x14ac:dyDescent="0.25">
      <c r="A63" s="21" t="s">
        <v>251</v>
      </c>
      <c r="B63" s="71" t="s">
        <v>89</v>
      </c>
      <c r="C63" s="30" t="s">
        <v>90</v>
      </c>
      <c r="D63" s="31" t="s">
        <v>31</v>
      </c>
      <c r="E63" s="60">
        <v>5</v>
      </c>
      <c r="F63" s="105" t="s">
        <v>189</v>
      </c>
      <c r="G63" s="35">
        <f>E63*38200</f>
        <v>191000</v>
      </c>
      <c r="H63" s="37">
        <v>6</v>
      </c>
      <c r="I63" s="35">
        <v>229200</v>
      </c>
      <c r="J63" s="37">
        <v>6</v>
      </c>
      <c r="K63" s="35">
        <v>229200</v>
      </c>
      <c r="L63" s="37">
        <v>5</v>
      </c>
      <c r="M63" s="33">
        <v>191000</v>
      </c>
      <c r="N63" s="38">
        <f t="shared" si="6"/>
        <v>-38200</v>
      </c>
      <c r="O63" s="38">
        <v>191000</v>
      </c>
      <c r="P63" s="38">
        <f t="shared" si="7"/>
        <v>-38200</v>
      </c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</row>
    <row r="64" spans="1:52" ht="36" x14ac:dyDescent="0.25">
      <c r="A64" s="21" t="s">
        <v>252</v>
      </c>
      <c r="B64" s="206" t="s">
        <v>190</v>
      </c>
      <c r="C64" s="109" t="s">
        <v>191</v>
      </c>
      <c r="D64" s="110" t="s">
        <v>192</v>
      </c>
      <c r="E64" s="111">
        <v>32</v>
      </c>
      <c r="F64" s="112"/>
      <c r="G64" s="113"/>
      <c r="H64" s="37"/>
      <c r="I64" s="35"/>
      <c r="J64" s="37"/>
      <c r="K64" s="35"/>
      <c r="L64" s="37"/>
      <c r="M64" s="33"/>
      <c r="N64" s="38"/>
      <c r="O64" s="38"/>
      <c r="P64" s="38">
        <f t="shared" si="7"/>
        <v>0</v>
      </c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</row>
    <row r="65" spans="1:52" ht="36.75" thickBot="1" x14ac:dyDescent="0.3">
      <c r="A65" s="21" t="s">
        <v>253</v>
      </c>
      <c r="B65" s="114" t="s">
        <v>193</v>
      </c>
      <c r="C65" s="79" t="s">
        <v>194</v>
      </c>
      <c r="D65" s="115" t="s">
        <v>192</v>
      </c>
      <c r="E65" s="116">
        <v>173</v>
      </c>
      <c r="F65" s="117"/>
      <c r="G65" s="118"/>
      <c r="H65" s="83"/>
      <c r="I65" s="82"/>
      <c r="J65" s="83"/>
      <c r="K65" s="82"/>
      <c r="L65" s="83"/>
      <c r="M65" s="187"/>
      <c r="N65" s="119"/>
      <c r="O65" s="119"/>
      <c r="P65" s="119">
        <f t="shared" si="7"/>
        <v>0</v>
      </c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</row>
    <row r="66" spans="1:52" ht="24" customHeight="1" x14ac:dyDescent="0.25">
      <c r="A66" s="23"/>
      <c r="B66" s="120"/>
      <c r="C66" s="121"/>
      <c r="D66" s="23"/>
      <c r="E66" s="122"/>
      <c r="F66" s="123"/>
      <c r="G66" s="124"/>
      <c r="H66" s="15"/>
      <c r="J66" s="15"/>
      <c r="L66" s="29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</row>
    <row r="67" spans="1:52" ht="24" customHeight="1" x14ac:dyDescent="0.25">
      <c r="A67" s="225"/>
      <c r="B67" s="227"/>
      <c r="C67" s="227"/>
      <c r="D67" s="227"/>
      <c r="E67" s="227"/>
      <c r="F67" s="227"/>
      <c r="G67" s="227"/>
      <c r="H67" s="15"/>
      <c r="J67" s="15"/>
      <c r="L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</row>
    <row r="68" spans="1:52" ht="24" customHeight="1" x14ac:dyDescent="0.25">
      <c r="A68" s="202"/>
      <c r="B68" s="203"/>
      <c r="C68" s="203"/>
      <c r="F68" s="203"/>
      <c r="G68" s="203"/>
      <c r="H68" s="15"/>
      <c r="J68" s="15"/>
      <c r="L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</row>
    <row r="69" spans="1:52" ht="24" customHeight="1" x14ac:dyDescent="0.25">
      <c r="A69" s="225" t="s">
        <v>329</v>
      </c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</row>
    <row r="70" spans="1:52" ht="24" customHeight="1" thickBot="1" x14ac:dyDescent="0.3">
      <c r="A70" s="202"/>
      <c r="B70" s="203"/>
      <c r="C70" s="203"/>
      <c r="F70" s="203"/>
      <c r="G70" s="203"/>
      <c r="H70" s="15"/>
      <c r="J70" s="15"/>
      <c r="L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</row>
    <row r="71" spans="1:52" ht="135" customHeight="1" thickBot="1" x14ac:dyDescent="0.3">
      <c r="A71" s="228" t="s">
        <v>13</v>
      </c>
      <c r="B71" s="229"/>
      <c r="C71" s="229"/>
      <c r="D71" s="229"/>
      <c r="E71" s="229"/>
      <c r="F71" s="229"/>
      <c r="G71" s="230"/>
      <c r="H71" s="235" t="s">
        <v>14</v>
      </c>
      <c r="I71" s="236"/>
      <c r="J71" s="235" t="s">
        <v>15</v>
      </c>
      <c r="K71" s="236"/>
      <c r="L71" s="235" t="s">
        <v>16</v>
      </c>
      <c r="M71" s="236"/>
      <c r="N71" s="6" t="s">
        <v>17</v>
      </c>
      <c r="O71" s="7" t="s">
        <v>18</v>
      </c>
      <c r="P71" s="7" t="s">
        <v>19</v>
      </c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</row>
    <row r="72" spans="1:52" ht="60.75" customHeight="1" thickBot="1" x14ac:dyDescent="0.3">
      <c r="A72" s="228" t="s">
        <v>20</v>
      </c>
      <c r="B72" s="229"/>
      <c r="C72" s="229"/>
      <c r="D72" s="168" t="s">
        <v>21</v>
      </c>
      <c r="E72" s="169" t="s">
        <v>22</v>
      </c>
      <c r="F72" s="170" t="s">
        <v>23</v>
      </c>
      <c r="G72" s="171" t="s">
        <v>24</v>
      </c>
      <c r="H72" s="204" t="s">
        <v>22</v>
      </c>
      <c r="I72" s="172" t="s">
        <v>25</v>
      </c>
      <c r="J72" s="205" t="s">
        <v>22</v>
      </c>
      <c r="K72" s="173" t="s">
        <v>24</v>
      </c>
      <c r="L72" s="205" t="s">
        <v>22</v>
      </c>
      <c r="M72" s="172" t="s">
        <v>25</v>
      </c>
      <c r="N72" s="6" t="s">
        <v>24</v>
      </c>
      <c r="O72" s="7" t="s">
        <v>24</v>
      </c>
      <c r="P72" s="7" t="s">
        <v>24</v>
      </c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</row>
    <row r="73" spans="1:52" s="203" customFormat="1" ht="24" customHeight="1" thickBot="1" x14ac:dyDescent="0.3">
      <c r="A73" s="125"/>
      <c r="B73" s="174"/>
      <c r="C73" s="175" t="s">
        <v>11</v>
      </c>
      <c r="D73" s="176">
        <v>2</v>
      </c>
      <c r="E73" s="177">
        <v>3</v>
      </c>
      <c r="F73" s="168">
        <v>4</v>
      </c>
      <c r="G73" s="178">
        <v>5</v>
      </c>
      <c r="H73" s="89">
        <v>6</v>
      </c>
      <c r="I73" s="88">
        <v>7</v>
      </c>
      <c r="J73" s="89">
        <v>8</v>
      </c>
      <c r="K73" s="88">
        <v>9</v>
      </c>
      <c r="L73" s="89">
        <v>10</v>
      </c>
      <c r="M73" s="88">
        <v>11</v>
      </c>
      <c r="N73" s="7">
        <v>12</v>
      </c>
      <c r="O73" s="6">
        <v>13</v>
      </c>
      <c r="P73" s="7">
        <v>14</v>
      </c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</row>
    <row r="74" spans="1:52" ht="24" customHeight="1" x14ac:dyDescent="0.3">
      <c r="A74" s="21" t="s">
        <v>273</v>
      </c>
      <c r="B74" s="126" t="s">
        <v>91</v>
      </c>
      <c r="C74" s="127" t="s">
        <v>92</v>
      </c>
      <c r="D74" s="12"/>
      <c r="E74" s="12"/>
      <c r="F74" s="13"/>
      <c r="G74" s="188">
        <f>G76+G81</f>
        <v>307192000</v>
      </c>
      <c r="H74" s="96">
        <f t="shared" ref="H74:M74" si="8">H76+H81</f>
        <v>7644</v>
      </c>
      <c r="I74" s="188">
        <f t="shared" si="8"/>
        <v>311277000</v>
      </c>
      <c r="J74" s="96">
        <f t="shared" si="8"/>
        <v>7615</v>
      </c>
      <c r="K74" s="188">
        <f t="shared" si="8"/>
        <v>310487233</v>
      </c>
      <c r="L74" s="96">
        <f t="shared" si="8"/>
        <v>7617</v>
      </c>
      <c r="M74" s="188">
        <f t="shared" si="8"/>
        <v>310541700</v>
      </c>
      <c r="N74" s="134">
        <f t="shared" si="6"/>
        <v>54467</v>
      </c>
      <c r="O74" s="134">
        <v>310541700</v>
      </c>
      <c r="P74" s="134">
        <f t="shared" si="7"/>
        <v>54467</v>
      </c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</row>
    <row r="75" spans="1:52" x14ac:dyDescent="0.25">
      <c r="A75" s="21" t="s">
        <v>274</v>
      </c>
      <c r="B75" s="206"/>
      <c r="C75" s="130" t="s">
        <v>176</v>
      </c>
      <c r="D75" s="23"/>
      <c r="E75" s="23"/>
      <c r="F75" s="24"/>
      <c r="G75" s="131"/>
      <c r="H75" s="15"/>
      <c r="I75" s="28"/>
      <c r="J75" s="15"/>
      <c r="K75" s="28"/>
      <c r="L75" s="15"/>
      <c r="M75" s="28"/>
      <c r="N75" s="20"/>
      <c r="O75" s="20"/>
      <c r="P75" s="20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</row>
    <row r="76" spans="1:52" ht="24" customHeight="1" x14ac:dyDescent="0.25">
      <c r="A76" s="21" t="s">
        <v>275</v>
      </c>
      <c r="B76" s="71" t="s">
        <v>93</v>
      </c>
      <c r="C76" s="30" t="s">
        <v>177</v>
      </c>
      <c r="D76" s="31" t="s">
        <v>31</v>
      </c>
      <c r="E76" s="72">
        <v>3765</v>
      </c>
      <c r="F76" s="132" t="s">
        <v>195</v>
      </c>
      <c r="G76" s="35">
        <f>E76*54467-1255</f>
        <v>205067000</v>
      </c>
      <c r="H76" s="37">
        <v>3786</v>
      </c>
      <c r="I76" s="35">
        <v>206210800</v>
      </c>
      <c r="J76" s="37">
        <v>3786</v>
      </c>
      <c r="K76" s="35">
        <v>206210800</v>
      </c>
      <c r="L76" s="37">
        <v>3786</v>
      </c>
      <c r="M76" s="35">
        <v>206210800</v>
      </c>
      <c r="N76" s="38">
        <f t="shared" si="6"/>
        <v>0</v>
      </c>
      <c r="O76" s="38">
        <v>206210800</v>
      </c>
      <c r="P76" s="38">
        <f t="shared" si="7"/>
        <v>0</v>
      </c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</row>
    <row r="77" spans="1:52" ht="24" customHeight="1" x14ac:dyDescent="0.25">
      <c r="A77" s="21" t="s">
        <v>276</v>
      </c>
      <c r="B77" s="71" t="s">
        <v>196</v>
      </c>
      <c r="C77" s="30" t="s">
        <v>95</v>
      </c>
      <c r="D77" s="31" t="s">
        <v>31</v>
      </c>
      <c r="E77" s="72">
        <v>3707</v>
      </c>
      <c r="F77" s="66"/>
      <c r="G77" s="103"/>
      <c r="H77" s="15"/>
      <c r="I77" s="28"/>
      <c r="J77" s="15"/>
      <c r="K77" s="28"/>
      <c r="L77" s="15"/>
      <c r="M77" s="28"/>
      <c r="N77" s="20"/>
      <c r="O77" s="20"/>
      <c r="P77" s="20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</row>
    <row r="78" spans="1:52" ht="54" x14ac:dyDescent="0.25">
      <c r="A78" s="21" t="s">
        <v>277</v>
      </c>
      <c r="B78" s="207" t="s">
        <v>197</v>
      </c>
      <c r="C78" s="47" t="s">
        <v>96</v>
      </c>
      <c r="D78" s="80" t="s">
        <v>31</v>
      </c>
      <c r="E78" s="67">
        <v>48</v>
      </c>
      <c r="F78" s="66"/>
      <c r="G78" s="103"/>
      <c r="H78" s="15"/>
      <c r="I78" s="28"/>
      <c r="J78" s="15"/>
      <c r="K78" s="28"/>
      <c r="L78" s="15"/>
      <c r="M78" s="28"/>
      <c r="N78" s="20"/>
      <c r="O78" s="20"/>
      <c r="P78" s="20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</row>
    <row r="79" spans="1:52" ht="54" x14ac:dyDescent="0.25">
      <c r="A79" s="21" t="s">
        <v>278</v>
      </c>
      <c r="B79" s="71" t="s">
        <v>198</v>
      </c>
      <c r="C79" s="30" t="s">
        <v>94</v>
      </c>
      <c r="D79" s="31" t="s">
        <v>31</v>
      </c>
      <c r="E79" s="72">
        <v>10</v>
      </c>
      <c r="F79" s="66"/>
      <c r="G79" s="103"/>
      <c r="H79" s="15"/>
      <c r="I79" s="28"/>
      <c r="J79" s="15"/>
      <c r="K79" s="28"/>
      <c r="L79" s="15"/>
      <c r="M79" s="28"/>
      <c r="N79" s="20"/>
      <c r="O79" s="20"/>
      <c r="P79" s="20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</row>
    <row r="80" spans="1:52" ht="24" customHeight="1" x14ac:dyDescent="0.25">
      <c r="A80" s="21" t="s">
        <v>279</v>
      </c>
      <c r="B80" s="206"/>
      <c r="C80" s="133" t="s">
        <v>184</v>
      </c>
      <c r="D80" s="23"/>
      <c r="E80" s="23"/>
      <c r="F80" s="24"/>
      <c r="G80" s="131"/>
      <c r="H80" s="15"/>
      <c r="I80" s="62"/>
      <c r="J80" s="15"/>
      <c r="K80" s="28"/>
      <c r="L80" s="15"/>
      <c r="M80" s="28"/>
      <c r="N80" s="134"/>
      <c r="O80" s="20"/>
      <c r="P80" s="2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</row>
    <row r="81" spans="1:52" x14ac:dyDescent="0.25">
      <c r="A81" s="21" t="s">
        <v>280</v>
      </c>
      <c r="B81" s="71" t="s">
        <v>97</v>
      </c>
      <c r="C81" s="30" t="s">
        <v>177</v>
      </c>
      <c r="D81" s="31" t="s">
        <v>31</v>
      </c>
      <c r="E81" s="72">
        <v>3750</v>
      </c>
      <c r="F81" s="132" t="s">
        <v>199</v>
      </c>
      <c r="G81" s="33">
        <f>E81*27233+1250</f>
        <v>102125000</v>
      </c>
      <c r="H81" s="34">
        <v>3858</v>
      </c>
      <c r="I81" s="35">
        <v>105066200</v>
      </c>
      <c r="J81" s="37">
        <v>3829</v>
      </c>
      <c r="K81" s="35">
        <v>104276433</v>
      </c>
      <c r="L81" s="37">
        <v>3831</v>
      </c>
      <c r="M81" s="35">
        <v>104330900</v>
      </c>
      <c r="N81" s="38">
        <f t="shared" si="6"/>
        <v>54467</v>
      </c>
      <c r="O81" s="84">
        <v>104330900</v>
      </c>
      <c r="P81" s="38">
        <f t="shared" si="7"/>
        <v>54467</v>
      </c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</row>
    <row r="82" spans="1:52" x14ac:dyDescent="0.25">
      <c r="A82" s="21" t="s">
        <v>281</v>
      </c>
      <c r="B82" s="71" t="s">
        <v>98</v>
      </c>
      <c r="C82" s="30" t="s">
        <v>95</v>
      </c>
      <c r="D82" s="31" t="s">
        <v>31</v>
      </c>
      <c r="E82" s="72">
        <v>3694</v>
      </c>
      <c r="F82" s="66"/>
      <c r="G82" s="103"/>
      <c r="H82" s="15"/>
      <c r="I82" s="28"/>
      <c r="J82" s="15"/>
      <c r="K82" s="28"/>
      <c r="L82" s="15"/>
      <c r="M82" s="28"/>
      <c r="N82" s="20"/>
      <c r="O82" s="84"/>
      <c r="P82" s="20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</row>
    <row r="83" spans="1:52" ht="54" x14ac:dyDescent="0.25">
      <c r="A83" s="21" t="s">
        <v>282</v>
      </c>
      <c r="B83" s="207" t="s">
        <v>200</v>
      </c>
      <c r="C83" s="30" t="s">
        <v>96</v>
      </c>
      <c r="D83" s="80" t="s">
        <v>31</v>
      </c>
      <c r="E83" s="67">
        <v>46</v>
      </c>
      <c r="F83" s="66"/>
      <c r="G83" s="103"/>
      <c r="H83" s="15"/>
      <c r="I83" s="28"/>
      <c r="J83" s="15"/>
      <c r="K83" s="28"/>
      <c r="L83" s="15"/>
      <c r="M83" s="28"/>
      <c r="N83" s="20"/>
      <c r="O83" s="20"/>
      <c r="P83" s="20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</row>
    <row r="84" spans="1:52" ht="54" x14ac:dyDescent="0.25">
      <c r="A84" s="21" t="s">
        <v>283</v>
      </c>
      <c r="B84" s="207" t="s">
        <v>201</v>
      </c>
      <c r="C84" s="47" t="s">
        <v>94</v>
      </c>
      <c r="D84" s="80" t="s">
        <v>31</v>
      </c>
      <c r="E84" s="67">
        <v>10</v>
      </c>
      <c r="F84" s="66"/>
      <c r="G84" s="103"/>
      <c r="H84" s="15"/>
      <c r="I84" s="28"/>
      <c r="J84" s="15"/>
      <c r="K84" s="28"/>
      <c r="L84" s="15"/>
      <c r="M84" s="28"/>
      <c r="N84" s="20"/>
      <c r="O84" s="20"/>
      <c r="P84" s="20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</row>
    <row r="85" spans="1:52" ht="40.5" customHeight="1" x14ac:dyDescent="0.25">
      <c r="A85" s="21" t="s">
        <v>284</v>
      </c>
      <c r="B85" s="71" t="s">
        <v>99</v>
      </c>
      <c r="C85" s="30" t="s">
        <v>100</v>
      </c>
      <c r="D85" s="31"/>
      <c r="E85" s="72"/>
      <c r="F85" s="56"/>
      <c r="G85" s="35">
        <f>SUM(G87:G88)</f>
        <v>74177600</v>
      </c>
      <c r="H85" s="201">
        <f t="shared" ref="H85:M85" si="9">SUM(H87:H88)</f>
        <v>122.4</v>
      </c>
      <c r="I85" s="35">
        <f t="shared" si="9"/>
        <v>73507360</v>
      </c>
      <c r="J85" s="201">
        <f t="shared" si="9"/>
        <v>122.69999999999999</v>
      </c>
      <c r="K85" s="35">
        <f t="shared" si="9"/>
        <v>74300050</v>
      </c>
      <c r="L85" s="201">
        <f t="shared" si="9"/>
        <v>122.69999999999999</v>
      </c>
      <c r="M85" s="35">
        <f t="shared" si="9"/>
        <v>74300050</v>
      </c>
      <c r="N85" s="38">
        <f t="shared" si="6"/>
        <v>0</v>
      </c>
      <c r="O85" s="38">
        <v>74300050</v>
      </c>
      <c r="P85" s="38">
        <f t="shared" si="7"/>
        <v>0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</row>
    <row r="86" spans="1:52" ht="40.5" customHeight="1" x14ac:dyDescent="0.25">
      <c r="A86" s="21" t="s">
        <v>285</v>
      </c>
      <c r="B86" s="71"/>
      <c r="C86" s="109" t="s">
        <v>101</v>
      </c>
      <c r="D86" s="23"/>
      <c r="E86" s="59"/>
      <c r="F86" s="66"/>
      <c r="G86" s="103"/>
      <c r="H86" s="15"/>
      <c r="I86" s="44"/>
      <c r="J86" s="15"/>
      <c r="K86" s="28"/>
      <c r="L86" s="15"/>
      <c r="M86" s="28"/>
      <c r="N86" s="20"/>
      <c r="O86" s="20"/>
      <c r="P86" s="84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</row>
    <row r="87" spans="1:52" ht="54" x14ac:dyDescent="0.25">
      <c r="A87" s="21" t="s">
        <v>286</v>
      </c>
      <c r="B87" s="71" t="s">
        <v>202</v>
      </c>
      <c r="C87" s="30" t="s">
        <v>203</v>
      </c>
      <c r="D87" s="31" t="s">
        <v>31</v>
      </c>
      <c r="E87" s="60">
        <v>104</v>
      </c>
      <c r="F87" s="56" t="s">
        <v>204</v>
      </c>
      <c r="G87" s="35">
        <f>E87*418900</f>
        <v>43565600</v>
      </c>
      <c r="H87" s="37">
        <v>102.4</v>
      </c>
      <c r="I87" s="35">
        <v>42895360</v>
      </c>
      <c r="J87" s="37">
        <v>102.1</v>
      </c>
      <c r="K87" s="35">
        <v>42769690</v>
      </c>
      <c r="L87" s="37">
        <v>102.1</v>
      </c>
      <c r="M87" s="35">
        <v>42769690</v>
      </c>
      <c r="N87" s="38">
        <f t="shared" si="6"/>
        <v>0</v>
      </c>
      <c r="O87" s="38">
        <v>42769690</v>
      </c>
      <c r="P87" s="38">
        <f t="shared" si="7"/>
        <v>0</v>
      </c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</row>
    <row r="88" spans="1:52" ht="54" x14ac:dyDescent="0.25">
      <c r="A88" s="21" t="s">
        <v>287</v>
      </c>
      <c r="B88" s="71" t="s">
        <v>205</v>
      </c>
      <c r="C88" s="30" t="s">
        <v>206</v>
      </c>
      <c r="D88" s="31" t="s">
        <v>31</v>
      </c>
      <c r="E88" s="60">
        <v>20</v>
      </c>
      <c r="F88" s="56" t="s">
        <v>207</v>
      </c>
      <c r="G88" s="35">
        <f>E88*1530600</f>
        <v>30612000</v>
      </c>
      <c r="H88" s="37">
        <v>20</v>
      </c>
      <c r="I88" s="35">
        <v>30612000</v>
      </c>
      <c r="J88" s="37">
        <v>20.6</v>
      </c>
      <c r="K88" s="35">
        <v>31530360</v>
      </c>
      <c r="L88" s="37">
        <v>20.6</v>
      </c>
      <c r="M88" s="35">
        <v>31530360</v>
      </c>
      <c r="N88" s="38">
        <f t="shared" si="6"/>
        <v>0</v>
      </c>
      <c r="O88" s="38">
        <v>31530360</v>
      </c>
      <c r="P88" s="38">
        <f t="shared" si="7"/>
        <v>0</v>
      </c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</row>
    <row r="89" spans="1:52" ht="64.5" customHeight="1" thickBot="1" x14ac:dyDescent="0.3">
      <c r="A89" s="21" t="s">
        <v>288</v>
      </c>
      <c r="B89" s="135" t="s">
        <v>271</v>
      </c>
      <c r="C89" s="79" t="s">
        <v>272</v>
      </c>
      <c r="D89" s="80" t="s">
        <v>31</v>
      </c>
      <c r="E89" s="107">
        <v>53</v>
      </c>
      <c r="F89" s="68" t="s">
        <v>340</v>
      </c>
      <c r="G89" s="74">
        <v>20351576</v>
      </c>
      <c r="H89" s="81">
        <v>53</v>
      </c>
      <c r="I89" s="74">
        <v>20351576</v>
      </c>
      <c r="J89" s="81">
        <v>50.3</v>
      </c>
      <c r="K89" s="74">
        <v>19314798</v>
      </c>
      <c r="L89" s="81">
        <v>50.2</v>
      </c>
      <c r="M89" s="74">
        <v>19276398</v>
      </c>
      <c r="N89" s="119">
        <f t="shared" si="6"/>
        <v>-38400</v>
      </c>
      <c r="O89" s="119">
        <v>19276398</v>
      </c>
      <c r="P89" s="84">
        <f t="shared" si="7"/>
        <v>-38400</v>
      </c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</row>
    <row r="90" spans="1:52" ht="67.5" customHeight="1" thickBot="1" x14ac:dyDescent="0.3">
      <c r="A90" s="21" t="s">
        <v>289</v>
      </c>
      <c r="B90" s="189" t="s">
        <v>70</v>
      </c>
      <c r="C90" s="190" t="s">
        <v>102</v>
      </c>
      <c r="D90" s="179"/>
      <c r="E90" s="180"/>
      <c r="F90" s="181"/>
      <c r="G90" s="191">
        <f t="shared" ref="G90:M90" si="10">SUM(G46+G51+G55+G60+G76+G81+G87+G88+G61+G63+G62+G52+G89)</f>
        <v>2329646052.2000003</v>
      </c>
      <c r="H90" s="183"/>
      <c r="I90" s="182">
        <f t="shared" si="10"/>
        <v>2353671399</v>
      </c>
      <c r="J90" s="185"/>
      <c r="K90" s="182">
        <f t="shared" si="10"/>
        <v>2350803744</v>
      </c>
      <c r="L90" s="185"/>
      <c r="M90" s="182">
        <f t="shared" si="10"/>
        <v>2350502911</v>
      </c>
      <c r="N90" s="192">
        <f t="shared" si="6"/>
        <v>-300833</v>
      </c>
      <c r="O90" s="192">
        <f>SUM(O43,O74,O85,O89)</f>
        <v>2350502911</v>
      </c>
      <c r="P90" s="184">
        <f>O90-M90+N90</f>
        <v>-300833</v>
      </c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</row>
    <row r="91" spans="1:52" ht="45" customHeight="1" x14ac:dyDescent="0.25">
      <c r="A91" s="23"/>
      <c r="B91" s="85"/>
      <c r="C91" s="86"/>
      <c r="D91" s="23"/>
      <c r="E91" s="59"/>
      <c r="F91" s="66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</row>
    <row r="92" spans="1:52" ht="39" customHeight="1" x14ac:dyDescent="0.25">
      <c r="A92" s="23"/>
      <c r="B92" s="136"/>
      <c r="C92" s="86"/>
      <c r="D92" s="23"/>
      <c r="E92" s="59"/>
      <c r="F92" s="66"/>
      <c r="G92" s="87"/>
      <c r="H92" s="15"/>
      <c r="J92" s="15"/>
      <c r="L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</row>
    <row r="93" spans="1:52" ht="24" customHeight="1" x14ac:dyDescent="0.25">
      <c r="A93" s="225" t="s">
        <v>329</v>
      </c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</row>
    <row r="94" spans="1:52" ht="24" customHeight="1" thickBot="1" x14ac:dyDescent="0.3">
      <c r="B94" s="2"/>
      <c r="C94" s="3"/>
      <c r="H94" s="15"/>
      <c r="J94" s="15"/>
      <c r="L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</row>
    <row r="95" spans="1:52" ht="135" customHeight="1" thickBot="1" x14ac:dyDescent="0.3">
      <c r="A95" s="228" t="s">
        <v>13</v>
      </c>
      <c r="B95" s="229"/>
      <c r="C95" s="229"/>
      <c r="D95" s="229"/>
      <c r="E95" s="229"/>
      <c r="F95" s="229"/>
      <c r="G95" s="230"/>
      <c r="H95" s="235" t="s">
        <v>14</v>
      </c>
      <c r="I95" s="236"/>
      <c r="J95" s="235" t="s">
        <v>15</v>
      </c>
      <c r="K95" s="236"/>
      <c r="L95" s="235" t="s">
        <v>16</v>
      </c>
      <c r="M95" s="236"/>
      <c r="N95" s="6" t="s">
        <v>17</v>
      </c>
      <c r="O95" s="7" t="s">
        <v>18</v>
      </c>
      <c r="P95" s="7" t="s">
        <v>19</v>
      </c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</row>
    <row r="96" spans="1:52" ht="60.75" customHeight="1" thickBot="1" x14ac:dyDescent="0.3">
      <c r="A96" s="228" t="s">
        <v>20</v>
      </c>
      <c r="B96" s="229"/>
      <c r="C96" s="229"/>
      <c r="D96" s="168" t="s">
        <v>21</v>
      </c>
      <c r="E96" s="169" t="s">
        <v>22</v>
      </c>
      <c r="F96" s="170" t="s">
        <v>23</v>
      </c>
      <c r="G96" s="171" t="s">
        <v>24</v>
      </c>
      <c r="H96" s="204" t="s">
        <v>22</v>
      </c>
      <c r="I96" s="172" t="s">
        <v>25</v>
      </c>
      <c r="J96" s="205" t="s">
        <v>22</v>
      </c>
      <c r="K96" s="173" t="s">
        <v>24</v>
      </c>
      <c r="L96" s="205" t="s">
        <v>22</v>
      </c>
      <c r="M96" s="172" t="s">
        <v>25</v>
      </c>
      <c r="N96" s="6" t="s">
        <v>24</v>
      </c>
      <c r="O96" s="7" t="s">
        <v>24</v>
      </c>
      <c r="P96" s="7" t="s">
        <v>24</v>
      </c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</row>
    <row r="97" spans="1:52" s="203" customFormat="1" ht="24" customHeight="1" thickBot="1" x14ac:dyDescent="0.3">
      <c r="A97" s="125"/>
      <c r="B97" s="174"/>
      <c r="C97" s="175" t="s">
        <v>11</v>
      </c>
      <c r="D97" s="176">
        <v>2</v>
      </c>
      <c r="E97" s="177">
        <v>3</v>
      </c>
      <c r="F97" s="168">
        <v>4</v>
      </c>
      <c r="G97" s="178">
        <v>5</v>
      </c>
      <c r="H97" s="89">
        <v>6</v>
      </c>
      <c r="I97" s="88">
        <v>7</v>
      </c>
      <c r="J97" s="89">
        <v>8</v>
      </c>
      <c r="K97" s="88">
        <v>9</v>
      </c>
      <c r="L97" s="89">
        <v>10</v>
      </c>
      <c r="M97" s="88">
        <v>11</v>
      </c>
      <c r="N97" s="7">
        <v>12</v>
      </c>
      <c r="O97" s="6">
        <v>13</v>
      </c>
      <c r="P97" s="7">
        <v>14</v>
      </c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</row>
    <row r="98" spans="1:52" ht="54" x14ac:dyDescent="0.25">
      <c r="A98" s="21" t="s">
        <v>290</v>
      </c>
      <c r="B98" s="10" t="s">
        <v>103</v>
      </c>
      <c r="C98" s="11" t="s">
        <v>104</v>
      </c>
      <c r="D98" s="12"/>
      <c r="E98" s="12"/>
      <c r="F98" s="13"/>
      <c r="G98" s="137"/>
      <c r="H98" s="15"/>
      <c r="I98" s="28"/>
      <c r="J98" s="15"/>
      <c r="K98" s="18"/>
      <c r="L98" s="15"/>
      <c r="M98" s="28"/>
      <c r="N98" s="138">
        <f t="shared" si="6"/>
        <v>0</v>
      </c>
      <c r="O98" s="138"/>
      <c r="P98" s="20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</row>
    <row r="99" spans="1:52" ht="18.75" x14ac:dyDescent="0.3">
      <c r="A99" s="21" t="s">
        <v>291</v>
      </c>
      <c r="B99" s="71" t="s">
        <v>105</v>
      </c>
      <c r="C99" s="139" t="s">
        <v>106</v>
      </c>
      <c r="D99" s="23"/>
      <c r="E99" s="23"/>
      <c r="F99" s="24"/>
      <c r="G99" s="140">
        <f>SUM(G100:G120)</f>
        <v>704401050</v>
      </c>
      <c r="H99" s="141">
        <f t="shared" ref="H99:I99" si="11">SUM(H100:H120)</f>
        <v>5651.8</v>
      </c>
      <c r="I99" s="140">
        <f t="shared" si="11"/>
        <v>737908160</v>
      </c>
      <c r="J99" s="141">
        <f t="shared" ref="J99" si="12">SUM(J100:J120)</f>
        <v>5634.8</v>
      </c>
      <c r="K99" s="140">
        <f t="shared" ref="K99" si="13">SUM(K100:K120)</f>
        <v>737301110</v>
      </c>
      <c r="L99" s="141">
        <f t="shared" ref="L99" si="14">SUM(L100:L120)</f>
        <v>5614.8</v>
      </c>
      <c r="M99" s="140">
        <f t="shared" ref="M99" si="15">SUM(M100:M120)</f>
        <v>736130505</v>
      </c>
      <c r="N99" s="20">
        <f t="shared" si="6"/>
        <v>-1170605</v>
      </c>
      <c r="O99" s="134">
        <f>SUM(O100:O120)</f>
        <v>736130505</v>
      </c>
      <c r="P99" s="134">
        <f t="shared" si="7"/>
        <v>-1170605</v>
      </c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</row>
    <row r="100" spans="1:52" ht="53.25" customHeight="1" x14ac:dyDescent="0.25">
      <c r="A100" s="21" t="s">
        <v>292</v>
      </c>
      <c r="B100" s="71" t="s">
        <v>107</v>
      </c>
      <c r="C100" s="22" t="s">
        <v>108</v>
      </c>
      <c r="D100" s="69" t="s">
        <v>208</v>
      </c>
      <c r="E100" s="60">
        <v>31.4</v>
      </c>
      <c r="F100" s="132" t="s">
        <v>109</v>
      </c>
      <c r="G100" s="35">
        <f>E100*3000000</f>
        <v>94200000</v>
      </c>
      <c r="H100" s="37">
        <v>31.4</v>
      </c>
      <c r="I100" s="35">
        <v>94200000</v>
      </c>
      <c r="J100" s="37">
        <v>31.4</v>
      </c>
      <c r="K100" s="35">
        <v>94200000</v>
      </c>
      <c r="L100" s="37">
        <v>31.4</v>
      </c>
      <c r="M100" s="35">
        <v>94200000</v>
      </c>
      <c r="N100" s="38">
        <f t="shared" si="6"/>
        <v>0</v>
      </c>
      <c r="O100" s="20">
        <v>94200000</v>
      </c>
      <c r="P100" s="20">
        <f t="shared" si="7"/>
        <v>0</v>
      </c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</row>
    <row r="101" spans="1:52" ht="40.5" customHeight="1" x14ac:dyDescent="0.25">
      <c r="A101" s="21" t="s">
        <v>293</v>
      </c>
      <c r="B101" s="71" t="s">
        <v>110</v>
      </c>
      <c r="C101" s="22" t="s">
        <v>111</v>
      </c>
      <c r="D101" s="69" t="s">
        <v>208</v>
      </c>
      <c r="E101" s="60">
        <v>40.4</v>
      </c>
      <c r="F101" s="142" t="s">
        <v>109</v>
      </c>
      <c r="G101" s="35">
        <f>E101*3000000</f>
        <v>121200000</v>
      </c>
      <c r="H101" s="37">
        <v>40.4</v>
      </c>
      <c r="I101" s="35">
        <v>121200000</v>
      </c>
      <c r="J101" s="37">
        <v>40.4</v>
      </c>
      <c r="K101" s="35">
        <v>121200000</v>
      </c>
      <c r="L101" s="37">
        <v>40.4</v>
      </c>
      <c r="M101" s="35">
        <v>121200000</v>
      </c>
      <c r="N101" s="38">
        <f t="shared" si="6"/>
        <v>0</v>
      </c>
      <c r="O101" s="84">
        <v>121200000</v>
      </c>
      <c r="P101" s="84">
        <f t="shared" si="7"/>
        <v>0</v>
      </c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</row>
    <row r="102" spans="1:52" ht="24" customHeight="1" x14ac:dyDescent="0.25">
      <c r="A102" s="21" t="s">
        <v>294</v>
      </c>
      <c r="B102" s="71" t="s">
        <v>112</v>
      </c>
      <c r="C102" s="30" t="s">
        <v>113</v>
      </c>
      <c r="D102" s="31" t="s">
        <v>31</v>
      </c>
      <c r="E102" s="72">
        <v>1030</v>
      </c>
      <c r="F102" s="56" t="s">
        <v>114</v>
      </c>
      <c r="G102" s="35">
        <f>E102*55360</f>
        <v>57020800</v>
      </c>
      <c r="H102" s="37">
        <v>970</v>
      </c>
      <c r="I102" s="35">
        <v>53699200</v>
      </c>
      <c r="J102" s="37">
        <v>950</v>
      </c>
      <c r="K102" s="35">
        <v>52592000</v>
      </c>
      <c r="L102" s="37">
        <v>900</v>
      </c>
      <c r="M102" s="35">
        <v>49824000</v>
      </c>
      <c r="N102" s="38">
        <f t="shared" si="6"/>
        <v>-2768000</v>
      </c>
      <c r="O102" s="84">
        <v>49824000</v>
      </c>
      <c r="P102" s="38">
        <f t="shared" si="7"/>
        <v>-2768000</v>
      </c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</row>
    <row r="103" spans="1:52" ht="24" customHeight="1" x14ac:dyDescent="0.25">
      <c r="A103" s="21" t="s">
        <v>295</v>
      </c>
      <c r="B103" s="71" t="s">
        <v>209</v>
      </c>
      <c r="C103" s="30" t="s">
        <v>210</v>
      </c>
      <c r="D103" s="51" t="s">
        <v>31</v>
      </c>
      <c r="E103" s="72">
        <v>114</v>
      </c>
      <c r="F103" s="56" t="s">
        <v>211</v>
      </c>
      <c r="G103" s="46">
        <f>E103*25000</f>
        <v>2850000</v>
      </c>
      <c r="H103" s="37">
        <v>60</v>
      </c>
      <c r="I103" s="35">
        <v>1500000</v>
      </c>
      <c r="J103" s="37">
        <v>50</v>
      </c>
      <c r="K103" s="35">
        <v>1250000</v>
      </c>
      <c r="L103" s="37">
        <v>46</v>
      </c>
      <c r="M103" s="35">
        <v>1150000</v>
      </c>
      <c r="N103" s="38">
        <f t="shared" si="6"/>
        <v>-100000</v>
      </c>
      <c r="O103" s="84">
        <v>1150000</v>
      </c>
      <c r="P103" s="20">
        <f t="shared" si="7"/>
        <v>-100000</v>
      </c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</row>
    <row r="104" spans="1:52" ht="24" customHeight="1" x14ac:dyDescent="0.25">
      <c r="A104" s="21" t="s">
        <v>296</v>
      </c>
      <c r="B104" s="71" t="s">
        <v>212</v>
      </c>
      <c r="C104" s="30" t="s">
        <v>213</v>
      </c>
      <c r="D104" s="51" t="s">
        <v>31</v>
      </c>
      <c r="E104" s="72">
        <v>376</v>
      </c>
      <c r="F104" s="56" t="s">
        <v>214</v>
      </c>
      <c r="G104" s="46">
        <f>E104*210000</f>
        <v>78960000</v>
      </c>
      <c r="H104" s="37">
        <v>0</v>
      </c>
      <c r="I104" s="35"/>
      <c r="J104" s="37"/>
      <c r="K104" s="35"/>
      <c r="L104" s="37"/>
      <c r="M104" s="35"/>
      <c r="N104" s="38">
        <f t="shared" si="6"/>
        <v>0</v>
      </c>
      <c r="O104" s="38"/>
      <c r="P104" s="38">
        <f t="shared" si="7"/>
        <v>0</v>
      </c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</row>
    <row r="105" spans="1:52" ht="36" x14ac:dyDescent="0.25">
      <c r="A105" s="21" t="s">
        <v>297</v>
      </c>
      <c r="B105" s="71" t="s">
        <v>269</v>
      </c>
      <c r="C105" s="30" t="s">
        <v>270</v>
      </c>
      <c r="D105" s="51" t="s">
        <v>31</v>
      </c>
      <c r="E105" s="72">
        <v>0</v>
      </c>
      <c r="F105" s="56" t="s">
        <v>339</v>
      </c>
      <c r="G105" s="46">
        <v>0</v>
      </c>
      <c r="H105" s="37">
        <v>385</v>
      </c>
      <c r="I105" s="35">
        <v>105105000</v>
      </c>
      <c r="J105" s="37">
        <v>400</v>
      </c>
      <c r="K105" s="35">
        <v>109200000</v>
      </c>
      <c r="L105" s="37">
        <v>456</v>
      </c>
      <c r="M105" s="35">
        <v>124488000</v>
      </c>
      <c r="N105" s="38">
        <f t="shared" si="6"/>
        <v>15288000</v>
      </c>
      <c r="O105" s="38">
        <v>124488000</v>
      </c>
      <c r="P105" s="20">
        <f t="shared" si="7"/>
        <v>15288000</v>
      </c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</row>
    <row r="106" spans="1:52" ht="24" customHeight="1" x14ac:dyDescent="0.25">
      <c r="A106" s="21" t="s">
        <v>298</v>
      </c>
      <c r="B106" s="71" t="s">
        <v>115</v>
      </c>
      <c r="C106" s="30" t="s">
        <v>116</v>
      </c>
      <c r="D106" s="23"/>
      <c r="E106" s="23"/>
      <c r="F106" s="24"/>
      <c r="G106" s="25"/>
      <c r="H106" s="15"/>
      <c r="I106" s="28"/>
      <c r="J106" s="15"/>
      <c r="K106" s="28"/>
      <c r="L106" s="15"/>
      <c r="M106" s="28"/>
      <c r="N106" s="20"/>
      <c r="O106" s="20"/>
      <c r="P106" s="38">
        <f t="shared" si="7"/>
        <v>0</v>
      </c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</row>
    <row r="107" spans="1:52" ht="24" customHeight="1" x14ac:dyDescent="0.25">
      <c r="A107" s="21" t="s">
        <v>299</v>
      </c>
      <c r="B107" s="71" t="s">
        <v>117</v>
      </c>
      <c r="C107" s="30" t="s">
        <v>118</v>
      </c>
      <c r="D107" s="31" t="s">
        <v>31</v>
      </c>
      <c r="E107" s="72">
        <v>360</v>
      </c>
      <c r="F107" s="56" t="s">
        <v>119</v>
      </c>
      <c r="G107" s="35">
        <f>E107*109000</f>
        <v>39240000</v>
      </c>
      <c r="H107" s="37">
        <v>360</v>
      </c>
      <c r="I107" s="35">
        <v>39240000</v>
      </c>
      <c r="J107" s="37">
        <v>365</v>
      </c>
      <c r="K107" s="35">
        <v>39785000</v>
      </c>
      <c r="L107" s="37">
        <v>372</v>
      </c>
      <c r="M107" s="35">
        <v>40548000</v>
      </c>
      <c r="N107" s="38">
        <f t="shared" si="6"/>
        <v>763000</v>
      </c>
      <c r="O107" s="38">
        <v>40548000</v>
      </c>
      <c r="P107" s="20">
        <f t="shared" si="7"/>
        <v>763000</v>
      </c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</row>
    <row r="108" spans="1:52" ht="36" x14ac:dyDescent="0.25">
      <c r="A108" s="21" t="s">
        <v>300</v>
      </c>
      <c r="B108" s="71" t="s">
        <v>120</v>
      </c>
      <c r="C108" s="30" t="s">
        <v>121</v>
      </c>
      <c r="D108" s="23"/>
      <c r="E108" s="59"/>
      <c r="F108" s="66"/>
      <c r="G108" s="28"/>
      <c r="H108" s="15"/>
      <c r="I108" s="28"/>
      <c r="J108" s="15"/>
      <c r="K108" s="28"/>
      <c r="L108" s="15"/>
      <c r="M108" s="62"/>
      <c r="N108" s="20"/>
      <c r="O108" s="38"/>
      <c r="P108" s="38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</row>
    <row r="109" spans="1:52" ht="24" customHeight="1" x14ac:dyDescent="0.25">
      <c r="A109" s="21" t="s">
        <v>301</v>
      </c>
      <c r="B109" s="71" t="s">
        <v>122</v>
      </c>
      <c r="C109" s="30" t="s">
        <v>123</v>
      </c>
      <c r="D109" s="31" t="s">
        <v>31</v>
      </c>
      <c r="E109" s="72">
        <v>21</v>
      </c>
      <c r="F109" s="56" t="s">
        <v>124</v>
      </c>
      <c r="G109" s="35">
        <f>E109*310000</f>
        <v>6510000</v>
      </c>
      <c r="H109" s="37">
        <v>23</v>
      </c>
      <c r="I109" s="35">
        <v>7130000</v>
      </c>
      <c r="J109" s="37">
        <v>24</v>
      </c>
      <c r="K109" s="35">
        <v>7440000</v>
      </c>
      <c r="L109" s="37">
        <v>24</v>
      </c>
      <c r="M109" s="35">
        <v>7440000</v>
      </c>
      <c r="N109" s="38">
        <f t="shared" ref="N109:N148" si="16">M109-K109</f>
        <v>0</v>
      </c>
      <c r="O109" s="20">
        <v>7440000</v>
      </c>
      <c r="P109" s="20">
        <f t="shared" ref="P109:P144" si="17">O109-M109+N109</f>
        <v>0</v>
      </c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</row>
    <row r="110" spans="1:52" ht="24" customHeight="1" x14ac:dyDescent="0.25">
      <c r="A110" s="21" t="s">
        <v>302</v>
      </c>
      <c r="B110" s="71" t="s">
        <v>125</v>
      </c>
      <c r="C110" s="30" t="s">
        <v>126</v>
      </c>
      <c r="D110" s="23"/>
      <c r="E110" s="23"/>
      <c r="F110" s="24"/>
      <c r="G110" s="25"/>
      <c r="H110" s="15"/>
      <c r="I110" s="28"/>
      <c r="J110" s="15"/>
      <c r="K110" s="28"/>
      <c r="L110" s="15"/>
      <c r="M110" s="28"/>
      <c r="N110" s="20"/>
      <c r="O110" s="38"/>
      <c r="P110" s="84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</row>
    <row r="111" spans="1:52" ht="36" x14ac:dyDescent="0.25">
      <c r="A111" s="21" t="s">
        <v>303</v>
      </c>
      <c r="B111" s="71" t="s">
        <v>127</v>
      </c>
      <c r="C111" s="30" t="s">
        <v>215</v>
      </c>
      <c r="D111" s="31" t="s">
        <v>31</v>
      </c>
      <c r="E111" s="72">
        <v>569</v>
      </c>
      <c r="F111" s="56" t="s">
        <v>128</v>
      </c>
      <c r="G111" s="35">
        <f>E111*494100</f>
        <v>281142900</v>
      </c>
      <c r="H111" s="37">
        <v>590</v>
      </c>
      <c r="I111" s="35">
        <v>291519000</v>
      </c>
      <c r="J111" s="37">
        <v>583</v>
      </c>
      <c r="K111" s="35">
        <v>288060300</v>
      </c>
      <c r="L111" s="37">
        <v>555</v>
      </c>
      <c r="M111" s="35">
        <v>274225500</v>
      </c>
      <c r="N111" s="38">
        <f t="shared" si="16"/>
        <v>-13834800</v>
      </c>
      <c r="O111" s="20">
        <v>274225500</v>
      </c>
      <c r="P111" s="38">
        <f t="shared" si="17"/>
        <v>-13834800</v>
      </c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</row>
    <row r="112" spans="1:52" ht="36" x14ac:dyDescent="0.25">
      <c r="A112" s="21" t="s">
        <v>304</v>
      </c>
      <c r="B112" s="71" t="s">
        <v>129</v>
      </c>
      <c r="C112" s="30" t="s">
        <v>216</v>
      </c>
      <c r="D112" s="31" t="s">
        <v>31</v>
      </c>
      <c r="E112" s="72">
        <v>4</v>
      </c>
      <c r="F112" s="56" t="s">
        <v>130</v>
      </c>
      <c r="G112" s="35">
        <f>E112*518805</f>
        <v>2075220</v>
      </c>
      <c r="H112" s="37">
        <v>6</v>
      </c>
      <c r="I112" s="35">
        <v>3112830</v>
      </c>
      <c r="J112" s="37">
        <v>6</v>
      </c>
      <c r="K112" s="35">
        <v>3112830</v>
      </c>
      <c r="L112" s="37">
        <v>5</v>
      </c>
      <c r="M112" s="35">
        <v>2594025</v>
      </c>
      <c r="N112" s="38">
        <f t="shared" si="16"/>
        <v>-518805</v>
      </c>
      <c r="O112" s="84">
        <v>2594025</v>
      </c>
      <c r="P112" s="38">
        <f t="shared" si="17"/>
        <v>-518805</v>
      </c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</row>
    <row r="113" spans="1:52" ht="36" x14ac:dyDescent="0.25">
      <c r="A113" s="21" t="s">
        <v>305</v>
      </c>
      <c r="B113" s="71" t="s">
        <v>131</v>
      </c>
      <c r="C113" s="30" t="s">
        <v>217</v>
      </c>
      <c r="D113" s="31" t="s">
        <v>31</v>
      </c>
      <c r="E113" s="72">
        <v>3</v>
      </c>
      <c r="F113" s="56" t="s">
        <v>132</v>
      </c>
      <c r="G113" s="35">
        <f>E113*543510</f>
        <v>1630530</v>
      </c>
      <c r="H113" s="37">
        <v>3</v>
      </c>
      <c r="I113" s="35">
        <v>1630530</v>
      </c>
      <c r="J113" s="37">
        <v>3</v>
      </c>
      <c r="K113" s="35">
        <v>1630530</v>
      </c>
      <c r="L113" s="37">
        <v>3</v>
      </c>
      <c r="M113" s="35">
        <v>1630530</v>
      </c>
      <c r="N113" s="38">
        <f t="shared" si="16"/>
        <v>0</v>
      </c>
      <c r="O113" s="38">
        <v>1630530</v>
      </c>
      <c r="P113" s="38">
        <f t="shared" si="17"/>
        <v>0</v>
      </c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</row>
    <row r="114" spans="1:52" ht="24" customHeight="1" x14ac:dyDescent="0.25">
      <c r="A114" s="21" t="s">
        <v>306</v>
      </c>
      <c r="B114" s="207" t="s">
        <v>133</v>
      </c>
      <c r="C114" s="47" t="s">
        <v>218</v>
      </c>
      <c r="D114" s="80" t="s">
        <v>31</v>
      </c>
      <c r="E114" s="67">
        <v>4</v>
      </c>
      <c r="F114" s="68" t="s">
        <v>134</v>
      </c>
      <c r="G114" s="35">
        <f>E114*741150</f>
        <v>2964600</v>
      </c>
      <c r="H114" s="37">
        <v>4</v>
      </c>
      <c r="I114" s="35">
        <v>2964600</v>
      </c>
      <c r="J114" s="37">
        <v>3</v>
      </c>
      <c r="K114" s="35">
        <v>2223450</v>
      </c>
      <c r="L114" s="37">
        <v>3</v>
      </c>
      <c r="M114" s="35">
        <v>2223450</v>
      </c>
      <c r="N114" s="38">
        <f t="shared" si="16"/>
        <v>0</v>
      </c>
      <c r="O114" s="20">
        <v>2223450</v>
      </c>
      <c r="P114" s="38">
        <f t="shared" si="17"/>
        <v>0</v>
      </c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</row>
    <row r="115" spans="1:52" ht="36.75" customHeight="1" x14ac:dyDescent="0.25">
      <c r="A115" s="21" t="s">
        <v>307</v>
      </c>
      <c r="B115" s="143" t="s">
        <v>219</v>
      </c>
      <c r="C115" s="144" t="s">
        <v>220</v>
      </c>
      <c r="D115" s="162"/>
      <c r="E115" s="193"/>
      <c r="F115" s="163"/>
      <c r="G115" s="28"/>
      <c r="H115" s="15"/>
      <c r="I115" s="28"/>
      <c r="J115" s="15"/>
      <c r="K115" s="28"/>
      <c r="L115" s="15"/>
      <c r="M115" s="62"/>
      <c r="N115" s="20"/>
      <c r="O115" s="38"/>
      <c r="P115" s="38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</row>
    <row r="116" spans="1:52" ht="48.75" customHeight="1" x14ac:dyDescent="0.25">
      <c r="A116" s="21" t="s">
        <v>308</v>
      </c>
      <c r="B116" s="143"/>
      <c r="C116" s="145" t="s">
        <v>158</v>
      </c>
      <c r="D116" s="31" t="s">
        <v>159</v>
      </c>
      <c r="E116" s="146">
        <v>12</v>
      </c>
      <c r="F116" s="132" t="s">
        <v>160</v>
      </c>
      <c r="G116" s="35">
        <v>3000000</v>
      </c>
      <c r="H116" s="37">
        <v>12</v>
      </c>
      <c r="I116" s="35">
        <v>3000000</v>
      </c>
      <c r="J116" s="37">
        <v>12</v>
      </c>
      <c r="K116" s="35">
        <v>3000000</v>
      </c>
      <c r="L116" s="37">
        <v>12</v>
      </c>
      <c r="M116" s="35">
        <v>3000000</v>
      </c>
      <c r="N116" s="38">
        <f t="shared" si="16"/>
        <v>0</v>
      </c>
      <c r="O116" s="38">
        <v>3000000</v>
      </c>
      <c r="P116" s="20">
        <f t="shared" si="17"/>
        <v>0</v>
      </c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</row>
    <row r="117" spans="1:52" ht="34.5" customHeight="1" x14ac:dyDescent="0.25">
      <c r="A117" s="21" t="s">
        <v>309</v>
      </c>
      <c r="B117" s="143"/>
      <c r="C117" s="145" t="s">
        <v>161</v>
      </c>
      <c r="D117" s="31" t="s">
        <v>162</v>
      </c>
      <c r="E117" s="146">
        <v>3115</v>
      </c>
      <c r="F117" s="132" t="s">
        <v>163</v>
      </c>
      <c r="G117" s="35">
        <f>E117*1800</f>
        <v>5607000</v>
      </c>
      <c r="H117" s="37">
        <v>3115</v>
      </c>
      <c r="I117" s="35">
        <v>5607000</v>
      </c>
      <c r="J117" s="37">
        <v>3115</v>
      </c>
      <c r="K117" s="35">
        <v>5607000</v>
      </c>
      <c r="L117" s="37">
        <v>3115</v>
      </c>
      <c r="M117" s="35">
        <v>5607000</v>
      </c>
      <c r="N117" s="38">
        <f t="shared" si="16"/>
        <v>0</v>
      </c>
      <c r="O117" s="20">
        <v>5607000</v>
      </c>
      <c r="P117" s="38">
        <f t="shared" si="17"/>
        <v>0</v>
      </c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</row>
    <row r="118" spans="1:52" ht="32.25" customHeight="1" x14ac:dyDescent="0.25">
      <c r="A118" s="21" t="s">
        <v>310</v>
      </c>
      <c r="B118" s="143" t="s">
        <v>221</v>
      </c>
      <c r="C118" s="145" t="s">
        <v>222</v>
      </c>
      <c r="D118" s="31"/>
      <c r="E118" s="146"/>
      <c r="F118" s="132"/>
      <c r="G118" s="35"/>
      <c r="H118" s="34"/>
      <c r="I118" s="74"/>
      <c r="J118" s="37"/>
      <c r="K118" s="35"/>
      <c r="L118" s="37"/>
      <c r="M118" s="35"/>
      <c r="N118" s="38"/>
      <c r="O118" s="84"/>
      <c r="P118" s="20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</row>
    <row r="119" spans="1:52" ht="36" x14ac:dyDescent="0.25">
      <c r="A119" s="21" t="s">
        <v>311</v>
      </c>
      <c r="B119" s="148"/>
      <c r="C119" s="145" t="s">
        <v>164</v>
      </c>
      <c r="D119" s="31" t="s">
        <v>159</v>
      </c>
      <c r="E119" s="146">
        <v>12</v>
      </c>
      <c r="F119" s="132" t="s">
        <v>165</v>
      </c>
      <c r="G119" s="35">
        <v>2000000</v>
      </c>
      <c r="H119" s="29">
        <v>12</v>
      </c>
      <c r="I119" s="74">
        <v>2000000</v>
      </c>
      <c r="J119" s="37">
        <v>12</v>
      </c>
      <c r="K119" s="35">
        <v>2000000</v>
      </c>
      <c r="L119" s="37">
        <v>12</v>
      </c>
      <c r="M119" s="35">
        <v>2000000</v>
      </c>
      <c r="N119" s="38">
        <f t="shared" si="16"/>
        <v>0</v>
      </c>
      <c r="O119" s="38">
        <v>2000000</v>
      </c>
      <c r="P119" s="84">
        <f t="shared" si="17"/>
        <v>0</v>
      </c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</row>
    <row r="120" spans="1:52" ht="54.75" thickBot="1" x14ac:dyDescent="0.3">
      <c r="A120" s="224" t="s">
        <v>312</v>
      </c>
      <c r="B120" s="149"/>
      <c r="C120" s="150" t="s">
        <v>166</v>
      </c>
      <c r="D120" s="115" t="s">
        <v>162</v>
      </c>
      <c r="E120" s="151">
        <v>40</v>
      </c>
      <c r="F120" s="152" t="s">
        <v>167</v>
      </c>
      <c r="G120" s="82">
        <f>E120*150000</f>
        <v>6000000</v>
      </c>
      <c r="H120" s="83">
        <v>40</v>
      </c>
      <c r="I120" s="82">
        <v>6000000</v>
      </c>
      <c r="J120" s="153">
        <v>40</v>
      </c>
      <c r="K120" s="82">
        <v>6000000</v>
      </c>
      <c r="L120" s="153">
        <v>40</v>
      </c>
      <c r="M120" s="82">
        <v>6000000</v>
      </c>
      <c r="N120" s="119">
        <f t="shared" si="16"/>
        <v>0</v>
      </c>
      <c r="O120" s="119">
        <v>6000000</v>
      </c>
      <c r="P120" s="119">
        <f t="shared" si="17"/>
        <v>0</v>
      </c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</row>
    <row r="121" spans="1:52" s="8" customFormat="1" ht="24" customHeight="1" x14ac:dyDescent="0.25">
      <c r="A121" s="23"/>
      <c r="B121" s="120"/>
      <c r="C121" s="121"/>
      <c r="D121" s="23"/>
      <c r="E121" s="59"/>
      <c r="F121" s="66"/>
      <c r="G121" s="87"/>
      <c r="H121" s="29"/>
      <c r="I121" s="26"/>
      <c r="J121" s="29"/>
      <c r="K121" s="26"/>
      <c r="L121" s="29"/>
      <c r="M121" s="26"/>
      <c r="N121" s="26"/>
      <c r="O121" s="26"/>
      <c r="P121" s="26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</row>
    <row r="122" spans="1:52" s="8" customFormat="1" ht="24" customHeight="1" x14ac:dyDescent="0.25">
      <c r="A122" s="23"/>
      <c r="B122" s="120"/>
      <c r="C122" s="121"/>
      <c r="D122" s="23"/>
      <c r="E122" s="59"/>
      <c r="F122" s="66"/>
      <c r="G122" s="87"/>
      <c r="H122" s="29"/>
      <c r="I122" s="26"/>
      <c r="J122" s="29"/>
      <c r="K122" s="26"/>
      <c r="L122" s="29"/>
      <c r="M122" s="26"/>
      <c r="N122" s="26"/>
      <c r="O122" s="26"/>
      <c r="P122" s="26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</row>
    <row r="123" spans="1:52" ht="24" customHeight="1" x14ac:dyDescent="0.25">
      <c r="A123" s="226"/>
      <c r="B123" s="244"/>
      <c r="C123" s="244"/>
      <c r="D123" s="244"/>
      <c r="E123" s="244"/>
      <c r="F123" s="244"/>
      <c r="G123" s="244"/>
      <c r="H123" s="29"/>
      <c r="I123" s="26"/>
      <c r="J123" s="29"/>
      <c r="K123" s="26"/>
      <c r="L123" s="29"/>
      <c r="M123" s="26"/>
      <c r="N123" s="26"/>
      <c r="O123" s="26"/>
      <c r="P123" s="26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</row>
    <row r="124" spans="1:52" ht="24" customHeight="1" x14ac:dyDescent="0.25">
      <c r="A124" s="226" t="s">
        <v>329</v>
      </c>
      <c r="B124" s="226"/>
      <c r="C124" s="226"/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</row>
    <row r="125" spans="1:52" ht="18.75" thickBot="1" x14ac:dyDescent="0.3">
      <c r="A125" s="23"/>
      <c r="B125" s="8"/>
      <c r="C125" s="166"/>
      <c r="D125" s="23"/>
      <c r="E125" s="23"/>
      <c r="F125" s="24"/>
      <c r="G125" s="8"/>
      <c r="H125" s="8"/>
      <c r="I125" s="26"/>
      <c r="J125" s="8"/>
      <c r="K125" s="26"/>
      <c r="L125" s="8"/>
      <c r="M125" s="26"/>
      <c r="N125" s="26"/>
      <c r="O125" s="26"/>
      <c r="P125" s="26"/>
    </row>
    <row r="126" spans="1:52" ht="135" customHeight="1" thickBot="1" x14ac:dyDescent="0.3">
      <c r="A126" s="228" t="s">
        <v>13</v>
      </c>
      <c r="B126" s="229"/>
      <c r="C126" s="229"/>
      <c r="D126" s="229"/>
      <c r="E126" s="229"/>
      <c r="F126" s="229"/>
      <c r="G126" s="230"/>
      <c r="H126" s="235" t="s">
        <v>14</v>
      </c>
      <c r="I126" s="236"/>
      <c r="J126" s="235" t="s">
        <v>15</v>
      </c>
      <c r="K126" s="236"/>
      <c r="L126" s="235" t="s">
        <v>16</v>
      </c>
      <c r="M126" s="236"/>
      <c r="N126" s="6" t="s">
        <v>17</v>
      </c>
      <c r="O126" s="7" t="s">
        <v>18</v>
      </c>
      <c r="P126" s="7" t="s">
        <v>19</v>
      </c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</row>
    <row r="127" spans="1:52" ht="60.75" customHeight="1" thickBot="1" x14ac:dyDescent="0.3">
      <c r="A127" s="228" t="s">
        <v>20</v>
      </c>
      <c r="B127" s="229"/>
      <c r="C127" s="229"/>
      <c r="D127" s="168" t="s">
        <v>21</v>
      </c>
      <c r="E127" s="169" t="s">
        <v>22</v>
      </c>
      <c r="F127" s="170" t="s">
        <v>23</v>
      </c>
      <c r="G127" s="171" t="s">
        <v>24</v>
      </c>
      <c r="H127" s="204" t="s">
        <v>22</v>
      </c>
      <c r="I127" s="172" t="s">
        <v>25</v>
      </c>
      <c r="J127" s="205" t="s">
        <v>22</v>
      </c>
      <c r="K127" s="173" t="s">
        <v>24</v>
      </c>
      <c r="L127" s="205" t="s">
        <v>22</v>
      </c>
      <c r="M127" s="172" t="s">
        <v>25</v>
      </c>
      <c r="N127" s="6" t="s">
        <v>24</v>
      </c>
      <c r="O127" s="7" t="s">
        <v>24</v>
      </c>
      <c r="P127" s="7" t="s">
        <v>24</v>
      </c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</row>
    <row r="128" spans="1:52" s="203" customFormat="1" ht="24" customHeight="1" thickBot="1" x14ac:dyDescent="0.3">
      <c r="A128" s="125"/>
      <c r="B128" s="174"/>
      <c r="C128" s="175" t="s">
        <v>11</v>
      </c>
      <c r="D128" s="176">
        <v>2</v>
      </c>
      <c r="E128" s="177">
        <v>3</v>
      </c>
      <c r="F128" s="168">
        <v>4</v>
      </c>
      <c r="G128" s="178">
        <v>5</v>
      </c>
      <c r="H128" s="89">
        <v>6</v>
      </c>
      <c r="I128" s="88">
        <v>7</v>
      </c>
      <c r="J128" s="89">
        <v>8</v>
      </c>
      <c r="K128" s="88">
        <v>9</v>
      </c>
      <c r="L128" s="89">
        <v>10</v>
      </c>
      <c r="M128" s="88">
        <v>11</v>
      </c>
      <c r="N128" s="7">
        <v>12</v>
      </c>
      <c r="O128" s="6">
        <v>13</v>
      </c>
      <c r="P128" s="7">
        <v>14</v>
      </c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</row>
    <row r="129" spans="1:52" ht="56.25" x14ac:dyDescent="0.3">
      <c r="A129" s="21" t="s">
        <v>313</v>
      </c>
      <c r="B129" s="156" t="s">
        <v>135</v>
      </c>
      <c r="C129" s="157" t="s">
        <v>136</v>
      </c>
      <c r="D129" s="12"/>
      <c r="E129" s="12"/>
      <c r="F129" s="13"/>
      <c r="G129" s="158">
        <f>SUM(G130:G137)</f>
        <v>680464080</v>
      </c>
      <c r="H129" s="141"/>
      <c r="I129" s="159">
        <f>SUM(I130:I137)</f>
        <v>747454120</v>
      </c>
      <c r="J129" s="141"/>
      <c r="K129" s="140">
        <f t="shared" ref="K129" si="18">SUM(K130:K137)</f>
        <v>744848080</v>
      </c>
      <c r="L129" s="141"/>
      <c r="M129" s="158">
        <f t="shared" ref="M129" si="19">SUM(M130:M137)</f>
        <v>737029960</v>
      </c>
      <c r="N129" s="99">
        <f t="shared" si="16"/>
        <v>-7818120</v>
      </c>
      <c r="O129" s="99">
        <f>SUM(O137,O130)</f>
        <v>737029960</v>
      </c>
      <c r="P129" s="138">
        <f t="shared" si="17"/>
        <v>-7818120</v>
      </c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</row>
    <row r="130" spans="1:52" ht="36" x14ac:dyDescent="0.25">
      <c r="A130" s="21" t="s">
        <v>314</v>
      </c>
      <c r="B130" s="71" t="s">
        <v>138</v>
      </c>
      <c r="C130" s="30" t="s">
        <v>137</v>
      </c>
      <c r="D130" s="31" t="s">
        <v>31</v>
      </c>
      <c r="E130" s="72">
        <v>177</v>
      </c>
      <c r="F130" s="56" t="s">
        <v>139</v>
      </c>
      <c r="G130" s="35">
        <f>E130*2606040</f>
        <v>461269080</v>
      </c>
      <c r="H130" s="45">
        <v>178</v>
      </c>
      <c r="I130" s="44">
        <v>463875120</v>
      </c>
      <c r="J130" s="101">
        <v>177</v>
      </c>
      <c r="K130" s="46">
        <v>461269080</v>
      </c>
      <c r="L130" s="101">
        <v>174</v>
      </c>
      <c r="M130" s="28">
        <v>453450960</v>
      </c>
      <c r="N130" s="20">
        <f t="shared" si="16"/>
        <v>-7818120</v>
      </c>
      <c r="O130" s="38">
        <v>453450960</v>
      </c>
      <c r="P130" s="84">
        <f t="shared" si="17"/>
        <v>-7818120</v>
      </c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</row>
    <row r="131" spans="1:52" x14ac:dyDescent="0.25">
      <c r="A131" s="21" t="s">
        <v>315</v>
      </c>
      <c r="B131" s="206"/>
      <c r="C131" s="30" t="s">
        <v>223</v>
      </c>
      <c r="D131" s="23"/>
      <c r="E131" s="23"/>
      <c r="F131" s="24"/>
      <c r="G131" s="131"/>
      <c r="H131" s="15"/>
      <c r="I131" s="44"/>
      <c r="J131" s="101"/>
      <c r="K131" s="28"/>
      <c r="L131" s="101"/>
      <c r="M131" s="44"/>
      <c r="N131" s="84"/>
      <c r="O131" s="20"/>
      <c r="P131" s="84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</row>
    <row r="132" spans="1:52" ht="36" x14ac:dyDescent="0.25">
      <c r="A132" s="21" t="s">
        <v>316</v>
      </c>
      <c r="B132" s="71" t="s">
        <v>140</v>
      </c>
      <c r="C132" s="30" t="s">
        <v>141</v>
      </c>
      <c r="D132" s="51" t="s">
        <v>31</v>
      </c>
      <c r="E132" s="72">
        <v>437</v>
      </c>
      <c r="F132" s="66"/>
      <c r="G132" s="103"/>
      <c r="H132" s="15"/>
      <c r="I132" s="28"/>
      <c r="J132" s="15"/>
      <c r="K132" s="28"/>
      <c r="L132" s="15"/>
      <c r="M132" s="28"/>
      <c r="N132" s="20"/>
      <c r="O132" s="20"/>
      <c r="P132" s="20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</row>
    <row r="133" spans="1:52" ht="36" x14ac:dyDescent="0.25">
      <c r="A133" s="21" t="s">
        <v>317</v>
      </c>
      <c r="B133" s="71" t="s">
        <v>142</v>
      </c>
      <c r="C133" s="30" t="s">
        <v>143</v>
      </c>
      <c r="D133" s="51" t="s">
        <v>31</v>
      </c>
      <c r="E133" s="72">
        <v>150</v>
      </c>
      <c r="F133" s="66"/>
      <c r="G133" s="103"/>
      <c r="H133" s="15"/>
      <c r="I133" s="28"/>
      <c r="J133" s="15"/>
      <c r="K133" s="28"/>
      <c r="L133" s="15"/>
      <c r="M133" s="28"/>
      <c r="N133" s="20"/>
      <c r="O133" s="20"/>
      <c r="P133" s="20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</row>
    <row r="134" spans="1:52" ht="24" customHeight="1" x14ac:dyDescent="0.25">
      <c r="A134" s="21" t="s">
        <v>318</v>
      </c>
      <c r="B134" s="71" t="s">
        <v>144</v>
      </c>
      <c r="C134" s="47" t="s">
        <v>145</v>
      </c>
      <c r="D134" s="41" t="s">
        <v>31</v>
      </c>
      <c r="E134" s="72">
        <v>41</v>
      </c>
      <c r="F134" s="66"/>
      <c r="G134" s="103"/>
      <c r="H134" s="15"/>
      <c r="I134" s="28"/>
      <c r="J134" s="15"/>
      <c r="K134" s="28"/>
      <c r="L134" s="15"/>
      <c r="M134" s="28"/>
      <c r="N134" s="20"/>
      <c r="O134" s="20"/>
      <c r="P134" s="20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</row>
    <row r="135" spans="1:52" ht="24" customHeight="1" x14ac:dyDescent="0.25">
      <c r="A135" s="21" t="s">
        <v>319</v>
      </c>
      <c r="B135" s="71" t="s">
        <v>146</v>
      </c>
      <c r="C135" s="47" t="s">
        <v>147</v>
      </c>
      <c r="D135" s="41" t="s">
        <v>31</v>
      </c>
      <c r="E135" s="72">
        <v>15</v>
      </c>
      <c r="F135" s="66"/>
      <c r="G135" s="103"/>
      <c r="H135" s="15"/>
      <c r="I135" s="28"/>
      <c r="J135" s="15"/>
      <c r="K135" s="28"/>
      <c r="L135" s="15"/>
      <c r="M135" s="28"/>
      <c r="N135" s="20"/>
      <c r="O135" s="20"/>
      <c r="P135" s="20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</row>
    <row r="136" spans="1:52" ht="24" customHeight="1" x14ac:dyDescent="0.25">
      <c r="A136" s="21" t="s">
        <v>320</v>
      </c>
      <c r="B136" s="71" t="s">
        <v>148</v>
      </c>
      <c r="C136" s="47" t="s">
        <v>149</v>
      </c>
      <c r="D136" s="41" t="s">
        <v>31</v>
      </c>
      <c r="E136" s="72">
        <v>35</v>
      </c>
      <c r="F136" s="66"/>
      <c r="G136" s="103"/>
      <c r="H136" s="15"/>
      <c r="I136" s="62"/>
      <c r="J136" s="15"/>
      <c r="K136" s="62"/>
      <c r="L136" s="15"/>
      <c r="M136" s="62"/>
      <c r="N136" s="134"/>
      <c r="O136" s="20"/>
      <c r="P136" s="20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</row>
    <row r="137" spans="1:52" ht="24" customHeight="1" x14ac:dyDescent="0.25">
      <c r="A137" s="21" t="s">
        <v>321</v>
      </c>
      <c r="B137" s="71" t="s">
        <v>150</v>
      </c>
      <c r="C137" s="30" t="s">
        <v>151</v>
      </c>
      <c r="D137" s="51"/>
      <c r="E137" s="52"/>
      <c r="F137" s="160"/>
      <c r="G137" s="46">
        <v>219195000</v>
      </c>
      <c r="H137" s="37"/>
      <c r="I137" s="35">
        <v>283579000</v>
      </c>
      <c r="J137" s="37"/>
      <c r="K137" s="35">
        <v>283579000</v>
      </c>
      <c r="L137" s="37"/>
      <c r="M137" s="35">
        <v>283579000</v>
      </c>
      <c r="N137" s="38">
        <f t="shared" si="16"/>
        <v>0</v>
      </c>
      <c r="O137" s="84">
        <v>283579000</v>
      </c>
      <c r="P137" s="84">
        <f t="shared" si="17"/>
        <v>0</v>
      </c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</row>
    <row r="138" spans="1:52" ht="33.75" customHeight="1" x14ac:dyDescent="0.3">
      <c r="A138" s="21" t="s">
        <v>322</v>
      </c>
      <c r="B138" s="207" t="s">
        <v>152</v>
      </c>
      <c r="C138" s="161" t="s">
        <v>224</v>
      </c>
      <c r="D138" s="23"/>
      <c r="E138" s="23"/>
      <c r="F138" s="24"/>
      <c r="G138" s="140">
        <f>SUM(G139:G141)</f>
        <v>882469626</v>
      </c>
      <c r="H138" s="129"/>
      <c r="I138" s="128">
        <f t="shared" ref="I138" si="20">SUM(I139:I141)</f>
        <v>976120326</v>
      </c>
      <c r="J138" s="129"/>
      <c r="K138" s="128">
        <f t="shared" ref="K138" si="21">SUM(K139:K141)</f>
        <v>965394711</v>
      </c>
      <c r="L138" s="129"/>
      <c r="M138" s="128">
        <f t="shared" ref="M138" si="22">SUM(M139:M141)</f>
        <v>960952971</v>
      </c>
      <c r="N138" s="38">
        <f t="shared" si="16"/>
        <v>-4441740</v>
      </c>
      <c r="O138" s="38">
        <f>SUM(O139:O141)</f>
        <v>960952971</v>
      </c>
      <c r="P138" s="38">
        <f t="shared" si="17"/>
        <v>-4441740</v>
      </c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</row>
    <row r="139" spans="1:52" ht="45" customHeight="1" x14ac:dyDescent="0.25">
      <c r="A139" s="21" t="s">
        <v>323</v>
      </c>
      <c r="B139" s="71" t="s">
        <v>225</v>
      </c>
      <c r="C139" s="30" t="s">
        <v>153</v>
      </c>
      <c r="D139" s="31" t="s">
        <v>31</v>
      </c>
      <c r="E139" s="63">
        <v>199.47</v>
      </c>
      <c r="F139" s="32" t="s">
        <v>154</v>
      </c>
      <c r="G139" s="35">
        <f>E139*1632000</f>
        <v>325535040</v>
      </c>
      <c r="H139" s="37">
        <v>205.61</v>
      </c>
      <c r="I139" s="35">
        <v>335555520</v>
      </c>
      <c r="J139" s="37">
        <v>200.91</v>
      </c>
      <c r="K139" s="35">
        <v>327885120</v>
      </c>
      <c r="L139" s="37">
        <v>198.4</v>
      </c>
      <c r="M139" s="35">
        <v>323788800</v>
      </c>
      <c r="N139" s="38">
        <f t="shared" si="16"/>
        <v>-4096320</v>
      </c>
      <c r="O139" s="38">
        <v>323788800</v>
      </c>
      <c r="P139" s="38">
        <f t="shared" si="17"/>
        <v>-4096320</v>
      </c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</row>
    <row r="140" spans="1:52" ht="24" customHeight="1" x14ac:dyDescent="0.25">
      <c r="A140" s="21" t="s">
        <v>324</v>
      </c>
      <c r="B140" s="147" t="s">
        <v>226</v>
      </c>
      <c r="C140" s="144" t="s">
        <v>155</v>
      </c>
      <c r="D140" s="162"/>
      <c r="E140" s="162"/>
      <c r="F140" s="163"/>
      <c r="G140" s="44">
        <v>538571922</v>
      </c>
      <c r="H140" s="37"/>
      <c r="I140" s="35">
        <v>622503786</v>
      </c>
      <c r="J140" s="37"/>
      <c r="K140" s="35">
        <v>624323781</v>
      </c>
      <c r="L140" s="37"/>
      <c r="M140" s="35">
        <v>624323781</v>
      </c>
      <c r="N140" s="38">
        <f t="shared" si="16"/>
        <v>0</v>
      </c>
      <c r="O140" s="20">
        <v>624323781</v>
      </c>
      <c r="P140" s="20">
        <f t="shared" si="17"/>
        <v>0</v>
      </c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</row>
    <row r="141" spans="1:52" ht="42.75" customHeight="1" x14ac:dyDescent="0.25">
      <c r="A141" s="21" t="s">
        <v>325</v>
      </c>
      <c r="B141" s="147" t="s">
        <v>227</v>
      </c>
      <c r="C141" s="144" t="s">
        <v>228</v>
      </c>
      <c r="D141" s="80" t="s">
        <v>31</v>
      </c>
      <c r="E141" s="67">
        <v>53692</v>
      </c>
      <c r="F141" s="164" t="s">
        <v>229</v>
      </c>
      <c r="G141" s="74">
        <f>E141*342</f>
        <v>18362664</v>
      </c>
      <c r="H141" s="34">
        <v>52810</v>
      </c>
      <c r="I141" s="35">
        <v>18061020</v>
      </c>
      <c r="J141" s="37">
        <v>38555</v>
      </c>
      <c r="K141" s="35">
        <v>13185810</v>
      </c>
      <c r="L141" s="37">
        <v>37545</v>
      </c>
      <c r="M141" s="35">
        <v>12840390</v>
      </c>
      <c r="N141" s="38">
        <f t="shared" si="16"/>
        <v>-345420</v>
      </c>
      <c r="O141" s="38">
        <v>12840390</v>
      </c>
      <c r="P141" s="38">
        <f t="shared" si="17"/>
        <v>-345420</v>
      </c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</row>
    <row r="142" spans="1:52" ht="64.5" customHeight="1" thickBot="1" x14ac:dyDescent="0.3">
      <c r="A142" s="21" t="s">
        <v>326</v>
      </c>
      <c r="B142" s="149" t="s">
        <v>156</v>
      </c>
      <c r="C142" s="150" t="s">
        <v>230</v>
      </c>
      <c r="D142" s="115" t="s">
        <v>31</v>
      </c>
      <c r="E142" s="165">
        <v>22</v>
      </c>
      <c r="F142" s="152" t="s">
        <v>231</v>
      </c>
      <c r="G142" s="82">
        <f>E142*1508760</f>
        <v>33192720</v>
      </c>
      <c r="H142" s="194">
        <v>23</v>
      </c>
      <c r="I142" s="82">
        <v>34701480</v>
      </c>
      <c r="J142" s="194">
        <v>23.5</v>
      </c>
      <c r="K142" s="82">
        <v>35455860</v>
      </c>
      <c r="L142" s="194">
        <v>24.2</v>
      </c>
      <c r="M142" s="82">
        <v>36511992</v>
      </c>
      <c r="N142" s="195">
        <f t="shared" si="16"/>
        <v>1056132</v>
      </c>
      <c r="O142" s="196">
        <v>36511992</v>
      </c>
      <c r="P142" s="154">
        <f t="shared" si="17"/>
        <v>1056132</v>
      </c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</row>
    <row r="143" spans="1:52" ht="24" customHeight="1" thickBot="1" x14ac:dyDescent="0.3">
      <c r="A143" s="51"/>
      <c r="B143" s="23"/>
      <c r="C143" s="166"/>
      <c r="D143" s="8"/>
      <c r="E143" s="8"/>
      <c r="F143" s="166"/>
      <c r="G143" s="87"/>
      <c r="H143" s="15"/>
      <c r="J143" s="15"/>
      <c r="L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</row>
    <row r="144" spans="1:52" ht="54.75" thickBot="1" x14ac:dyDescent="0.3">
      <c r="A144" s="21" t="s">
        <v>327</v>
      </c>
      <c r="B144" s="189" t="s">
        <v>103</v>
      </c>
      <c r="C144" s="190" t="s">
        <v>157</v>
      </c>
      <c r="D144" s="197"/>
      <c r="E144" s="198"/>
      <c r="F144" s="199"/>
      <c r="G144" s="191">
        <f>G99+G129+G138+G142</f>
        <v>2300527476</v>
      </c>
      <c r="H144" s="185"/>
      <c r="I144" s="191">
        <f>I99+I129+I138+I142</f>
        <v>2496184086</v>
      </c>
      <c r="J144" s="185"/>
      <c r="K144" s="191">
        <f>K99+K129+K138+K142</f>
        <v>2482999761</v>
      </c>
      <c r="L144" s="185"/>
      <c r="M144" s="191">
        <f>M99+M129+M138+M142</f>
        <v>2470625428</v>
      </c>
      <c r="N144" s="184">
        <f t="shared" si="16"/>
        <v>-12374333</v>
      </c>
      <c r="O144" s="183">
        <f>SUM(O99,O129,O138,O142)</f>
        <v>2470625428</v>
      </c>
      <c r="P144" s="184">
        <f t="shared" si="17"/>
        <v>-12374333</v>
      </c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</row>
    <row r="145" spans="1:52" ht="24" customHeight="1" x14ac:dyDescent="0.25">
      <c r="A145" s="41"/>
      <c r="B145" s="23"/>
      <c r="C145" s="166"/>
      <c r="D145" s="8"/>
      <c r="E145" s="8"/>
      <c r="F145" s="166"/>
      <c r="G145" s="87"/>
      <c r="H145" s="15"/>
      <c r="J145" s="15"/>
      <c r="L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</row>
    <row r="146" spans="1:52" ht="24" customHeight="1" x14ac:dyDescent="0.25">
      <c r="A146" s="23"/>
      <c r="B146" s="23"/>
      <c r="C146" s="166"/>
      <c r="D146" s="8"/>
      <c r="E146" s="8"/>
      <c r="F146" s="166"/>
      <c r="G146" s="87"/>
      <c r="H146" s="15"/>
      <c r="J146" s="15"/>
      <c r="L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</row>
    <row r="147" spans="1:52" ht="24" customHeight="1" thickBot="1" x14ac:dyDescent="0.3">
      <c r="A147" s="58"/>
      <c r="B147" s="167"/>
      <c r="C147" s="3"/>
      <c r="H147" s="15"/>
      <c r="J147" s="15"/>
      <c r="L147" s="15"/>
      <c r="P147" s="200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</row>
    <row r="148" spans="1:52" ht="54.75" thickBot="1" x14ac:dyDescent="0.3">
      <c r="A148" s="21" t="s">
        <v>328</v>
      </c>
      <c r="B148" s="189" t="s">
        <v>168</v>
      </c>
      <c r="C148" s="190" t="s">
        <v>169</v>
      </c>
      <c r="D148" s="197"/>
      <c r="E148" s="198"/>
      <c r="F148" s="199"/>
      <c r="G148" s="191">
        <f>G144+G90+G33</f>
        <v>4632543528.2000008</v>
      </c>
      <c r="H148" s="185"/>
      <c r="I148" s="191">
        <f>I144+I90+I33</f>
        <v>4852225485</v>
      </c>
      <c r="J148" s="185"/>
      <c r="K148" s="191">
        <f>K144+K90+K33</f>
        <v>4836173505</v>
      </c>
      <c r="L148" s="185"/>
      <c r="M148" s="191">
        <f>M144+M90+M33</f>
        <v>4823406239</v>
      </c>
      <c r="N148" s="184">
        <f t="shared" si="16"/>
        <v>-12767266</v>
      </c>
      <c r="O148" s="183">
        <f>SUM(O33,O90,O144)</f>
        <v>4823162479</v>
      </c>
      <c r="P148" s="184">
        <f>O148-M148+N148</f>
        <v>-13011026</v>
      </c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</row>
    <row r="149" spans="1:52" x14ac:dyDescent="0.25">
      <c r="B149" s="2"/>
      <c r="C149" s="3"/>
      <c r="H149" s="15"/>
      <c r="J149" s="15"/>
      <c r="L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</row>
    <row r="150" spans="1:52" x14ac:dyDescent="0.25">
      <c r="B150" s="2"/>
      <c r="C150" s="3"/>
      <c r="H150" s="15"/>
      <c r="J150" s="15"/>
      <c r="L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</row>
    <row r="151" spans="1:52" x14ac:dyDescent="0.25">
      <c r="B151" s="2"/>
      <c r="C151" s="3"/>
      <c r="H151" s="15"/>
      <c r="J151" s="15"/>
      <c r="L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</row>
    <row r="152" spans="1:52" x14ac:dyDescent="0.25">
      <c r="B152" s="2"/>
      <c r="C152" s="3"/>
      <c r="H152" s="15"/>
      <c r="J152" s="15"/>
      <c r="L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</row>
    <row r="153" spans="1:52" x14ac:dyDescent="0.25">
      <c r="B153" s="2"/>
      <c r="C153" s="3"/>
      <c r="H153" s="15"/>
      <c r="J153" s="15"/>
      <c r="L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</row>
    <row r="154" spans="1:52" x14ac:dyDescent="0.25">
      <c r="B154" s="2"/>
      <c r="C154" s="3"/>
      <c r="H154" s="15"/>
      <c r="J154" s="15"/>
      <c r="L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</row>
    <row r="155" spans="1:52" x14ac:dyDescent="0.25">
      <c r="B155" s="2"/>
      <c r="C155" s="3"/>
      <c r="H155" s="15"/>
      <c r="J155" s="15"/>
      <c r="L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</row>
    <row r="156" spans="1:52" x14ac:dyDescent="0.25">
      <c r="B156" s="2"/>
      <c r="C156" s="3"/>
      <c r="H156" s="15"/>
      <c r="J156" s="15"/>
      <c r="L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</row>
    <row r="157" spans="1:52" x14ac:dyDescent="0.25">
      <c r="B157" s="2"/>
      <c r="C157" s="3"/>
      <c r="H157" s="15"/>
      <c r="J157" s="15"/>
      <c r="L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</row>
    <row r="158" spans="1:52" x14ac:dyDescent="0.25">
      <c r="B158" s="2"/>
      <c r="C158" s="3"/>
      <c r="H158" s="15"/>
      <c r="J158" s="15"/>
      <c r="L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</row>
    <row r="159" spans="1:52" x14ac:dyDescent="0.25">
      <c r="B159" s="2"/>
      <c r="C159" s="3"/>
      <c r="H159" s="15"/>
      <c r="J159" s="15"/>
      <c r="L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</row>
    <row r="160" spans="1:52" x14ac:dyDescent="0.25">
      <c r="B160" s="2"/>
      <c r="C160" s="3"/>
      <c r="H160" s="15"/>
      <c r="J160" s="15"/>
      <c r="L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</row>
    <row r="161" spans="2:52" x14ac:dyDescent="0.25">
      <c r="B161" s="2"/>
      <c r="C161" s="3"/>
      <c r="H161" s="15"/>
      <c r="J161" s="15"/>
      <c r="L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</row>
    <row r="162" spans="2:52" x14ac:dyDescent="0.25">
      <c r="H162" s="15"/>
      <c r="J162" s="15"/>
      <c r="L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</row>
    <row r="163" spans="2:52" x14ac:dyDescent="0.25">
      <c r="H163" s="15"/>
      <c r="J163" s="15"/>
      <c r="L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</row>
  </sheetData>
  <mergeCells count="43">
    <mergeCell ref="A127:C127"/>
    <mergeCell ref="H95:I95"/>
    <mergeCell ref="J95:K95"/>
    <mergeCell ref="L95:M95"/>
    <mergeCell ref="A96:C96"/>
    <mergeCell ref="A126:G126"/>
    <mergeCell ref="H126:I126"/>
    <mergeCell ref="J126:K126"/>
    <mergeCell ref="L126:M126"/>
    <mergeCell ref="A123:G123"/>
    <mergeCell ref="A7:C7"/>
    <mergeCell ref="A71:G71"/>
    <mergeCell ref="H71:I71"/>
    <mergeCell ref="J71:K71"/>
    <mergeCell ref="L71:M71"/>
    <mergeCell ref="B10:B12"/>
    <mergeCell ref="B13:B14"/>
    <mergeCell ref="B15:B16"/>
    <mergeCell ref="A40:G40"/>
    <mergeCell ref="B17:B18"/>
    <mergeCell ref="B19:B20"/>
    <mergeCell ref="B21:B22"/>
    <mergeCell ref="B23:B24"/>
    <mergeCell ref="B25:B26"/>
    <mergeCell ref="B27:B28"/>
    <mergeCell ref="A35:G35"/>
    <mergeCell ref="A2:P2"/>
    <mergeCell ref="A4:P4"/>
    <mergeCell ref="H6:I6"/>
    <mergeCell ref="J6:K6"/>
    <mergeCell ref="L6:M6"/>
    <mergeCell ref="A6:G6"/>
    <mergeCell ref="A69:P69"/>
    <mergeCell ref="A124:P124"/>
    <mergeCell ref="A38:P38"/>
    <mergeCell ref="A67:G67"/>
    <mergeCell ref="A95:G95"/>
    <mergeCell ref="A72:C72"/>
    <mergeCell ref="A93:P93"/>
    <mergeCell ref="H40:I40"/>
    <mergeCell ref="J40:K40"/>
    <mergeCell ref="L40:M40"/>
    <mergeCell ref="A41:C41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38" fitToHeight="0" orientation="landscape" r:id="rId1"/>
  <headerFooter alignWithMargins="0"/>
  <rowBreaks count="4" manualBreakCount="4">
    <brk id="34" max="16383" man="1"/>
    <brk id="65" max="16383" man="1"/>
    <brk id="90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2.1.3.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vonnegut</dc:creator>
  <cp:lastModifiedBy>csordasne.agnes</cp:lastModifiedBy>
  <cp:lastPrinted>2018-05-07T13:58:50Z</cp:lastPrinted>
  <dcterms:created xsi:type="dcterms:W3CDTF">2016-11-19T21:09:01Z</dcterms:created>
  <dcterms:modified xsi:type="dcterms:W3CDTF">2018-05-17T06:16:06Z</dcterms:modified>
</cp:coreProperties>
</file>