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15" windowWidth="12120" windowHeight="2820" tabRatio="803" activeTab="0"/>
  </bookViews>
  <sheets>
    <sheet name="önként2014." sheetId="1" r:id="rId1"/>
    <sheet name="kötelező2014." sheetId="2" r:id="rId2"/>
    <sheet name="Munka1" sheetId="3" r:id="rId3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'kötelező2014.'!$A$1:$N$48</definedName>
    <definedName name="_xlnm.Print_Area" localSheetId="0">'önként2014.'!$A$1:$M$31</definedName>
  </definedNames>
  <calcPr fullCalcOnLoad="1"/>
</workbook>
</file>

<file path=xl/sharedStrings.xml><?xml version="1.0" encoding="utf-8"?>
<sst xmlns="http://schemas.openxmlformats.org/spreadsheetml/2006/main" count="127" uniqueCount="112">
  <si>
    <t>ezer Ft-ban</t>
  </si>
  <si>
    <t>Környezetvédelem</t>
  </si>
  <si>
    <t>Általános tartalék</t>
  </si>
  <si>
    <t>Életkezdési támogatás</t>
  </si>
  <si>
    <t>Megnevezés</t>
  </si>
  <si>
    <t>Feladat-mutató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</si>
  <si>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</si>
  <si>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</si>
  <si>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</si>
  <si>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</si>
  <si>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</si>
  <si>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Házi szociális gondozás</t>
  </si>
  <si>
    <t>Bentlakásos és átm.elh.nyújtó int. ellátás</t>
  </si>
  <si>
    <t>Szociális étkeztetés</t>
  </si>
  <si>
    <t>Közcélú foglalkoztatás</t>
  </si>
  <si>
    <t>Családsegítő és gyermekjóléti szolgálat</t>
  </si>
  <si>
    <t>Közösségi ellátás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</si>
  <si>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</si>
  <si>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</si>
  <si>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</si>
  <si>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</si>
  <si>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</si>
  <si>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</si>
  <si>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</si>
  <si>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</si>
  <si>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</si>
  <si>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</si>
  <si>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</si>
  <si>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Működési célú tartalék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</si>
  <si>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</si>
  <si>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</si>
  <si>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</si>
  <si>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</si>
  <si>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</si>
  <si>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</si>
  <si>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</si>
  <si>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</si>
  <si>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</si>
  <si>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</si>
  <si>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</si>
  <si>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</si>
  <si>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</si>
  <si>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</si>
  <si>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</si>
  <si>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</si>
  <si>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</si>
  <si>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</si>
  <si>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</si>
  <si>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</si>
  <si>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</si>
  <si>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</si>
  <si>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</si>
  <si>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</si>
  <si>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</t>
  </si>
  <si>
    <t>Pénz-         maradvány fedezete %</t>
  </si>
  <si>
    <t xml:space="preserve">Állami támogatás </t>
  </si>
  <si>
    <t>Szociális ellátás</t>
  </si>
  <si>
    <t>helyi szerv.int.</t>
  </si>
  <si>
    <t>2012.bérkompenz.</t>
  </si>
  <si>
    <t>Blesz</t>
  </si>
  <si>
    <t>Közter-felügy.</t>
  </si>
  <si>
    <t>Közoktatási feladatok</t>
  </si>
  <si>
    <t>Közterület-haszn.tám.</t>
  </si>
  <si>
    <t>Bölcsőde</t>
  </si>
  <si>
    <t>Eszi</t>
  </si>
  <si>
    <t>Játékkal-mesével</t>
  </si>
  <si>
    <t>Tesz-vesz</t>
  </si>
  <si>
    <t>Bástya</t>
  </si>
  <si>
    <t>Balaton</t>
  </si>
  <si>
    <t>2013.bérkopenz.</t>
  </si>
  <si>
    <t>Támogatásértékű bev.</t>
  </si>
  <si>
    <t>Intézményi</t>
  </si>
  <si>
    <t>Polg.Hiv.</t>
  </si>
  <si>
    <t>2013.bérkomp.</t>
  </si>
  <si>
    <t>segély</t>
  </si>
  <si>
    <t>óvodai bér</t>
  </si>
  <si>
    <t>Polgári védelem</t>
  </si>
  <si>
    <t>Állategészségügyi feladatok</t>
  </si>
  <si>
    <t>Közterület felügyeleti kiadások</t>
  </si>
  <si>
    <t>Parkolási feladatok</t>
  </si>
  <si>
    <t>3 Önálló Közterület-felügyelet összesen</t>
  </si>
  <si>
    <t>Diáksport</t>
  </si>
  <si>
    <t>Önkorm.műk. kapcs. Kiadások</t>
  </si>
  <si>
    <t>Parkolási tevékenység tárgyévi kiadásai</t>
  </si>
  <si>
    <t>Közoktatási megállapodás alapján támog.</t>
  </si>
  <si>
    <t>Közbiztonsági feladatok</t>
  </si>
  <si>
    <t>2014. Működési költségvetés -  Önként vállalt feladatkörök</t>
  </si>
  <si>
    <t>Feladat-mutató 2014.</t>
  </si>
  <si>
    <t>Kiadási előirányzat 100% 2014.</t>
  </si>
  <si>
    <t>Saját intézményi bevételek 2014.</t>
  </si>
  <si>
    <t>Intézm.         bevételek fedezete % 2014.</t>
  </si>
  <si>
    <t>Állami támogatás fedezete % 2014.</t>
  </si>
  <si>
    <t>Átvett pe.  2014.</t>
  </si>
  <si>
    <t>Átvett pe.       fedezete %  2014.</t>
  </si>
  <si>
    <t>Önkorm.       hozzájárulás 2014.</t>
  </si>
  <si>
    <t>Önkormányzati hozzájárulás fedezete % 2014.</t>
  </si>
  <si>
    <t>2014. Működési költségvetés  -  Kötelezően előírt feladatkörök</t>
  </si>
  <si>
    <t>Kiadási előirányzat 100% 
2014.</t>
  </si>
  <si>
    <t>Saját intézményi bevételek
2014.</t>
  </si>
  <si>
    <t>Intézm. bevételek fedezete %
2014.</t>
  </si>
  <si>
    <t>Átvett pe.
2014.</t>
  </si>
  <si>
    <t>Önkorm. hozzájárulás
2014.</t>
  </si>
  <si>
    <t>Állami támogatás + Tb.finansz.2014.</t>
  </si>
  <si>
    <t>Állami támogatás + Tb. finansz.
2014</t>
  </si>
  <si>
    <t>Oktatási Bizottság kiadásai</t>
  </si>
  <si>
    <t>Kulturális Bizottság kiadásai</t>
  </si>
  <si>
    <t>Egészségügyi és szoc.Biz.kiad.</t>
  </si>
  <si>
    <t>Közterület-hasznosítási Társulás bérkomp.</t>
  </si>
  <si>
    <t>Működési kölcsön nyújtása</t>
  </si>
  <si>
    <t>EP választás</t>
  </si>
  <si>
    <t>Országgyűlési választás</t>
  </si>
  <si>
    <t>Helyi önkorm.ésnemzetiségi választás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</si>
</sst>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00"/>
    <numFmt numFmtId="171" formatCode="0.0000"/>
    <numFmt numFmtId="172" formatCode="#,##0.00\ _F_t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1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10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 shrinkToFit="1"/>
    </xf>
    <xf numFmtId="3" fontId="9" fillId="0" borderId="20" xfId="0" applyNumberFormat="1" applyFont="1" applyFill="1" applyBorder="1" applyAlignment="1">
      <alignment/>
    </xf>
    <xf numFmtId="0" fontId="3" fillId="0" borderId="11" xfId="0" applyFont="1" applyFill="1" applyBorder="1" applyAlignment="1">
      <alignment shrinkToFit="1"/>
    </xf>
    <xf numFmtId="0" fontId="3" fillId="0" borderId="14" xfId="0" applyFont="1" applyFill="1" applyBorder="1" applyAlignment="1">
      <alignment shrinkToFit="1"/>
    </xf>
    <xf numFmtId="0" fontId="10" fillId="0" borderId="14" xfId="0" applyFont="1" applyFill="1" applyBorder="1" applyAlignment="1">
      <alignment shrinkToFit="1"/>
    </xf>
    <xf numFmtId="0" fontId="9" fillId="0" borderId="20" xfId="0" applyFont="1" applyFill="1" applyBorder="1" applyAlignment="1">
      <alignment shrinkToFit="1"/>
    </xf>
    <xf numFmtId="3" fontId="10" fillId="0" borderId="2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shrinkToFit="1"/>
    </xf>
    <xf numFmtId="0" fontId="10" fillId="0" borderId="17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shrinkToFit="1"/>
    </xf>
    <xf numFmtId="0" fontId="10" fillId="0" borderId="11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shrinkToFit="1"/>
    </xf>
    <xf numFmtId="0" fontId="12" fillId="0" borderId="20" xfId="0" applyFont="1" applyFill="1" applyBorder="1" applyAlignment="1">
      <alignment shrinkToFit="1"/>
    </xf>
    <xf numFmtId="2" fontId="9" fillId="0" borderId="20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 horizontal="right"/>
    </xf>
    <xf numFmtId="2" fontId="12" fillId="0" borderId="20" xfId="0" applyNumberFormat="1" applyFont="1" applyFill="1" applyBorder="1" applyAlignment="1">
      <alignment horizontal="right"/>
    </xf>
    <xf numFmtId="2" fontId="12" fillId="0" borderId="22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23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3" fontId="10" fillId="0" borderId="2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164" fontId="3" fillId="0" borderId="24" xfId="0" applyNumberFormat="1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shrinkToFit="1"/>
    </xf>
    <xf numFmtId="2" fontId="3" fillId="0" borderId="21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2" fontId="10" fillId="0" borderId="14" xfId="0" applyNumberFormat="1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172" fontId="10" fillId="0" borderId="11" xfId="0" applyNumberFormat="1" applyFont="1" applyFill="1" applyBorder="1" applyAlignment="1">
      <alignment horizontal="right"/>
    </xf>
    <xf numFmtId="172" fontId="10" fillId="0" borderId="11" xfId="0" applyNumberFormat="1" applyFont="1" applyFill="1" applyBorder="1" applyAlignment="1">
      <alignment/>
    </xf>
    <xf numFmtId="172" fontId="10" fillId="0" borderId="14" xfId="0" applyNumberFormat="1" applyFont="1" applyFill="1" applyBorder="1" applyAlignment="1">
      <alignment/>
    </xf>
    <xf numFmtId="172" fontId="10" fillId="0" borderId="17" xfId="0" applyNumberFormat="1" applyFont="1" applyFill="1" applyBorder="1" applyAlignment="1">
      <alignment/>
    </xf>
    <xf numFmtId="172" fontId="9" fillId="0" borderId="20" xfId="0" applyNumberFormat="1" applyFont="1" applyFill="1" applyBorder="1" applyAlignment="1">
      <alignment/>
    </xf>
    <xf numFmtId="172" fontId="10" fillId="0" borderId="24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9" xfId="0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29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9" fillId="0" borderId="20" xfId="0" applyFont="1" applyFill="1" applyBorder="1" applyAlignment="1">
      <alignment horizontal="center" vertical="center" wrapText="1" shrinkToFit="1"/>
    </xf>
    <xf numFmtId="4" fontId="9" fillId="0" borderId="20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32" borderId="14" xfId="0" applyNumberFormat="1" applyFill="1" applyBorder="1" applyAlignment="1">
      <alignment/>
    </xf>
    <xf numFmtId="0" fontId="3" fillId="0" borderId="30" xfId="0" applyFont="1" applyFill="1" applyBorder="1" applyAlignment="1">
      <alignment shrinkToFit="1"/>
    </xf>
    <xf numFmtId="3" fontId="10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 horizontal="right"/>
    </xf>
    <xf numFmtId="2" fontId="3" fillId="0" borderId="31" xfId="0" applyNumberFormat="1" applyFont="1" applyFill="1" applyBorder="1" applyAlignment="1">
      <alignment horizontal="right"/>
    </xf>
    <xf numFmtId="2" fontId="3" fillId="0" borderId="32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2" fontId="10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 shrinkToFi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12" fillId="0" borderId="23" xfId="0" applyFont="1" applyFill="1" applyBorder="1" applyAlignment="1">
      <alignment shrinkToFit="1"/>
    </xf>
    <xf numFmtId="3" fontId="9" fillId="0" borderId="24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 horizontal="right"/>
    </xf>
    <xf numFmtId="2" fontId="12" fillId="0" borderId="24" xfId="0" applyNumberFormat="1" applyFont="1" applyFill="1" applyBorder="1" applyAlignment="1">
      <alignment horizontal="right"/>
    </xf>
    <xf numFmtId="2" fontId="12" fillId="0" borderId="25" xfId="0" applyNumberFormat="1" applyFont="1" applyFill="1" applyBorder="1" applyAlignment="1">
      <alignment/>
    </xf>
    <xf numFmtId="2" fontId="12" fillId="0" borderId="33" xfId="0" applyNumberFormat="1" applyFont="1" applyFill="1" applyBorder="1" applyAlignment="1">
      <alignment horizontal="right"/>
    </xf>
    <xf numFmtId="3" fontId="12" fillId="0" borderId="28" xfId="0" applyNumberFormat="1" applyFont="1" applyFill="1" applyBorder="1" applyAlignment="1">
      <alignment horizontal="right"/>
    </xf>
    <xf numFmtId="2" fontId="12" fillId="0" borderId="3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justify"/>
    </xf>
    <xf numFmtId="164" fontId="3" fillId="0" borderId="0" xfId="0" applyNumberFormat="1" applyFont="1" applyFill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25.00390625" style="2" customWidth="1"/>
    <col min="2" max="2" width="6.75390625" style="2" customWidth="1"/>
    <col min="3" max="3" width="10.125" style="2" customWidth="1"/>
    <col min="4" max="4" width="9.75390625" style="2" customWidth="1"/>
    <col min="5" max="5" width="9.625" style="2" customWidth="1"/>
    <col min="6" max="6" width="11.375" style="2" customWidth="1"/>
    <col min="7" max="7" width="10.375" style="2" customWidth="1"/>
    <col min="8" max="8" width="8.625" style="2" customWidth="1"/>
    <col min="9" max="9" width="9.375" style="2" customWidth="1"/>
    <col min="10" max="10" width="9.875" style="2" customWidth="1"/>
    <col min="11" max="11" width="9.75390625" style="2" customWidth="1"/>
    <col min="12" max="12" width="11.75390625" style="2" customWidth="1"/>
    <col min="13" max="13" width="13.375" style="2" customWidth="1"/>
    <col min="14" max="16384" width="9.125" style="2" customWidth="1"/>
  </cols>
  <sheetData>
    <row r="1" spans="1:13" ht="12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126" t="s">
        <v>36</v>
      </c>
      <c r="M1" s="126"/>
    </row>
    <row r="2" spans="1:13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2.75">
      <c r="A3" s="127" t="s">
        <v>86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2.7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13.5" thickBot="1">
      <c r="A5" s="104"/>
      <c r="B5" s="104"/>
      <c r="C5" s="104"/>
      <c r="D5" s="104"/>
      <c r="E5" s="80"/>
      <c r="F5" s="79"/>
      <c r="G5" s="80"/>
      <c r="H5" s="79"/>
      <c r="I5" s="80"/>
      <c r="J5" s="80"/>
      <c r="K5" s="80"/>
      <c r="L5" s="81"/>
      <c r="M5" s="90" t="s">
        <v>0</v>
      </c>
    </row>
    <row r="6" spans="1:13" ht="67.5" customHeight="1" thickBot="1">
      <c r="A6" s="63" t="s">
        <v>4</v>
      </c>
      <c r="B6" s="91" t="s">
        <v>87</v>
      </c>
      <c r="C6" s="82" t="s">
        <v>88</v>
      </c>
      <c r="D6" s="82" t="s">
        <v>89</v>
      </c>
      <c r="E6" s="83" t="s">
        <v>90</v>
      </c>
      <c r="F6" s="82" t="s">
        <v>102</v>
      </c>
      <c r="G6" s="83" t="s">
        <v>91</v>
      </c>
      <c r="H6" s="82" t="s">
        <v>92</v>
      </c>
      <c r="I6" s="83" t="s">
        <v>93</v>
      </c>
      <c r="J6" s="83" t="s">
        <v>53</v>
      </c>
      <c r="K6" s="83" t="s">
        <v>54</v>
      </c>
      <c r="L6" s="84" t="s">
        <v>94</v>
      </c>
      <c r="M6" s="93" t="s">
        <v>95</v>
      </c>
    </row>
    <row r="7" spans="1:13" ht="12.75">
      <c r="A7" s="14" t="s">
        <v>23</v>
      </c>
      <c r="B7" s="34"/>
      <c r="C7" s="15">
        <f>82113+17973+3400+26700+50000+3870+6236+2990+7169+15870+350+5000+3810+286000+200+300+21540+14312-286000</f>
        <v>261833</v>
      </c>
      <c r="D7" s="15"/>
      <c r="E7" s="70">
        <f>SUM(D7/C7)*100</f>
        <v>0</v>
      </c>
      <c r="F7" s="16"/>
      <c r="G7" s="17">
        <f aca="true" t="shared" si="0" ref="G7:G20">SUM(F7/C7)*100</f>
        <v>0</v>
      </c>
      <c r="H7" s="16"/>
      <c r="I7" s="17">
        <f>SUM(H7/C7*100)</f>
        <v>0</v>
      </c>
      <c r="J7" s="16">
        <f>38+610</f>
        <v>648</v>
      </c>
      <c r="K7" s="17">
        <f>SUM(J7/C7*100)</f>
        <v>0.24748599298025842</v>
      </c>
      <c r="L7" s="21">
        <f>SUM(C7-D7-F7-H7-J7)</f>
        <v>261185</v>
      </c>
      <c r="M7" s="18">
        <f>SUM(L7/C7)*100</f>
        <v>99.75251400701974</v>
      </c>
    </row>
    <row r="8" spans="1:13" ht="12.75">
      <c r="A8" s="14" t="s">
        <v>24</v>
      </c>
      <c r="B8" s="35"/>
      <c r="C8" s="20">
        <f>3120441-1578892+20198+85782+105864-4790+286000</f>
        <v>2034603</v>
      </c>
      <c r="D8" s="20">
        <v>120702</v>
      </c>
      <c r="E8" s="72">
        <f>SUM(D8/C8)*100</f>
        <v>5.932459551077041</v>
      </c>
      <c r="F8" s="21"/>
      <c r="G8" s="22">
        <f t="shared" si="0"/>
        <v>0</v>
      </c>
      <c r="H8" s="21"/>
      <c r="I8" s="22">
        <f>SUM(H8/C8*100)</f>
        <v>0</v>
      </c>
      <c r="J8" s="21">
        <v>77</v>
      </c>
      <c r="K8" s="17">
        <f aca="true" t="shared" si="1" ref="K8:K31">SUM(J8/C8*100)</f>
        <v>0.0037845220910418397</v>
      </c>
      <c r="L8" s="21">
        <f aca="true" t="shared" si="2" ref="L8:L20">SUM(C8-D8-F8-H8-J8)</f>
        <v>1913824</v>
      </c>
      <c r="M8" s="23">
        <f>SUM(L8/C8)*100</f>
        <v>94.06375592683192</v>
      </c>
    </row>
    <row r="9" spans="1:13" ht="12.75">
      <c r="A9" s="14" t="s">
        <v>76</v>
      </c>
      <c r="B9" s="35"/>
      <c r="C9" s="20">
        <f>1000-200</f>
        <v>800</v>
      </c>
      <c r="D9" s="20"/>
      <c r="E9" s="72">
        <f>SUM(D9/C9)*100</f>
        <v>0</v>
      </c>
      <c r="F9" s="21"/>
      <c r="G9" s="22">
        <f t="shared" si="0"/>
        <v>0</v>
      </c>
      <c r="H9" s="21"/>
      <c r="I9" s="22">
        <f>SUM(H9/C9*100)</f>
        <v>0</v>
      </c>
      <c r="J9" s="21"/>
      <c r="K9" s="17">
        <f t="shared" si="1"/>
        <v>0</v>
      </c>
      <c r="L9" s="21">
        <f t="shared" si="2"/>
        <v>800</v>
      </c>
      <c r="M9" s="23">
        <f>SUM(L9/C9)*100</f>
        <v>100</v>
      </c>
    </row>
    <row r="10" spans="1:13" ht="12.75">
      <c r="A10" s="14" t="s">
        <v>77</v>
      </c>
      <c r="B10" s="35"/>
      <c r="C10" s="20">
        <v>1409</v>
      </c>
      <c r="D10" s="20"/>
      <c r="E10" s="72">
        <f>SUM(D10/C10)*100</f>
        <v>0</v>
      </c>
      <c r="F10" s="21"/>
      <c r="G10" s="22">
        <f t="shared" si="0"/>
        <v>0</v>
      </c>
      <c r="H10" s="21"/>
      <c r="I10" s="22">
        <f>SUM(H10/C10*100)</f>
        <v>0</v>
      </c>
      <c r="J10" s="21">
        <v>9</v>
      </c>
      <c r="K10" s="17">
        <f t="shared" si="1"/>
        <v>0.63875088715401</v>
      </c>
      <c r="L10" s="21">
        <f t="shared" si="2"/>
        <v>1400</v>
      </c>
      <c r="M10" s="23">
        <f>SUM(L10/C10)*100</f>
        <v>99.361249112846</v>
      </c>
    </row>
    <row r="11" spans="1:13" ht="12.75">
      <c r="A11" s="14" t="s">
        <v>2</v>
      </c>
      <c r="B11" s="35"/>
      <c r="C11" s="20">
        <v>35980</v>
      </c>
      <c r="D11" s="20"/>
      <c r="E11" s="72">
        <f>SUM(D11/C11)*100</f>
        <v>0</v>
      </c>
      <c r="F11" s="21"/>
      <c r="G11" s="22">
        <f t="shared" si="0"/>
        <v>0</v>
      </c>
      <c r="H11" s="21"/>
      <c r="I11" s="22">
        <f>SUM(H11/C11*100)</f>
        <v>0</v>
      </c>
      <c r="J11" s="21"/>
      <c r="K11" s="17">
        <f t="shared" si="1"/>
        <v>0</v>
      </c>
      <c r="L11" s="21">
        <f t="shared" si="2"/>
        <v>35980</v>
      </c>
      <c r="M11" s="23">
        <f>SUM(L11/C11)*100</f>
        <v>100</v>
      </c>
    </row>
    <row r="12" spans="1:13" ht="12.75">
      <c r="A12" s="19" t="s">
        <v>28</v>
      </c>
      <c r="B12" s="35"/>
      <c r="C12" s="20">
        <f>259809-35980</f>
        <v>223829</v>
      </c>
      <c r="D12" s="20"/>
      <c r="E12" s="72">
        <f aca="true" t="shared" si="3" ref="E12:E21">SUM(D12/C12)*100</f>
        <v>0</v>
      </c>
      <c r="F12" s="21">
        <f>867+1073+155</f>
        <v>2095</v>
      </c>
      <c r="G12" s="22">
        <f t="shared" si="0"/>
        <v>0.9359823794057069</v>
      </c>
      <c r="H12" s="21"/>
      <c r="I12" s="22">
        <f aca="true" t="shared" si="4" ref="I12:I21">SUM(H12/C12*100)</f>
        <v>0</v>
      </c>
      <c r="J12" s="21">
        <f>113421+86579</f>
        <v>200000</v>
      </c>
      <c r="K12" s="17">
        <f t="shared" si="1"/>
        <v>89.35392643491237</v>
      </c>
      <c r="L12" s="21">
        <f t="shared" si="2"/>
        <v>21734</v>
      </c>
      <c r="M12" s="23">
        <f aca="true" t="shared" si="5" ref="M12:M21">SUM(L12/C12)*100</f>
        <v>9.710091185681927</v>
      </c>
    </row>
    <row r="13" spans="1:13" ht="12.75">
      <c r="A13" s="19" t="s">
        <v>82</v>
      </c>
      <c r="B13" s="35"/>
      <c r="C13" s="20">
        <v>426217</v>
      </c>
      <c r="D13" s="20"/>
      <c r="E13" s="72">
        <f t="shared" si="3"/>
        <v>0</v>
      </c>
      <c r="F13" s="21"/>
      <c r="G13" s="22">
        <f t="shared" si="0"/>
        <v>0</v>
      </c>
      <c r="H13" s="21"/>
      <c r="I13" s="22">
        <f t="shared" si="4"/>
        <v>0</v>
      </c>
      <c r="J13" s="21">
        <f>303921+734</f>
        <v>304655</v>
      </c>
      <c r="K13" s="17">
        <f t="shared" si="1"/>
        <v>71.47884762925928</v>
      </c>
      <c r="L13" s="21">
        <f t="shared" si="2"/>
        <v>121562</v>
      </c>
      <c r="M13" s="23">
        <f t="shared" si="5"/>
        <v>28.521152370740726</v>
      </c>
    </row>
    <row r="14" spans="1:13" ht="12.75">
      <c r="A14" s="19" t="s">
        <v>3</v>
      </c>
      <c r="B14" s="35"/>
      <c r="C14" s="20">
        <v>18432</v>
      </c>
      <c r="D14" s="20"/>
      <c r="E14" s="72">
        <f t="shared" si="3"/>
        <v>0</v>
      </c>
      <c r="F14" s="21"/>
      <c r="G14" s="22">
        <f t="shared" si="0"/>
        <v>0</v>
      </c>
      <c r="H14" s="21"/>
      <c r="I14" s="22">
        <f t="shared" si="4"/>
        <v>0</v>
      </c>
      <c r="J14" s="21"/>
      <c r="K14" s="17">
        <f t="shared" si="1"/>
        <v>0</v>
      </c>
      <c r="L14" s="21">
        <f t="shared" si="2"/>
        <v>18432</v>
      </c>
      <c r="M14" s="23">
        <f t="shared" si="5"/>
        <v>100</v>
      </c>
    </row>
    <row r="15" spans="1:13" ht="12.75">
      <c r="A15" s="19" t="s">
        <v>29</v>
      </c>
      <c r="B15" s="35"/>
      <c r="C15" s="20">
        <v>66180</v>
      </c>
      <c r="D15" s="20"/>
      <c r="E15" s="72">
        <f t="shared" si="3"/>
        <v>0</v>
      </c>
      <c r="F15" s="21"/>
      <c r="G15" s="22">
        <f t="shared" si="0"/>
        <v>0</v>
      </c>
      <c r="H15" s="21"/>
      <c r="I15" s="22">
        <f t="shared" si="4"/>
        <v>0</v>
      </c>
      <c r="J15" s="21"/>
      <c r="K15" s="17">
        <f t="shared" si="1"/>
        <v>0</v>
      </c>
      <c r="L15" s="21">
        <f t="shared" si="2"/>
        <v>66180</v>
      </c>
      <c r="M15" s="23">
        <f t="shared" si="5"/>
        <v>100</v>
      </c>
    </row>
    <row r="16" spans="1:13" ht="12.75">
      <c r="A16" s="19" t="s">
        <v>30</v>
      </c>
      <c r="B16" s="35"/>
      <c r="C16" s="20">
        <f>659835-'kötelező2014.'!D6</f>
        <v>576408</v>
      </c>
      <c r="D16" s="20"/>
      <c r="E16" s="72">
        <f t="shared" si="3"/>
        <v>0</v>
      </c>
      <c r="F16" s="21"/>
      <c r="G16" s="22">
        <f t="shared" si="0"/>
        <v>0</v>
      </c>
      <c r="H16" s="21"/>
      <c r="I16" s="22">
        <f t="shared" si="4"/>
        <v>0</v>
      </c>
      <c r="J16" s="21"/>
      <c r="K16" s="17">
        <f t="shared" si="1"/>
        <v>0</v>
      </c>
      <c r="L16" s="21">
        <f t="shared" si="2"/>
        <v>576408</v>
      </c>
      <c r="M16" s="23">
        <f t="shared" si="5"/>
        <v>100</v>
      </c>
    </row>
    <row r="17" spans="1:13" ht="12.75">
      <c r="A17" s="53" t="s">
        <v>104</v>
      </c>
      <c r="B17" s="54"/>
      <c r="C17" s="55">
        <v>3069</v>
      </c>
      <c r="D17" s="55"/>
      <c r="E17" s="72">
        <f t="shared" si="3"/>
        <v>0</v>
      </c>
      <c r="F17" s="56"/>
      <c r="G17" s="22">
        <f t="shared" si="0"/>
        <v>0</v>
      </c>
      <c r="H17" s="56"/>
      <c r="I17" s="22">
        <f t="shared" si="4"/>
        <v>0</v>
      </c>
      <c r="J17" s="56">
        <f>34+176</f>
        <v>210</v>
      </c>
      <c r="K17" s="17">
        <f t="shared" si="1"/>
        <v>6.8426197458455515</v>
      </c>
      <c r="L17" s="21">
        <f t="shared" si="2"/>
        <v>2859</v>
      </c>
      <c r="M17" s="23">
        <f t="shared" si="5"/>
        <v>93.15738025415445</v>
      </c>
    </row>
    <row r="18" spans="1:13" ht="12.75">
      <c r="A18" s="19" t="s">
        <v>105</v>
      </c>
      <c r="B18" s="35"/>
      <c r="C18" s="20">
        <v>7525</v>
      </c>
      <c r="D18" s="20"/>
      <c r="E18" s="72">
        <f t="shared" si="3"/>
        <v>0</v>
      </c>
      <c r="F18" s="21"/>
      <c r="G18" s="22">
        <f t="shared" si="0"/>
        <v>0</v>
      </c>
      <c r="H18" s="21"/>
      <c r="I18" s="22">
        <f t="shared" si="4"/>
        <v>0</v>
      </c>
      <c r="J18" s="21">
        <f>2020+2480</f>
        <v>4500</v>
      </c>
      <c r="K18" s="17">
        <f t="shared" si="1"/>
        <v>59.800664451827245</v>
      </c>
      <c r="L18" s="21">
        <f t="shared" si="2"/>
        <v>3025</v>
      </c>
      <c r="M18" s="23">
        <f t="shared" si="5"/>
        <v>40.19933554817276</v>
      </c>
    </row>
    <row r="19" spans="1:13" ht="12.75">
      <c r="A19" s="53" t="s">
        <v>106</v>
      </c>
      <c r="B19" s="54"/>
      <c r="C19" s="55">
        <v>7376</v>
      </c>
      <c r="D19" s="55"/>
      <c r="E19" s="73">
        <f t="shared" si="3"/>
        <v>0</v>
      </c>
      <c r="F19" s="56"/>
      <c r="G19" s="30">
        <f t="shared" si="0"/>
        <v>0</v>
      </c>
      <c r="H19" s="56"/>
      <c r="I19" s="30">
        <f t="shared" si="4"/>
        <v>0</v>
      </c>
      <c r="J19" s="56">
        <v>1764</v>
      </c>
      <c r="K19" s="57">
        <f t="shared" si="1"/>
        <v>23.91540130151844</v>
      </c>
      <c r="L19" s="29">
        <f t="shared" si="2"/>
        <v>5612</v>
      </c>
      <c r="M19" s="31">
        <f t="shared" si="5"/>
        <v>76.08459869848157</v>
      </c>
    </row>
    <row r="20" spans="1:13" ht="13.5" thickBot="1">
      <c r="A20" s="64" t="s">
        <v>108</v>
      </c>
      <c r="B20" s="106"/>
      <c r="C20" s="38">
        <v>5550</v>
      </c>
      <c r="D20" s="38"/>
      <c r="E20" s="73">
        <f t="shared" si="3"/>
        <v>0</v>
      </c>
      <c r="F20" s="39"/>
      <c r="G20" s="30">
        <f t="shared" si="0"/>
        <v>0</v>
      </c>
      <c r="H20" s="39"/>
      <c r="I20" s="30">
        <f t="shared" si="4"/>
        <v>0</v>
      </c>
      <c r="J20" s="39"/>
      <c r="K20" s="65">
        <f t="shared" si="1"/>
        <v>0</v>
      </c>
      <c r="L20" s="29">
        <f t="shared" si="2"/>
        <v>5550</v>
      </c>
      <c r="M20" s="31">
        <f t="shared" si="5"/>
        <v>100</v>
      </c>
    </row>
    <row r="21" spans="1:13" s="52" customFormat="1" ht="13.5" thickBot="1">
      <c r="A21" s="46" t="s">
        <v>44</v>
      </c>
      <c r="B21" s="47"/>
      <c r="C21" s="33">
        <f>SUM(C7:C20)</f>
        <v>3669211</v>
      </c>
      <c r="D21" s="33">
        <f>SUM(D7:D20)</f>
        <v>120702</v>
      </c>
      <c r="E21" s="94">
        <f t="shared" si="3"/>
        <v>3.2895900508310914</v>
      </c>
      <c r="F21" s="33">
        <f>SUM(F7:F16)</f>
        <v>2095</v>
      </c>
      <c r="G21" s="95">
        <f>SUM(F21/C21*100)</f>
        <v>0.05709674368685802</v>
      </c>
      <c r="H21" s="33">
        <f>SUM(H7:H16)</f>
        <v>0</v>
      </c>
      <c r="I21" s="48">
        <f t="shared" si="4"/>
        <v>0</v>
      </c>
      <c r="J21" s="33">
        <f>SUM(J7:J20)</f>
        <v>511863</v>
      </c>
      <c r="K21" s="48">
        <f t="shared" si="1"/>
        <v>13.950219815649739</v>
      </c>
      <c r="L21" s="33">
        <f>SUM(L7:L20)</f>
        <v>3034551</v>
      </c>
      <c r="M21" s="67">
        <f t="shared" si="5"/>
        <v>82.7030933898323</v>
      </c>
    </row>
    <row r="22" spans="1:13" ht="12.75">
      <c r="A22" s="43" t="s">
        <v>25</v>
      </c>
      <c r="B22" s="44"/>
      <c r="C22" s="15">
        <v>65615</v>
      </c>
      <c r="D22" s="15">
        <v>1500</v>
      </c>
      <c r="E22" s="71">
        <f aca="true" t="shared" si="6" ref="E22:E31">SUM(D22/C22)*100</f>
        <v>2.286062638116284</v>
      </c>
      <c r="F22" s="45">
        <v>60887</v>
      </c>
      <c r="G22" s="17">
        <f aca="true" t="shared" si="7" ref="G22:G31">SUM(F22/C22)*100</f>
        <v>92.79433056465747</v>
      </c>
      <c r="H22" s="45">
        <v>40</v>
      </c>
      <c r="I22" s="17">
        <f aca="true" t="shared" si="8" ref="I22:I27">SUM(H22/C22*100)</f>
        <v>0.06096167034976758</v>
      </c>
      <c r="J22" s="16"/>
      <c r="K22" s="17">
        <f t="shared" si="1"/>
        <v>0</v>
      </c>
      <c r="L22" s="16">
        <f aca="true" t="shared" si="9" ref="L22:L27">SUM(C22-D22-F22-H22-J22)</f>
        <v>3188</v>
      </c>
      <c r="M22" s="18">
        <f aca="true" t="shared" si="10" ref="M22:M29">SUM(L22/C22)*100</f>
        <v>4.8586451268764765</v>
      </c>
    </row>
    <row r="23" spans="1:13" ht="12.75">
      <c r="A23" s="24" t="s">
        <v>38</v>
      </c>
      <c r="B23" s="36">
        <v>820</v>
      </c>
      <c r="C23" s="20">
        <f>669595+97113+5049+3141+9950</f>
        <v>784848</v>
      </c>
      <c r="D23" s="20">
        <f>63846+18178</f>
        <v>82024</v>
      </c>
      <c r="E23" s="72">
        <f t="shared" si="6"/>
        <v>10.45094081911402</v>
      </c>
      <c r="F23" s="25">
        <f>419846+5049+3141+1013+3121</f>
        <v>432170</v>
      </c>
      <c r="G23" s="22">
        <f t="shared" si="7"/>
        <v>55.06416529060404</v>
      </c>
      <c r="H23" s="25"/>
      <c r="I23" s="22">
        <f t="shared" si="8"/>
        <v>0</v>
      </c>
      <c r="J23" s="16">
        <v>97113</v>
      </c>
      <c r="K23" s="17">
        <f t="shared" si="1"/>
        <v>12.37347868631888</v>
      </c>
      <c r="L23" s="16">
        <f t="shared" si="9"/>
        <v>173541</v>
      </c>
      <c r="M23" s="23">
        <f t="shared" si="10"/>
        <v>22.111415203963062</v>
      </c>
    </row>
    <row r="24" spans="1:13" ht="12.75">
      <c r="A24" s="24" t="s">
        <v>26</v>
      </c>
      <c r="B24" s="36">
        <v>115</v>
      </c>
      <c r="C24" s="20">
        <v>101870</v>
      </c>
      <c r="D24" s="20">
        <v>2500</v>
      </c>
      <c r="E24" s="72">
        <f t="shared" si="6"/>
        <v>2.454108177088446</v>
      </c>
      <c r="F24" s="25">
        <v>72335</v>
      </c>
      <c r="G24" s="22">
        <f t="shared" si="7"/>
        <v>71.0071659958771</v>
      </c>
      <c r="H24" s="25"/>
      <c r="I24" s="22">
        <f t="shared" si="8"/>
        <v>0</v>
      </c>
      <c r="J24" s="16"/>
      <c r="K24" s="17">
        <f t="shared" si="1"/>
        <v>0</v>
      </c>
      <c r="L24" s="16">
        <f t="shared" si="9"/>
        <v>27035</v>
      </c>
      <c r="M24" s="23">
        <f t="shared" si="10"/>
        <v>26.538725827034455</v>
      </c>
    </row>
    <row r="25" spans="1:13" ht="12.75">
      <c r="A25" s="24" t="s">
        <v>27</v>
      </c>
      <c r="B25" s="36">
        <v>60</v>
      </c>
      <c r="C25" s="20">
        <v>59721</v>
      </c>
      <c r="D25" s="20">
        <v>3000</v>
      </c>
      <c r="E25" s="72">
        <f t="shared" si="6"/>
        <v>5.023358617571708</v>
      </c>
      <c r="F25" s="25">
        <v>68174</v>
      </c>
      <c r="G25" s="22">
        <f t="shared" si="7"/>
        <v>114.15415013144454</v>
      </c>
      <c r="H25" s="25"/>
      <c r="I25" s="22">
        <f t="shared" si="8"/>
        <v>0</v>
      </c>
      <c r="J25" s="16"/>
      <c r="K25" s="17">
        <f t="shared" si="1"/>
        <v>0</v>
      </c>
      <c r="L25" s="16">
        <f t="shared" si="9"/>
        <v>-11453</v>
      </c>
      <c r="M25" s="23">
        <f t="shared" si="10"/>
        <v>-19.17750874901626</v>
      </c>
    </row>
    <row r="26" spans="1:13" ht="12.75">
      <c r="A26" s="24" t="s">
        <v>39</v>
      </c>
      <c r="B26" s="36">
        <v>134</v>
      </c>
      <c r="C26" s="20">
        <v>26518</v>
      </c>
      <c r="D26" s="20">
        <v>32058</v>
      </c>
      <c r="E26" s="72">
        <f t="shared" si="6"/>
        <v>120.89146994494307</v>
      </c>
      <c r="F26" s="25"/>
      <c r="G26" s="22">
        <f t="shared" si="7"/>
        <v>0</v>
      </c>
      <c r="H26" s="25"/>
      <c r="I26" s="22">
        <f t="shared" si="8"/>
        <v>0</v>
      </c>
      <c r="J26" s="16"/>
      <c r="K26" s="17">
        <f t="shared" si="1"/>
        <v>0</v>
      </c>
      <c r="L26" s="16">
        <f t="shared" si="9"/>
        <v>-5540</v>
      </c>
      <c r="M26" s="23">
        <f t="shared" si="10"/>
        <v>-20.891469944943058</v>
      </c>
    </row>
    <row r="27" spans="1:13" ht="13.5" thickBot="1">
      <c r="A27" s="40" t="s">
        <v>40</v>
      </c>
      <c r="B27" s="41">
        <v>90</v>
      </c>
      <c r="C27" s="28">
        <v>101040</v>
      </c>
      <c r="D27" s="28"/>
      <c r="E27" s="73">
        <f t="shared" si="6"/>
        <v>0</v>
      </c>
      <c r="F27" s="42">
        <v>17404</v>
      </c>
      <c r="G27" s="30">
        <f t="shared" si="7"/>
        <v>17.22486144101346</v>
      </c>
      <c r="H27" s="42"/>
      <c r="I27" s="30">
        <f t="shared" si="8"/>
        <v>0</v>
      </c>
      <c r="J27" s="56"/>
      <c r="K27" s="17">
        <f t="shared" si="1"/>
        <v>0</v>
      </c>
      <c r="L27" s="16">
        <f t="shared" si="9"/>
        <v>83636</v>
      </c>
      <c r="M27" s="31">
        <f t="shared" si="10"/>
        <v>82.77513855898654</v>
      </c>
    </row>
    <row r="28" spans="1:13" s="52" customFormat="1" ht="13.5" thickBot="1">
      <c r="A28" s="32" t="s">
        <v>48</v>
      </c>
      <c r="B28" s="37"/>
      <c r="C28" s="33">
        <f>SUM(C22:C27)</f>
        <v>1139612</v>
      </c>
      <c r="D28" s="33">
        <f aca="true" t="shared" si="11" ref="D28:L28">SUM(D22:D27)</f>
        <v>121082</v>
      </c>
      <c r="E28" s="74">
        <f t="shared" si="6"/>
        <v>10.624844245234343</v>
      </c>
      <c r="F28" s="33">
        <f t="shared" si="11"/>
        <v>650970</v>
      </c>
      <c r="G28" s="48">
        <f t="shared" si="7"/>
        <v>57.1220731266431</v>
      </c>
      <c r="H28" s="33">
        <f t="shared" si="11"/>
        <v>40</v>
      </c>
      <c r="I28" s="48">
        <f t="shared" si="11"/>
        <v>0.06096167034976758</v>
      </c>
      <c r="J28" s="33">
        <f>SUM(J22:J27)</f>
        <v>97113</v>
      </c>
      <c r="K28" s="48">
        <f t="shared" si="1"/>
        <v>8.52158453929934</v>
      </c>
      <c r="L28" s="33">
        <f t="shared" si="11"/>
        <v>270407</v>
      </c>
      <c r="M28" s="67">
        <f t="shared" si="10"/>
        <v>23.727988122273196</v>
      </c>
    </row>
    <row r="29" spans="1:14" ht="13.5" thickBot="1">
      <c r="A29" s="53" t="s">
        <v>41</v>
      </c>
      <c r="B29" s="54"/>
      <c r="C29" s="55">
        <f>407874+27020+14050+252651+13050-11158+12752</f>
        <v>716239</v>
      </c>
      <c r="D29" s="55"/>
      <c r="E29" s="75">
        <f t="shared" si="6"/>
        <v>0</v>
      </c>
      <c r="F29" s="56"/>
      <c r="G29" s="57">
        <f t="shared" si="7"/>
        <v>0</v>
      </c>
      <c r="H29" s="56"/>
      <c r="I29" s="57">
        <f>SUM(H29/C29*100)</f>
        <v>0</v>
      </c>
      <c r="J29" s="56">
        <v>252651</v>
      </c>
      <c r="K29" s="57">
        <f t="shared" si="1"/>
        <v>35.27467786590789</v>
      </c>
      <c r="L29" s="56">
        <f>SUM(C29-D29-F29-H29-J29)</f>
        <v>463588</v>
      </c>
      <c r="M29" s="58">
        <f t="shared" si="10"/>
        <v>64.72532213409211</v>
      </c>
      <c r="N29" s="4"/>
    </row>
    <row r="30" spans="1:14" s="52" customFormat="1" ht="13.5" thickBot="1">
      <c r="A30" s="46" t="s">
        <v>45</v>
      </c>
      <c r="B30" s="47"/>
      <c r="C30" s="33">
        <f>SUM(C29)</f>
        <v>716239</v>
      </c>
      <c r="D30" s="33">
        <f aca="true" t="shared" si="12" ref="D30:M30">SUM(D29)</f>
        <v>0</v>
      </c>
      <c r="E30" s="74">
        <f t="shared" si="6"/>
        <v>0</v>
      </c>
      <c r="F30" s="33">
        <f t="shared" si="12"/>
        <v>0</v>
      </c>
      <c r="G30" s="48">
        <f t="shared" si="7"/>
        <v>0</v>
      </c>
      <c r="H30" s="33">
        <f t="shared" si="12"/>
        <v>0</v>
      </c>
      <c r="I30" s="48">
        <f t="shared" si="12"/>
        <v>0</v>
      </c>
      <c r="J30" s="33">
        <f>SUM(J29)</f>
        <v>252651</v>
      </c>
      <c r="K30" s="48">
        <f t="shared" si="1"/>
        <v>35.27467786590789</v>
      </c>
      <c r="L30" s="33">
        <f t="shared" si="12"/>
        <v>463588</v>
      </c>
      <c r="M30" s="67">
        <f t="shared" si="12"/>
        <v>64.72532213409211</v>
      </c>
      <c r="N30" s="59"/>
    </row>
    <row r="31" spans="1:13" s="52" customFormat="1" ht="13.5" thickBot="1">
      <c r="A31" s="32" t="s">
        <v>22</v>
      </c>
      <c r="B31" s="37"/>
      <c r="C31" s="33">
        <f>SUM(C30,C28,C21)</f>
        <v>5525062</v>
      </c>
      <c r="D31" s="33">
        <f>SUM(D30,D28,D21)</f>
        <v>241784</v>
      </c>
      <c r="E31" s="74">
        <f t="shared" si="6"/>
        <v>4.376131887750762</v>
      </c>
      <c r="F31" s="33">
        <f>SUM(F30,F28,F21)</f>
        <v>653065</v>
      </c>
      <c r="G31" s="48">
        <f t="shared" si="7"/>
        <v>11.820048354208513</v>
      </c>
      <c r="H31" s="33">
        <f>SUM(H30,H28,H21)</f>
        <v>40</v>
      </c>
      <c r="I31" s="48">
        <f>SUM(H31/C31*100)</f>
        <v>0.0007239737762218776</v>
      </c>
      <c r="J31" s="33">
        <f>SUM(J30,J28,J21)</f>
        <v>861627</v>
      </c>
      <c r="K31" s="48">
        <f t="shared" si="1"/>
        <v>15.594883822118193</v>
      </c>
      <c r="L31" s="33">
        <f>SUM(L30,L28,L21)</f>
        <v>3768546</v>
      </c>
      <c r="M31" s="67">
        <f>SUM(L31/C31)*100</f>
        <v>68.20821196214631</v>
      </c>
    </row>
    <row r="32" spans="4:12" ht="12.75">
      <c r="D32" s="6"/>
      <c r="E32" s="3"/>
      <c r="F32" s="4"/>
      <c r="G32" s="3"/>
      <c r="H32" s="4"/>
      <c r="I32" s="3"/>
      <c r="J32" s="3"/>
      <c r="K32" s="3"/>
      <c r="L32" s="6"/>
    </row>
    <row r="33" spans="3:8" ht="12.75">
      <c r="C33" s="4"/>
      <c r="H33" s="62"/>
    </row>
    <row r="34" spans="3:8" ht="12.75">
      <c r="C34" s="4"/>
      <c r="H34" s="62"/>
    </row>
    <row r="35" ht="12.75">
      <c r="C35" s="4"/>
    </row>
    <row r="36" ht="12.75">
      <c r="C36" s="4"/>
    </row>
    <row r="37" ht="12.75">
      <c r="C37" s="4"/>
    </row>
  </sheetData>
  <sheetProtection/>
  <mergeCells count="2">
    <mergeCell ref="L1:M1"/>
    <mergeCell ref="A3:M4"/>
  </mergeCells>
  <printOptions/>
  <pageMargins left="0.17" right="0.17" top="0.58" bottom="1" header="0.2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9"/>
  <sheetViews>
    <sheetView zoomScalePageLayoutView="0" workbookViewId="0" topLeftCell="B8">
      <selection activeCell="P8" sqref="P1:R16384"/>
    </sheetView>
  </sheetViews>
  <sheetFormatPr defaultColWidth="9.00390625" defaultRowHeight="12.75"/>
  <cols>
    <col min="1" max="1" width="1.12109375" style="107" hidden="1" customWidth="1"/>
    <col min="2" max="2" width="33.25390625" style="107" customWidth="1"/>
    <col min="3" max="3" width="8.875" style="107" customWidth="1"/>
    <col min="4" max="4" width="9.875" style="107" customWidth="1"/>
    <col min="5" max="5" width="9.375" style="108" bestFit="1" customWidth="1"/>
    <col min="6" max="6" width="9.75390625" style="109" customWidth="1"/>
    <col min="7" max="7" width="10.875" style="108" customWidth="1"/>
    <col min="8" max="8" width="9.75390625" style="110" customWidth="1"/>
    <col min="9" max="9" width="7.75390625" style="111" customWidth="1"/>
    <col min="10" max="10" width="8.375" style="122" customWidth="1"/>
    <col min="11" max="11" width="9.75390625" style="111" customWidth="1"/>
    <col min="12" max="12" width="10.00390625" style="122" customWidth="1"/>
    <col min="13" max="13" width="11.125" style="121" customWidth="1"/>
    <col min="14" max="14" width="13.00390625" style="109" customWidth="1"/>
    <col min="15" max="15" width="9.00390625" style="107" customWidth="1"/>
    <col min="16" max="16384" width="9.125" style="107" customWidth="1"/>
  </cols>
  <sheetData>
    <row r="1" spans="13:14" ht="12" customHeight="1">
      <c r="M1" s="129" t="s">
        <v>35</v>
      </c>
      <c r="N1" s="129"/>
    </row>
    <row r="2" spans="2:14" ht="12" customHeight="1">
      <c r="B2" s="128" t="s">
        <v>96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2:14" ht="12" customHeight="1" thickBot="1">
      <c r="B3" s="62"/>
      <c r="C3" s="62"/>
      <c r="D3" s="62"/>
      <c r="E3" s="85"/>
      <c r="F3" s="86"/>
      <c r="G3" s="85"/>
      <c r="H3" s="87"/>
      <c r="I3" s="88"/>
      <c r="J3" s="123"/>
      <c r="K3" s="88"/>
      <c r="L3" s="123"/>
      <c r="M3" s="89"/>
      <c r="N3" s="125" t="s">
        <v>0</v>
      </c>
    </row>
    <row r="4" spans="2:14" s="112" customFormat="1" ht="51.75" customHeight="1" thickBot="1">
      <c r="B4" s="63" t="s">
        <v>4</v>
      </c>
      <c r="C4" s="91" t="s">
        <v>5</v>
      </c>
      <c r="D4" s="82" t="s">
        <v>97</v>
      </c>
      <c r="E4" s="82" t="s">
        <v>98</v>
      </c>
      <c r="F4" s="83" t="s">
        <v>99</v>
      </c>
      <c r="G4" s="82" t="s">
        <v>103</v>
      </c>
      <c r="H4" s="92" t="s">
        <v>91</v>
      </c>
      <c r="I4" s="84" t="s">
        <v>100</v>
      </c>
      <c r="J4" s="83" t="s">
        <v>93</v>
      </c>
      <c r="K4" s="83" t="s">
        <v>53</v>
      </c>
      <c r="L4" s="83" t="s">
        <v>54</v>
      </c>
      <c r="M4" s="84" t="s">
        <v>101</v>
      </c>
      <c r="N4" s="93" t="s">
        <v>95</v>
      </c>
    </row>
    <row r="5" spans="2:14" ht="12" customHeight="1">
      <c r="B5" s="19" t="s">
        <v>42</v>
      </c>
      <c r="C5" s="20"/>
      <c r="D5" s="20">
        <v>50569</v>
      </c>
      <c r="E5" s="21"/>
      <c r="F5" s="22">
        <f>SUM(E5/D5)*100</f>
        <v>0</v>
      </c>
      <c r="G5" s="21"/>
      <c r="H5" s="17">
        <f>SUM(G5/D5)*100</f>
        <v>0</v>
      </c>
      <c r="I5" s="21"/>
      <c r="J5" s="17">
        <f aca="true" t="shared" si="0" ref="J5:J24">SUM(I5/D5)*100</f>
        <v>0</v>
      </c>
      <c r="K5" s="16">
        <v>50</v>
      </c>
      <c r="L5" s="17">
        <f aca="true" t="shared" si="1" ref="L5:L24">SUM(K5/D5)*100</f>
        <v>0.09887480472226066</v>
      </c>
      <c r="M5" s="16">
        <f aca="true" t="shared" si="2" ref="M5:M18">SUM(D5-E5-G5-I5-K5)</f>
        <v>50519</v>
      </c>
      <c r="N5" s="23">
        <f>SUM(M5/D5)*100</f>
        <v>99.90112519527774</v>
      </c>
    </row>
    <row r="6" spans="2:14" ht="12" customHeight="1">
      <c r="B6" s="19" t="s">
        <v>7</v>
      </c>
      <c r="C6" s="20"/>
      <c r="D6" s="20">
        <f>48742+10016+6817+59663-42212+401</f>
        <v>83427</v>
      </c>
      <c r="E6" s="21"/>
      <c r="F6" s="22">
        <f>SUM(E6/D6)*100</f>
        <v>0</v>
      </c>
      <c r="G6" s="21">
        <f>18557+9922+6817-31+16012+642+736</f>
        <v>52655</v>
      </c>
      <c r="H6" s="17">
        <f>SUM(G6/D6)*100</f>
        <v>63.115058674050374</v>
      </c>
      <c r="I6" s="21">
        <v>502</v>
      </c>
      <c r="J6" s="17">
        <f t="shared" si="0"/>
        <v>0.601723662603234</v>
      </c>
      <c r="K6" s="16"/>
      <c r="L6" s="17">
        <f t="shared" si="1"/>
        <v>0</v>
      </c>
      <c r="M6" s="16">
        <f t="shared" si="2"/>
        <v>30270</v>
      </c>
      <c r="N6" s="23">
        <f>SUM(M6/D6)*100</f>
        <v>36.2832176633464</v>
      </c>
    </row>
    <row r="7" spans="2:14" ht="12" customHeight="1">
      <c r="B7" s="19" t="s">
        <v>8</v>
      </c>
      <c r="C7" s="20"/>
      <c r="D7" s="20">
        <v>225798</v>
      </c>
      <c r="E7" s="21"/>
      <c r="F7" s="22">
        <f>SUM(E7/D7)*100</f>
        <v>0</v>
      </c>
      <c r="G7" s="21">
        <v>10520</v>
      </c>
      <c r="H7" s="17">
        <f>SUM(G7/D7)*100</f>
        <v>4.659031523751318</v>
      </c>
      <c r="I7" s="21"/>
      <c r="J7" s="17">
        <f t="shared" si="0"/>
        <v>0</v>
      </c>
      <c r="K7" s="16"/>
      <c r="L7" s="17">
        <f t="shared" si="1"/>
        <v>0</v>
      </c>
      <c r="M7" s="16">
        <f t="shared" si="2"/>
        <v>215278</v>
      </c>
      <c r="N7" s="23">
        <f>SUM(M7/D7)*100</f>
        <v>95.34096847624868</v>
      </c>
    </row>
    <row r="8" spans="2:14" ht="12" customHeight="1">
      <c r="B8" s="19" t="s">
        <v>18</v>
      </c>
      <c r="C8" s="20"/>
      <c r="D8" s="20">
        <v>150375</v>
      </c>
      <c r="E8" s="21"/>
      <c r="F8" s="22">
        <f aca="true" t="shared" si="3" ref="F8:F19">SUM(E8/D8)*100</f>
        <v>0</v>
      </c>
      <c r="G8" s="21"/>
      <c r="H8" s="22">
        <f aca="true" t="shared" si="4" ref="H8:H19">SUM(G8/D8)*100</f>
        <v>0</v>
      </c>
      <c r="I8" s="21"/>
      <c r="J8" s="17">
        <f t="shared" si="0"/>
        <v>0</v>
      </c>
      <c r="K8" s="16">
        <v>2</v>
      </c>
      <c r="L8" s="17">
        <f t="shared" si="1"/>
        <v>0.0013300083125519534</v>
      </c>
      <c r="M8" s="16">
        <f t="shared" si="2"/>
        <v>150373</v>
      </c>
      <c r="N8" s="23">
        <f aca="true" t="shared" si="5" ref="N8:N19">SUM(M8/D8)*100</f>
        <v>99.99866999168745</v>
      </c>
    </row>
    <row r="9" spans="2:14" ht="12" customHeight="1">
      <c r="B9" s="19" t="s">
        <v>19</v>
      </c>
      <c r="C9" s="20"/>
      <c r="D9" s="20">
        <v>929216</v>
      </c>
      <c r="E9" s="21"/>
      <c r="F9" s="22">
        <f t="shared" si="3"/>
        <v>0</v>
      </c>
      <c r="G9" s="21"/>
      <c r="H9" s="22">
        <f t="shared" si="4"/>
        <v>0</v>
      </c>
      <c r="I9" s="21">
        <f>99366+119139</f>
        <v>218505</v>
      </c>
      <c r="J9" s="17">
        <f t="shared" si="0"/>
        <v>23.514984675253118</v>
      </c>
      <c r="K9" s="16"/>
      <c r="L9" s="17">
        <f t="shared" si="1"/>
        <v>0</v>
      </c>
      <c r="M9" s="16">
        <f t="shared" si="2"/>
        <v>710711</v>
      </c>
      <c r="N9" s="23">
        <f t="shared" si="5"/>
        <v>76.48501532474688</v>
      </c>
    </row>
    <row r="10" spans="2:14" ht="12" customHeight="1">
      <c r="B10" s="19" t="s">
        <v>20</v>
      </c>
      <c r="C10" s="20"/>
      <c r="D10" s="20">
        <v>413492</v>
      </c>
      <c r="E10" s="21"/>
      <c r="F10" s="22">
        <f t="shared" si="3"/>
        <v>0</v>
      </c>
      <c r="G10" s="21"/>
      <c r="H10" s="22">
        <f t="shared" si="4"/>
        <v>0</v>
      </c>
      <c r="I10" s="21"/>
      <c r="J10" s="17">
        <f t="shared" si="0"/>
        <v>0</v>
      </c>
      <c r="K10" s="16"/>
      <c r="L10" s="17">
        <f t="shared" si="1"/>
        <v>0</v>
      </c>
      <c r="M10" s="16">
        <f t="shared" si="2"/>
        <v>413492</v>
      </c>
      <c r="N10" s="23">
        <f t="shared" si="5"/>
        <v>100</v>
      </c>
    </row>
    <row r="11" spans="2:14" ht="12" customHeight="1">
      <c r="B11" s="19" t="s">
        <v>21</v>
      </c>
      <c r="C11" s="20"/>
      <c r="D11" s="20">
        <f>1578892+91237</f>
        <v>1670129</v>
      </c>
      <c r="E11" s="21">
        <v>1933759</v>
      </c>
      <c r="F11" s="22">
        <f t="shared" si="3"/>
        <v>115.78500822391564</v>
      </c>
      <c r="G11" s="21"/>
      <c r="H11" s="22">
        <f t="shared" si="4"/>
        <v>0</v>
      </c>
      <c r="I11" s="21"/>
      <c r="J11" s="17">
        <f t="shared" si="0"/>
        <v>0</v>
      </c>
      <c r="K11" s="16">
        <v>91237</v>
      </c>
      <c r="L11" s="17">
        <f t="shared" si="1"/>
        <v>5.462871430889471</v>
      </c>
      <c r="M11" s="16">
        <f t="shared" si="2"/>
        <v>-354867</v>
      </c>
      <c r="N11" s="23">
        <f t="shared" si="5"/>
        <v>-21.247879654805107</v>
      </c>
    </row>
    <row r="12" spans="2:14" ht="12" customHeight="1">
      <c r="B12" s="27" t="s">
        <v>84</v>
      </c>
      <c r="C12" s="28"/>
      <c r="D12" s="28">
        <v>787</v>
      </c>
      <c r="E12" s="29"/>
      <c r="F12" s="22">
        <f t="shared" si="3"/>
        <v>0</v>
      </c>
      <c r="G12" s="29"/>
      <c r="H12" s="22">
        <f t="shared" si="4"/>
        <v>0</v>
      </c>
      <c r="I12" s="29"/>
      <c r="J12" s="17">
        <f t="shared" si="0"/>
        <v>0</v>
      </c>
      <c r="K12" s="56"/>
      <c r="L12" s="17">
        <f t="shared" si="1"/>
        <v>0</v>
      </c>
      <c r="M12" s="16">
        <f t="shared" si="2"/>
        <v>787</v>
      </c>
      <c r="N12" s="31">
        <f t="shared" si="5"/>
        <v>100</v>
      </c>
    </row>
    <row r="13" spans="2:14" ht="12" customHeight="1">
      <c r="B13" s="27" t="s">
        <v>1</v>
      </c>
      <c r="C13" s="28"/>
      <c r="D13" s="28">
        <v>5600</v>
      </c>
      <c r="E13" s="29"/>
      <c r="F13" s="22">
        <f t="shared" si="3"/>
        <v>0</v>
      </c>
      <c r="G13" s="29"/>
      <c r="H13" s="22">
        <f t="shared" si="4"/>
        <v>0</v>
      </c>
      <c r="I13" s="29"/>
      <c r="J13" s="17">
        <f t="shared" si="0"/>
        <v>0</v>
      </c>
      <c r="K13" s="21"/>
      <c r="L13" s="17">
        <f t="shared" si="1"/>
        <v>0</v>
      </c>
      <c r="M13" s="16">
        <f t="shared" si="2"/>
        <v>5600</v>
      </c>
      <c r="N13" s="31">
        <f t="shared" si="5"/>
        <v>100</v>
      </c>
    </row>
    <row r="14" spans="2:14" ht="12" customHeight="1">
      <c r="B14" s="27" t="s">
        <v>81</v>
      </c>
      <c r="C14" s="28"/>
      <c r="D14" s="28">
        <v>6000</v>
      </c>
      <c r="E14" s="29"/>
      <c r="F14" s="30">
        <f t="shared" si="3"/>
        <v>0</v>
      </c>
      <c r="G14" s="29"/>
      <c r="H14" s="30">
        <f t="shared" si="4"/>
        <v>0</v>
      </c>
      <c r="I14" s="29"/>
      <c r="J14" s="17">
        <f t="shared" si="0"/>
        <v>0</v>
      </c>
      <c r="K14" s="21"/>
      <c r="L14" s="17">
        <f t="shared" si="1"/>
        <v>0</v>
      </c>
      <c r="M14" s="16">
        <f t="shared" si="2"/>
        <v>6000</v>
      </c>
      <c r="N14" s="31">
        <f t="shared" si="5"/>
        <v>100</v>
      </c>
    </row>
    <row r="15" spans="2:14" ht="12" customHeight="1">
      <c r="B15" s="27" t="s">
        <v>85</v>
      </c>
      <c r="C15" s="28"/>
      <c r="D15" s="28">
        <f>31098+112500</f>
        <v>143598</v>
      </c>
      <c r="E15" s="29"/>
      <c r="F15" s="30">
        <f t="shared" si="3"/>
        <v>0</v>
      </c>
      <c r="G15" s="29"/>
      <c r="H15" s="30">
        <f t="shared" si="4"/>
        <v>0</v>
      </c>
      <c r="I15" s="29"/>
      <c r="J15" s="17">
        <f t="shared" si="0"/>
        <v>0</v>
      </c>
      <c r="K15" s="21">
        <v>32</v>
      </c>
      <c r="L15" s="17">
        <f t="shared" si="1"/>
        <v>0.022284432930820764</v>
      </c>
      <c r="M15" s="16">
        <f t="shared" si="2"/>
        <v>143566</v>
      </c>
      <c r="N15" s="31">
        <f t="shared" si="5"/>
        <v>99.97771556706918</v>
      </c>
    </row>
    <row r="16" spans="2:14" ht="12" customHeight="1">
      <c r="B16" s="27" t="s">
        <v>83</v>
      </c>
      <c r="C16" s="28"/>
      <c r="D16" s="28">
        <f>950929+310000</f>
        <v>1260929</v>
      </c>
      <c r="E16" s="29">
        <v>2921000</v>
      </c>
      <c r="F16" s="30">
        <f t="shared" si="3"/>
        <v>231.65459752293748</v>
      </c>
      <c r="G16" s="29"/>
      <c r="H16" s="30">
        <f t="shared" si="4"/>
        <v>0</v>
      </c>
      <c r="I16" s="29"/>
      <c r="J16" s="17">
        <f t="shared" si="0"/>
        <v>0</v>
      </c>
      <c r="K16" s="56">
        <v>453</v>
      </c>
      <c r="L16" s="17">
        <f t="shared" si="1"/>
        <v>0.03592589273464247</v>
      </c>
      <c r="M16" s="16">
        <f t="shared" si="2"/>
        <v>-1660524</v>
      </c>
      <c r="N16" s="31">
        <f t="shared" si="5"/>
        <v>-131.6905234156721</v>
      </c>
    </row>
    <row r="17" spans="2:14" ht="12" customHeight="1">
      <c r="B17" s="27" t="s">
        <v>34</v>
      </c>
      <c r="C17" s="28"/>
      <c r="D17" s="28">
        <v>443922</v>
      </c>
      <c r="E17" s="29">
        <v>51650</v>
      </c>
      <c r="F17" s="30">
        <f t="shared" si="3"/>
        <v>11.63492685651984</v>
      </c>
      <c r="G17" s="29">
        <f>47638+1250</f>
        <v>48888</v>
      </c>
      <c r="H17" s="30">
        <f t="shared" si="4"/>
        <v>11.012745482314461</v>
      </c>
      <c r="I17" s="29"/>
      <c r="J17" s="57">
        <f t="shared" si="0"/>
        <v>0</v>
      </c>
      <c r="K17" s="29"/>
      <c r="L17" s="57">
        <f t="shared" si="1"/>
        <v>0</v>
      </c>
      <c r="M17" s="56">
        <f t="shared" si="2"/>
        <v>343384</v>
      </c>
      <c r="N17" s="31">
        <f t="shared" si="5"/>
        <v>77.3523276611657</v>
      </c>
    </row>
    <row r="18" spans="2:14" ht="12" customHeight="1" thickBot="1">
      <c r="B18" s="64" t="s">
        <v>107</v>
      </c>
      <c r="C18" s="38"/>
      <c r="D18" s="38">
        <v>46</v>
      </c>
      <c r="E18" s="39"/>
      <c r="F18" s="65">
        <f t="shared" si="3"/>
        <v>0</v>
      </c>
      <c r="G18" s="39">
        <v>46</v>
      </c>
      <c r="H18" s="65">
        <f t="shared" si="4"/>
        <v>100</v>
      </c>
      <c r="I18" s="39"/>
      <c r="J18" s="65">
        <f t="shared" si="0"/>
        <v>0</v>
      </c>
      <c r="K18" s="39"/>
      <c r="L18" s="65">
        <f t="shared" si="1"/>
        <v>0</v>
      </c>
      <c r="M18" s="39">
        <f t="shared" si="2"/>
        <v>0</v>
      </c>
      <c r="N18" s="66">
        <f t="shared" si="5"/>
        <v>0</v>
      </c>
    </row>
    <row r="19" spans="2:14" s="52" customFormat="1" ht="12" customHeight="1" thickBot="1">
      <c r="B19" s="46" t="s">
        <v>44</v>
      </c>
      <c r="C19" s="33"/>
      <c r="D19" s="33">
        <f>SUM(D5:D18)</f>
        <v>5383888</v>
      </c>
      <c r="E19" s="33">
        <f aca="true" t="shared" si="6" ref="E19:M19">SUM(E5:E18)</f>
        <v>4906409</v>
      </c>
      <c r="F19" s="95">
        <f t="shared" si="3"/>
        <v>91.13133482717323</v>
      </c>
      <c r="G19" s="33">
        <f t="shared" si="6"/>
        <v>112109</v>
      </c>
      <c r="H19" s="48">
        <f t="shared" si="4"/>
        <v>2.0823055754503064</v>
      </c>
      <c r="I19" s="33">
        <f t="shared" si="6"/>
        <v>219007</v>
      </c>
      <c r="J19" s="48">
        <f t="shared" si="0"/>
        <v>4.067822361832193</v>
      </c>
      <c r="K19" s="33">
        <f t="shared" si="6"/>
        <v>91774</v>
      </c>
      <c r="L19" s="48">
        <f t="shared" si="1"/>
        <v>1.7046045534379617</v>
      </c>
      <c r="M19" s="33">
        <f t="shared" si="6"/>
        <v>54589</v>
      </c>
      <c r="N19" s="67">
        <f t="shared" si="5"/>
        <v>1.0139326821063142</v>
      </c>
    </row>
    <row r="20" spans="2:14" s="13" customFormat="1" ht="12" customHeight="1">
      <c r="B20" s="24" t="s">
        <v>17</v>
      </c>
      <c r="C20" s="20"/>
      <c r="D20" s="20">
        <v>31427</v>
      </c>
      <c r="E20" s="25">
        <v>4500</v>
      </c>
      <c r="F20" s="22">
        <f aca="true" t="shared" si="7" ref="F20:F28">SUM(E20/D20)*100</f>
        <v>14.318897763069971</v>
      </c>
      <c r="G20" s="25"/>
      <c r="H20" s="68">
        <f aca="true" t="shared" si="8" ref="H20:H28">SUM(G20/D20)*100</f>
        <v>0</v>
      </c>
      <c r="I20" s="26"/>
      <c r="J20" s="68">
        <f t="shared" si="0"/>
        <v>0</v>
      </c>
      <c r="K20" s="45"/>
      <c r="L20" s="76">
        <f t="shared" si="1"/>
        <v>0</v>
      </c>
      <c r="M20" s="16">
        <f>SUM(D20-E20-G20-I20-K20)</f>
        <v>26927</v>
      </c>
      <c r="N20" s="23">
        <f aca="true" t="shared" si="9" ref="N20:N28">SUM(M20/D20)*100</f>
        <v>85.68110223693003</v>
      </c>
    </row>
    <row r="21" spans="2:14" s="13" customFormat="1" ht="12" customHeight="1">
      <c r="B21" s="24" t="s">
        <v>31</v>
      </c>
      <c r="C21" s="20">
        <v>115</v>
      </c>
      <c r="D21" s="20">
        <v>56538</v>
      </c>
      <c r="E21" s="25">
        <v>600</v>
      </c>
      <c r="F21" s="22">
        <f t="shared" si="7"/>
        <v>1.0612331529236974</v>
      </c>
      <c r="G21" s="25">
        <v>22821</v>
      </c>
      <c r="H21" s="68">
        <f t="shared" si="8"/>
        <v>40.36400297145283</v>
      </c>
      <c r="I21" s="26"/>
      <c r="J21" s="68">
        <f t="shared" si="0"/>
        <v>0</v>
      </c>
      <c r="K21" s="45"/>
      <c r="L21" s="76">
        <f t="shared" si="1"/>
        <v>0</v>
      </c>
      <c r="M21" s="16">
        <f>SUM(D21-E21-G21-I21-K21)</f>
        <v>33117</v>
      </c>
      <c r="N21" s="23">
        <f t="shared" si="9"/>
        <v>58.57476387562347</v>
      </c>
    </row>
    <row r="22" spans="2:14" s="13" customFormat="1" ht="12" customHeight="1">
      <c r="B22" s="24" t="s">
        <v>37</v>
      </c>
      <c r="C22" s="20"/>
      <c r="D22" s="20">
        <v>60886</v>
      </c>
      <c r="E22" s="25"/>
      <c r="F22" s="22">
        <f t="shared" si="7"/>
        <v>0</v>
      </c>
      <c r="G22" s="25">
        <v>39545</v>
      </c>
      <c r="H22" s="68">
        <f t="shared" si="8"/>
        <v>64.94924941694315</v>
      </c>
      <c r="I22" s="26"/>
      <c r="J22" s="68">
        <f t="shared" si="0"/>
        <v>0</v>
      </c>
      <c r="K22" s="45"/>
      <c r="L22" s="76">
        <f t="shared" si="1"/>
        <v>0</v>
      </c>
      <c r="M22" s="16">
        <f>SUM(D22-E22-G22-I22-K22)</f>
        <v>21341</v>
      </c>
      <c r="N22" s="23">
        <f t="shared" si="9"/>
        <v>35.05075058305686</v>
      </c>
    </row>
    <row r="23" spans="2:14" s="13" customFormat="1" ht="12" customHeight="1">
      <c r="B23" s="24" t="s">
        <v>33</v>
      </c>
      <c r="C23" s="20"/>
      <c r="D23" s="20">
        <v>16775</v>
      </c>
      <c r="E23" s="25"/>
      <c r="F23" s="22">
        <f t="shared" si="7"/>
        <v>0</v>
      </c>
      <c r="G23" s="25">
        <v>14742</v>
      </c>
      <c r="H23" s="68">
        <f t="shared" si="8"/>
        <v>87.88077496274218</v>
      </c>
      <c r="I23" s="26"/>
      <c r="J23" s="68">
        <f t="shared" si="0"/>
        <v>0</v>
      </c>
      <c r="K23" s="45"/>
      <c r="L23" s="76">
        <f t="shared" si="1"/>
        <v>0</v>
      </c>
      <c r="M23" s="16">
        <f>SUM(D23-E23-G23-I23-K23)</f>
        <v>2033</v>
      </c>
      <c r="N23" s="23">
        <f t="shared" si="9"/>
        <v>12.119225037257825</v>
      </c>
    </row>
    <row r="24" spans="2:14" s="13" customFormat="1" ht="12" customHeight="1" thickBot="1">
      <c r="B24" s="40" t="s">
        <v>32</v>
      </c>
      <c r="C24" s="28">
        <v>200</v>
      </c>
      <c r="D24" s="28">
        <v>32000</v>
      </c>
      <c r="E24" s="42">
        <v>2000</v>
      </c>
      <c r="F24" s="30">
        <f t="shared" si="7"/>
        <v>6.25</v>
      </c>
      <c r="G24" s="42">
        <v>19082</v>
      </c>
      <c r="H24" s="69">
        <f t="shared" si="8"/>
        <v>59.63125</v>
      </c>
      <c r="I24" s="61"/>
      <c r="J24" s="68">
        <f t="shared" si="0"/>
        <v>0</v>
      </c>
      <c r="K24" s="77"/>
      <c r="L24" s="76">
        <f t="shared" si="1"/>
        <v>0</v>
      </c>
      <c r="M24" s="16">
        <f>SUM(D24-E24-G24-I24-K24)</f>
        <v>10918</v>
      </c>
      <c r="N24" s="31">
        <f t="shared" si="9"/>
        <v>34.11875</v>
      </c>
    </row>
    <row r="25" spans="2:14" s="52" customFormat="1" ht="12" customHeight="1" thickBot="1">
      <c r="B25" s="46" t="s">
        <v>43</v>
      </c>
      <c r="C25" s="33"/>
      <c r="D25" s="33">
        <f>SUM(D20:D24)</f>
        <v>197626</v>
      </c>
      <c r="E25" s="33">
        <f aca="true" t="shared" si="10" ref="E25:M25">SUM(E20:E24)</f>
        <v>7100</v>
      </c>
      <c r="F25" s="48">
        <f t="shared" si="7"/>
        <v>3.5926446924999746</v>
      </c>
      <c r="G25" s="33">
        <f t="shared" si="10"/>
        <v>96190</v>
      </c>
      <c r="H25" s="48">
        <f t="shared" si="8"/>
        <v>48.672745488953886</v>
      </c>
      <c r="I25" s="33">
        <f t="shared" si="10"/>
        <v>0</v>
      </c>
      <c r="J25" s="48">
        <f aca="true" t="shared" si="11" ref="J25:J42">SUM(I25/D25)*100</f>
        <v>0</v>
      </c>
      <c r="K25" s="33"/>
      <c r="L25" s="48">
        <f aca="true" t="shared" si="12" ref="L25:L42">SUM(K25/D25)*100</f>
        <v>0</v>
      </c>
      <c r="M25" s="33">
        <f t="shared" si="10"/>
        <v>94336</v>
      </c>
      <c r="N25" s="67">
        <f t="shared" si="9"/>
        <v>47.73460981854614</v>
      </c>
    </row>
    <row r="26" spans="2:14" ht="12" customHeight="1">
      <c r="B26" s="99" t="s">
        <v>78</v>
      </c>
      <c r="C26" s="100"/>
      <c r="D26" s="100">
        <f>312593+11043+920+50515</f>
        <v>375071</v>
      </c>
      <c r="E26" s="101">
        <v>106000</v>
      </c>
      <c r="F26" s="102">
        <f t="shared" si="7"/>
        <v>28.26131585753097</v>
      </c>
      <c r="G26" s="101">
        <f>920+515+144+512</f>
        <v>2091</v>
      </c>
      <c r="H26" s="102">
        <f t="shared" si="8"/>
        <v>0.5574944477178987</v>
      </c>
      <c r="I26" s="101"/>
      <c r="J26" s="102">
        <f>SUM(I26/D26)*100</f>
        <v>0</v>
      </c>
      <c r="K26" s="101">
        <v>11043</v>
      </c>
      <c r="L26" s="102">
        <f>SUM(K26/D26)*100</f>
        <v>2.94424255674259</v>
      </c>
      <c r="M26" s="101">
        <f>SUM(D26-E26-G26-I26-K26)</f>
        <v>255937</v>
      </c>
      <c r="N26" s="103">
        <f t="shared" si="9"/>
        <v>68.23694713800855</v>
      </c>
    </row>
    <row r="27" spans="2:14" ht="12" customHeight="1" thickBot="1">
      <c r="B27" s="64" t="s">
        <v>79</v>
      </c>
      <c r="C27" s="105"/>
      <c r="D27" s="38">
        <f>501957+24407</f>
        <v>526364</v>
      </c>
      <c r="E27" s="39">
        <f>194000+50000+23751</f>
        <v>267751</v>
      </c>
      <c r="F27" s="65">
        <f t="shared" si="7"/>
        <v>50.86803048840726</v>
      </c>
      <c r="G27" s="65"/>
      <c r="H27" s="65">
        <f t="shared" si="8"/>
        <v>0</v>
      </c>
      <c r="I27" s="65"/>
      <c r="J27" s="65">
        <f>SUM(I27/D27)*100</f>
        <v>0</v>
      </c>
      <c r="K27" s="65"/>
      <c r="L27" s="65">
        <f>SUM(K27/D27)*100</f>
        <v>0</v>
      </c>
      <c r="M27" s="39">
        <f>SUM(D27-E27-G27-I27-K27)</f>
        <v>258613</v>
      </c>
      <c r="N27" s="66">
        <f t="shared" si="9"/>
        <v>49.131969511592736</v>
      </c>
    </row>
    <row r="28" spans="2:14" ht="12" customHeight="1" thickBot="1">
      <c r="B28" s="46" t="s">
        <v>80</v>
      </c>
      <c r="C28" s="33"/>
      <c r="D28" s="33">
        <f>SUM(D26:D27)</f>
        <v>901435</v>
      </c>
      <c r="E28" s="33">
        <f>SUM(E26:E27)</f>
        <v>373751</v>
      </c>
      <c r="F28" s="95">
        <f t="shared" si="7"/>
        <v>41.461780383499644</v>
      </c>
      <c r="G28" s="33">
        <f aca="true" t="shared" si="13" ref="G28:M28">SUM(G26:G27)</f>
        <v>2091</v>
      </c>
      <c r="H28" s="48">
        <f t="shared" si="8"/>
        <v>0.23196348045061485</v>
      </c>
      <c r="I28" s="33">
        <f t="shared" si="13"/>
        <v>0</v>
      </c>
      <c r="J28" s="48">
        <f t="shared" si="13"/>
        <v>0</v>
      </c>
      <c r="K28" s="33">
        <f t="shared" si="13"/>
        <v>11043</v>
      </c>
      <c r="L28" s="48">
        <f>SUM(K28/D28)*100</f>
        <v>1.2250467310454995</v>
      </c>
      <c r="M28" s="33">
        <f t="shared" si="13"/>
        <v>514550</v>
      </c>
      <c r="N28" s="67">
        <f t="shared" si="9"/>
        <v>57.08120940500424</v>
      </c>
    </row>
    <row r="29" spans="2:14" ht="12" customHeight="1">
      <c r="B29" s="53" t="s">
        <v>6</v>
      </c>
      <c r="C29" s="55"/>
      <c r="D29" s="55">
        <f>2626732-448944+61364+2033+26963-4699-3864+915-1718-1405-5133</f>
        <v>2252244</v>
      </c>
      <c r="E29" s="56">
        <v>57046</v>
      </c>
      <c r="F29" s="57">
        <f aca="true" t="shared" si="14" ref="F29:F48">SUM(E29/D29)*100</f>
        <v>2.532851680368557</v>
      </c>
      <c r="G29" s="56">
        <f>123370+309+1242+39+915+299+908+3644</f>
        <v>130726</v>
      </c>
      <c r="H29" s="57">
        <f aca="true" t="shared" si="15" ref="H29:H48">SUM(G29/D29)*100</f>
        <v>5.804255666792764</v>
      </c>
      <c r="I29" s="60"/>
      <c r="J29" s="57">
        <f t="shared" si="11"/>
        <v>0</v>
      </c>
      <c r="K29" s="56">
        <f>61364+2033</f>
        <v>63397</v>
      </c>
      <c r="L29" s="57">
        <f t="shared" si="12"/>
        <v>2.814837113563184</v>
      </c>
      <c r="M29" s="56">
        <f>SUM(D29-E29-G29-I29-K29)</f>
        <v>2001075</v>
      </c>
      <c r="N29" s="58">
        <f aca="true" t="shared" si="16" ref="N29:N48">SUM(M29/D29)*100</f>
        <v>88.84805553927549</v>
      </c>
    </row>
    <row r="30" spans="2:14" ht="12" customHeight="1">
      <c r="B30" s="19" t="s">
        <v>110</v>
      </c>
      <c r="C30" s="20"/>
      <c r="D30" s="20">
        <f>4699+1718</f>
        <v>6417</v>
      </c>
      <c r="E30" s="21"/>
      <c r="F30" s="22">
        <f t="shared" si="14"/>
        <v>0</v>
      </c>
      <c r="G30" s="21"/>
      <c r="H30" s="22">
        <f t="shared" si="15"/>
        <v>0</v>
      </c>
      <c r="I30" s="21">
        <v>4699</v>
      </c>
      <c r="J30" s="22">
        <f t="shared" si="11"/>
        <v>73.22736481221754</v>
      </c>
      <c r="K30" s="21"/>
      <c r="L30" s="22">
        <f t="shared" si="12"/>
        <v>0</v>
      </c>
      <c r="M30" s="21">
        <f>SUM(D30-E30-G30-I30-K30)</f>
        <v>1718</v>
      </c>
      <c r="N30" s="23">
        <f t="shared" si="16"/>
        <v>26.772635187782452</v>
      </c>
    </row>
    <row r="31" spans="2:14" ht="12" customHeight="1">
      <c r="B31" s="53" t="s">
        <v>109</v>
      </c>
      <c r="C31" s="55"/>
      <c r="D31" s="55">
        <f>3864+1405</f>
        <v>5269</v>
      </c>
      <c r="E31" s="56"/>
      <c r="F31" s="57">
        <f t="shared" si="14"/>
        <v>0</v>
      </c>
      <c r="G31" s="56"/>
      <c r="H31" s="57">
        <f t="shared" si="15"/>
        <v>0</v>
      </c>
      <c r="I31" s="56">
        <v>3864</v>
      </c>
      <c r="J31" s="57">
        <f t="shared" si="11"/>
        <v>73.33459859555893</v>
      </c>
      <c r="K31" s="56"/>
      <c r="L31" s="57">
        <f t="shared" si="12"/>
        <v>0</v>
      </c>
      <c r="M31" s="56">
        <f>SUM(D31-E31-G31-I31-K31)</f>
        <v>1405</v>
      </c>
      <c r="N31" s="58">
        <f t="shared" si="16"/>
        <v>26.66540140444107</v>
      </c>
    </row>
    <row r="32" spans="2:14" ht="12" customHeight="1" thickBot="1">
      <c r="B32" s="64" t="s">
        <v>111</v>
      </c>
      <c r="C32" s="38"/>
      <c r="D32" s="38">
        <v>5133</v>
      </c>
      <c r="E32" s="39"/>
      <c r="F32" s="65">
        <f t="shared" si="14"/>
        <v>0</v>
      </c>
      <c r="G32" s="39"/>
      <c r="H32" s="65">
        <f t="shared" si="15"/>
        <v>0</v>
      </c>
      <c r="I32" s="39">
        <v>3832</v>
      </c>
      <c r="J32" s="65">
        <f t="shared" si="11"/>
        <v>74.65419832456654</v>
      </c>
      <c r="K32" s="39"/>
      <c r="L32" s="65">
        <f t="shared" si="12"/>
        <v>0</v>
      </c>
      <c r="M32" s="39">
        <f>SUM(D32-E32-G32-I32-K32)</f>
        <v>1301</v>
      </c>
      <c r="N32" s="66">
        <f t="shared" si="16"/>
        <v>25.34580167543347</v>
      </c>
    </row>
    <row r="33" spans="2:14" ht="12" customHeight="1" thickBot="1">
      <c r="B33" s="46" t="s">
        <v>45</v>
      </c>
      <c r="C33" s="33"/>
      <c r="D33" s="33">
        <f>SUM(D29:D32)</f>
        <v>2269063</v>
      </c>
      <c r="E33" s="33">
        <f>SUM(E29:E31)</f>
        <v>57046</v>
      </c>
      <c r="F33" s="48">
        <f t="shared" si="14"/>
        <v>2.5140773967051597</v>
      </c>
      <c r="G33" s="33">
        <f>SUM(G29:G31)</f>
        <v>130726</v>
      </c>
      <c r="H33" s="48">
        <f t="shared" si="15"/>
        <v>5.761232720290269</v>
      </c>
      <c r="I33" s="33">
        <f>SUM(I29:I32)</f>
        <v>12395</v>
      </c>
      <c r="J33" s="48">
        <f t="shared" si="11"/>
        <v>0.5462607252420933</v>
      </c>
      <c r="K33" s="33">
        <f>SUM(K29)</f>
        <v>63397</v>
      </c>
      <c r="L33" s="48">
        <f t="shared" si="12"/>
        <v>2.793972666250342</v>
      </c>
      <c r="M33" s="33">
        <f>SUM(M29:M32)</f>
        <v>2005499</v>
      </c>
      <c r="N33" s="67">
        <f t="shared" si="16"/>
        <v>88.38445649151213</v>
      </c>
    </row>
    <row r="34" spans="2:14" ht="12" customHeight="1" thickBot="1">
      <c r="B34" s="53" t="s">
        <v>9</v>
      </c>
      <c r="C34" s="55">
        <v>85</v>
      </c>
      <c r="D34" s="55">
        <v>195543</v>
      </c>
      <c r="E34" s="56">
        <v>8075</v>
      </c>
      <c r="F34" s="57">
        <f t="shared" si="14"/>
        <v>4.129526498008111</v>
      </c>
      <c r="G34" s="56">
        <f>46733+2787+1250+338+870+992+99+7955+297+1966+6621+1338+966</f>
        <v>72212</v>
      </c>
      <c r="H34" s="57">
        <f t="shared" si="15"/>
        <v>36.92896191630485</v>
      </c>
      <c r="I34" s="60"/>
      <c r="J34" s="57">
        <f t="shared" si="11"/>
        <v>0</v>
      </c>
      <c r="K34" s="56">
        <v>17455</v>
      </c>
      <c r="L34" s="57">
        <f t="shared" si="12"/>
        <v>8.926425389811959</v>
      </c>
      <c r="M34" s="56">
        <f>SUM(D34-E34-G34-I34-K34)</f>
        <v>97801</v>
      </c>
      <c r="N34" s="58">
        <f t="shared" si="16"/>
        <v>50.01508619587508</v>
      </c>
    </row>
    <row r="35" spans="2:14" ht="12" customHeight="1" thickBot="1">
      <c r="B35" s="46" t="s">
        <v>46</v>
      </c>
      <c r="C35" s="33"/>
      <c r="D35" s="33">
        <f>SUM(D34)</f>
        <v>195543</v>
      </c>
      <c r="E35" s="49">
        <f>SUM(E34)</f>
        <v>8075</v>
      </c>
      <c r="F35" s="50">
        <f t="shared" si="14"/>
        <v>4.129526498008111</v>
      </c>
      <c r="G35" s="49">
        <f>SUM(G34)</f>
        <v>72212</v>
      </c>
      <c r="H35" s="50">
        <f t="shared" si="15"/>
        <v>36.92896191630485</v>
      </c>
      <c r="I35" s="49">
        <f>SUM(I34)</f>
        <v>0</v>
      </c>
      <c r="J35" s="50">
        <f t="shared" si="11"/>
        <v>0</v>
      </c>
      <c r="K35" s="49">
        <f>SUM(K34)</f>
        <v>17455</v>
      </c>
      <c r="L35" s="50">
        <f t="shared" si="12"/>
        <v>8.926425389811959</v>
      </c>
      <c r="M35" s="49">
        <f>SUM(M34)</f>
        <v>97801</v>
      </c>
      <c r="N35" s="51">
        <f t="shared" si="16"/>
        <v>50.01508619587508</v>
      </c>
    </row>
    <row r="36" spans="2:14" ht="12" customHeight="1">
      <c r="B36" s="14" t="s">
        <v>10</v>
      </c>
      <c r="C36" s="15">
        <v>250</v>
      </c>
      <c r="D36" s="15">
        <f>154437+1162</f>
        <v>155599</v>
      </c>
      <c r="E36" s="16">
        <v>9369</v>
      </c>
      <c r="F36" s="17">
        <f t="shared" si="14"/>
        <v>6.02124692318074</v>
      </c>
      <c r="G36" s="16">
        <f>27250+1962+600+1404+400+1075</f>
        <v>32691</v>
      </c>
      <c r="H36" s="17">
        <f t="shared" si="15"/>
        <v>21.009775127089505</v>
      </c>
      <c r="I36" s="16">
        <v>1963</v>
      </c>
      <c r="J36" s="17">
        <f t="shared" si="11"/>
        <v>1.261576231209712</v>
      </c>
      <c r="K36" s="16">
        <v>655</v>
      </c>
      <c r="L36" s="17">
        <f t="shared" si="12"/>
        <v>0.4209538621713508</v>
      </c>
      <c r="M36" s="16">
        <f>SUM(D36-E36-G36-I36-K36)</f>
        <v>110921</v>
      </c>
      <c r="N36" s="18">
        <f t="shared" si="16"/>
        <v>71.28644785634869</v>
      </c>
    </row>
    <row r="37" spans="2:14" ht="12" customHeight="1">
      <c r="B37" s="19" t="s">
        <v>11</v>
      </c>
      <c r="C37" s="20">
        <v>88</v>
      </c>
      <c r="D37" s="20">
        <f>91308+1185</f>
        <v>92493</v>
      </c>
      <c r="E37" s="21">
        <v>10950</v>
      </c>
      <c r="F37" s="22">
        <f t="shared" si="14"/>
        <v>11.83873374201291</v>
      </c>
      <c r="G37" s="21">
        <f>12760+1096</f>
        <v>13856</v>
      </c>
      <c r="H37" s="22">
        <f t="shared" si="15"/>
        <v>14.98059312596629</v>
      </c>
      <c r="I37" s="21"/>
      <c r="J37" s="17">
        <f t="shared" si="11"/>
        <v>0</v>
      </c>
      <c r="K37" s="16">
        <v>1650</v>
      </c>
      <c r="L37" s="17">
        <f t="shared" si="12"/>
        <v>1.7839187830430412</v>
      </c>
      <c r="M37" s="16">
        <f aca="true" t="shared" si="17" ref="M37:M42">SUM(D37-E37-G37-I37-K37)</f>
        <v>66037</v>
      </c>
      <c r="N37" s="23">
        <f t="shared" si="16"/>
        <v>71.39675434897777</v>
      </c>
    </row>
    <row r="38" spans="2:14" ht="12" customHeight="1">
      <c r="B38" s="19" t="s">
        <v>12</v>
      </c>
      <c r="C38" s="20">
        <v>14</v>
      </c>
      <c r="D38" s="20">
        <v>38289</v>
      </c>
      <c r="E38" s="21">
        <v>9281</v>
      </c>
      <c r="F38" s="22">
        <f t="shared" si="14"/>
        <v>24.239337668782156</v>
      </c>
      <c r="G38" s="21">
        <f>22086-955+1729</f>
        <v>22860</v>
      </c>
      <c r="H38" s="22">
        <f t="shared" si="15"/>
        <v>59.7038313876048</v>
      </c>
      <c r="I38" s="21"/>
      <c r="J38" s="17">
        <f t="shared" si="11"/>
        <v>0</v>
      </c>
      <c r="K38" s="16"/>
      <c r="L38" s="17">
        <f t="shared" si="12"/>
        <v>0</v>
      </c>
      <c r="M38" s="16">
        <f t="shared" si="17"/>
        <v>6148</v>
      </c>
      <c r="N38" s="23">
        <f t="shared" si="16"/>
        <v>16.056830943613047</v>
      </c>
    </row>
    <row r="39" spans="2:14" ht="12" customHeight="1">
      <c r="B39" s="19" t="s">
        <v>13</v>
      </c>
      <c r="C39" s="20">
        <v>510</v>
      </c>
      <c r="D39" s="20">
        <v>121884</v>
      </c>
      <c r="E39" s="21">
        <v>19471</v>
      </c>
      <c r="F39" s="22">
        <f t="shared" si="14"/>
        <v>15.975025434019233</v>
      </c>
      <c r="G39" s="21">
        <v>28234</v>
      </c>
      <c r="H39" s="22">
        <f t="shared" si="15"/>
        <v>23.16464835417282</v>
      </c>
      <c r="I39" s="21"/>
      <c r="J39" s="17">
        <f t="shared" si="11"/>
        <v>0</v>
      </c>
      <c r="K39" s="16">
        <v>4404</v>
      </c>
      <c r="L39" s="17">
        <f t="shared" si="12"/>
        <v>3.6132716353253915</v>
      </c>
      <c r="M39" s="16">
        <f t="shared" si="17"/>
        <v>69775</v>
      </c>
      <c r="N39" s="23">
        <f t="shared" si="16"/>
        <v>57.24705457648256</v>
      </c>
    </row>
    <row r="40" spans="2:14" ht="12" customHeight="1">
      <c r="B40" s="19" t="s">
        <v>14</v>
      </c>
      <c r="C40" s="20"/>
      <c r="D40" s="20">
        <v>67617</v>
      </c>
      <c r="E40" s="21"/>
      <c r="F40" s="22">
        <f t="shared" si="14"/>
        <v>0</v>
      </c>
      <c r="G40" s="21"/>
      <c r="H40" s="22">
        <f t="shared" si="15"/>
        <v>0</v>
      </c>
      <c r="I40" s="21">
        <v>60617</v>
      </c>
      <c r="J40" s="17">
        <f t="shared" si="11"/>
        <v>89.64757383498232</v>
      </c>
      <c r="K40" s="16">
        <v>2305</v>
      </c>
      <c r="L40" s="17">
        <f t="shared" si="12"/>
        <v>3.408906044337962</v>
      </c>
      <c r="M40" s="16">
        <f t="shared" si="17"/>
        <v>4695</v>
      </c>
      <c r="N40" s="23">
        <f t="shared" si="16"/>
        <v>6.943520120679711</v>
      </c>
    </row>
    <row r="41" spans="2:14" ht="12" customHeight="1">
      <c r="B41" s="19" t="s">
        <v>15</v>
      </c>
      <c r="C41" s="20">
        <v>26300</v>
      </c>
      <c r="D41" s="20">
        <f>163827+1868</f>
        <v>165695</v>
      </c>
      <c r="E41" s="21">
        <v>142</v>
      </c>
      <c r="F41" s="22">
        <f t="shared" si="14"/>
        <v>0.08569962883611455</v>
      </c>
      <c r="G41" s="21">
        <f>20777+1842+600+91+1280+383</f>
        <v>24973</v>
      </c>
      <c r="H41" s="22">
        <f t="shared" si="15"/>
        <v>15.071667823410484</v>
      </c>
      <c r="I41" s="21"/>
      <c r="J41" s="17">
        <f t="shared" si="11"/>
        <v>0</v>
      </c>
      <c r="K41" s="16">
        <v>12704</v>
      </c>
      <c r="L41" s="17">
        <f t="shared" si="12"/>
        <v>7.667099188267599</v>
      </c>
      <c r="M41" s="16">
        <f t="shared" si="17"/>
        <v>127876</v>
      </c>
      <c r="N41" s="23">
        <f t="shared" si="16"/>
        <v>77.1755333594858</v>
      </c>
    </row>
    <row r="42" spans="2:14" ht="12" customHeight="1" thickBot="1">
      <c r="B42" s="27" t="s">
        <v>16</v>
      </c>
      <c r="C42" s="28"/>
      <c r="D42" s="28">
        <f>12845+115</f>
        <v>12960</v>
      </c>
      <c r="E42" s="29"/>
      <c r="F42" s="30">
        <f t="shared" si="14"/>
        <v>0</v>
      </c>
      <c r="G42" s="29"/>
      <c r="H42" s="30">
        <f t="shared" si="15"/>
        <v>0</v>
      </c>
      <c r="I42" s="29"/>
      <c r="J42" s="57">
        <f t="shared" si="11"/>
        <v>0</v>
      </c>
      <c r="K42" s="56"/>
      <c r="L42" s="57">
        <f t="shared" si="12"/>
        <v>0</v>
      </c>
      <c r="M42" s="56">
        <f t="shared" si="17"/>
        <v>12960</v>
      </c>
      <c r="N42" s="31">
        <f t="shared" si="16"/>
        <v>100</v>
      </c>
    </row>
    <row r="43" spans="2:14" s="52" customFormat="1" ht="12" customHeight="1" thickBot="1">
      <c r="B43" s="46" t="s">
        <v>47</v>
      </c>
      <c r="C43" s="33"/>
      <c r="D43" s="33">
        <f>SUM(D36:D42)</f>
        <v>654537</v>
      </c>
      <c r="E43" s="49">
        <f>SUM(E36:E42)</f>
        <v>49213</v>
      </c>
      <c r="F43" s="50">
        <f t="shared" si="14"/>
        <v>7.51874989496392</v>
      </c>
      <c r="G43" s="49">
        <f>SUM(G36:G42)</f>
        <v>122614</v>
      </c>
      <c r="H43" s="50">
        <f t="shared" si="15"/>
        <v>18.73293641153976</v>
      </c>
      <c r="I43" s="49">
        <f>SUM(I36:I42)</f>
        <v>62580</v>
      </c>
      <c r="J43" s="50">
        <f aca="true" t="shared" si="18" ref="J43:J48">SUM(I43/D43)*100</f>
        <v>9.56095682902571</v>
      </c>
      <c r="K43" s="49">
        <f>SUM(K36:K42)</f>
        <v>21718</v>
      </c>
      <c r="L43" s="50">
        <f aca="true" t="shared" si="19" ref="L43:L48">SUM(K43/D43)*100</f>
        <v>3.3180706361901615</v>
      </c>
      <c r="M43" s="49">
        <f>SUM(M36:M42)</f>
        <v>398412</v>
      </c>
      <c r="N43" s="51">
        <f t="shared" si="16"/>
        <v>60.86928622828045</v>
      </c>
    </row>
    <row r="44" spans="2:14" s="52" customFormat="1" ht="12" customHeight="1" thickBot="1">
      <c r="B44" s="113" t="s">
        <v>49</v>
      </c>
      <c r="C44" s="114"/>
      <c r="D44" s="114">
        <v>125827</v>
      </c>
      <c r="E44" s="115">
        <v>6600</v>
      </c>
      <c r="F44" s="116">
        <f t="shared" si="14"/>
        <v>5.245297114291845</v>
      </c>
      <c r="G44" s="115">
        <f>74182+211+115+140-987-162+21+2154+98+607+127</f>
        <v>76506</v>
      </c>
      <c r="H44" s="116">
        <f t="shared" si="15"/>
        <v>60.80253045848665</v>
      </c>
      <c r="I44" s="115"/>
      <c r="J44" s="116">
        <f t="shared" si="18"/>
        <v>0</v>
      </c>
      <c r="K44" s="115">
        <v>4572</v>
      </c>
      <c r="L44" s="50">
        <f t="shared" si="19"/>
        <v>3.6335603646276233</v>
      </c>
      <c r="M44" s="115">
        <f>SUM(D44-E44-G44-I44-K44)</f>
        <v>38149</v>
      </c>
      <c r="N44" s="117">
        <f t="shared" si="16"/>
        <v>30.318612062593882</v>
      </c>
    </row>
    <row r="45" spans="2:14" s="52" customFormat="1" ht="12" customHeight="1" thickBot="1">
      <c r="B45" s="46" t="s">
        <v>50</v>
      </c>
      <c r="C45" s="33"/>
      <c r="D45" s="33">
        <v>87328</v>
      </c>
      <c r="E45" s="49">
        <v>4300</v>
      </c>
      <c r="F45" s="50">
        <f t="shared" si="14"/>
        <v>4.923964822279223</v>
      </c>
      <c r="G45" s="49">
        <f>47711+700+418+90-670-110+136+1592+412+420+88</f>
        <v>50787</v>
      </c>
      <c r="H45" s="50">
        <f t="shared" si="15"/>
        <v>58.15660498351044</v>
      </c>
      <c r="I45" s="49"/>
      <c r="J45" s="50">
        <f t="shared" si="18"/>
        <v>0</v>
      </c>
      <c r="K45" s="49">
        <v>6931</v>
      </c>
      <c r="L45" s="118">
        <f t="shared" si="19"/>
        <v>7.936744228655185</v>
      </c>
      <c r="M45" s="119">
        <f>SUM(D45-E45-G45-I45-K45)</f>
        <v>25310</v>
      </c>
      <c r="N45" s="120">
        <f t="shared" si="16"/>
        <v>28.98268596555515</v>
      </c>
    </row>
    <row r="46" spans="2:14" s="52" customFormat="1" ht="12" customHeight="1" thickBot="1">
      <c r="B46" s="46" t="s">
        <v>51</v>
      </c>
      <c r="C46" s="33"/>
      <c r="D46" s="33">
        <v>146431</v>
      </c>
      <c r="E46" s="49">
        <v>6145</v>
      </c>
      <c r="F46" s="50">
        <f t="shared" si="14"/>
        <v>4.196515765104383</v>
      </c>
      <c r="G46" s="49">
        <f>73042+892+556+130-1128-152+182+2060+546+701+118</f>
        <v>76947</v>
      </c>
      <c r="H46" s="50">
        <f t="shared" si="15"/>
        <v>52.54829919894012</v>
      </c>
      <c r="I46" s="49"/>
      <c r="J46" s="50">
        <f t="shared" si="18"/>
        <v>0</v>
      </c>
      <c r="K46" s="49">
        <v>8597</v>
      </c>
      <c r="L46" s="118">
        <f t="shared" si="19"/>
        <v>5.871024578128948</v>
      </c>
      <c r="M46" s="119">
        <f>SUM(D46-E46-G46-I46-K46)</f>
        <v>54742</v>
      </c>
      <c r="N46" s="120">
        <f t="shared" si="16"/>
        <v>37.38416045782655</v>
      </c>
    </row>
    <row r="47" spans="2:14" s="52" customFormat="1" ht="12" customHeight="1" thickBot="1">
      <c r="B47" s="113" t="s">
        <v>52</v>
      </c>
      <c r="C47" s="114"/>
      <c r="D47" s="114">
        <v>120486</v>
      </c>
      <c r="E47" s="115">
        <v>5130</v>
      </c>
      <c r="F47" s="116">
        <f t="shared" si="14"/>
        <v>4.25775608784423</v>
      </c>
      <c r="G47" s="115">
        <f>55598+308+166+92-740-99+52+1592+160+467+78</f>
        <v>57674</v>
      </c>
      <c r="H47" s="116">
        <f t="shared" si="15"/>
        <v>47.867802068290096</v>
      </c>
      <c r="I47" s="115"/>
      <c r="J47" s="116">
        <f t="shared" si="18"/>
        <v>0</v>
      </c>
      <c r="K47" s="115">
        <v>8024</v>
      </c>
      <c r="L47" s="50">
        <f t="shared" si="19"/>
        <v>6.659694902312302</v>
      </c>
      <c r="M47" s="115">
        <f>SUM(D47-E47-G47-I47-K47)</f>
        <v>49658</v>
      </c>
      <c r="N47" s="117">
        <f t="shared" si="16"/>
        <v>41.21474694155338</v>
      </c>
    </row>
    <row r="48" spans="2:14" s="5" customFormat="1" ht="12" customHeight="1" thickBot="1">
      <c r="B48" s="32" t="s">
        <v>22</v>
      </c>
      <c r="C48" s="33"/>
      <c r="D48" s="33">
        <f>SUM(D43,D35,D33,D25,D19,D44,D45,D46,D47,D28)</f>
        <v>10082164</v>
      </c>
      <c r="E48" s="33">
        <f>SUM(E43,E35,E33,E25,E19,E44,E45,E46,E47,E28)</f>
        <v>5423769</v>
      </c>
      <c r="F48" s="48">
        <f t="shared" si="14"/>
        <v>53.79568314897476</v>
      </c>
      <c r="G48" s="33">
        <f>SUM(G43,G35,G33,G25,G19,G44,G45,G46,G47,G28)</f>
        <v>797856</v>
      </c>
      <c r="H48" s="48">
        <f t="shared" si="15"/>
        <v>7.9135391965455035</v>
      </c>
      <c r="I48" s="33">
        <f>SUM(I43,I35,I33,I25,I19,I44,I45,I46,I47)</f>
        <v>293982</v>
      </c>
      <c r="J48" s="48">
        <f t="shared" si="18"/>
        <v>2.915862110554837</v>
      </c>
      <c r="K48" s="33">
        <f>SUM(K43,K35,K33,K25,K19,K44,K45,K46,K47,K28)</f>
        <v>233511</v>
      </c>
      <c r="L48" s="50">
        <f t="shared" si="19"/>
        <v>2.316080158981743</v>
      </c>
      <c r="M48" s="33">
        <f>SUM(M43,M35,M33,M25,M19,M44,M45,M46,M47,M28)</f>
        <v>3333046</v>
      </c>
      <c r="N48" s="67">
        <f t="shared" si="16"/>
        <v>33.05883538494315</v>
      </c>
    </row>
    <row r="49" spans="2:14" ht="12.75">
      <c r="B49" s="7"/>
      <c r="C49" s="7"/>
      <c r="D49" s="7"/>
      <c r="E49" s="8"/>
      <c r="F49" s="12"/>
      <c r="G49" s="8"/>
      <c r="H49" s="9"/>
      <c r="I49" s="10"/>
      <c r="J49" s="124"/>
      <c r="K49" s="10"/>
      <c r="L49" s="124"/>
      <c r="M49" s="11"/>
      <c r="N49" s="12"/>
    </row>
  </sheetData>
  <sheetProtection/>
  <mergeCells count="2">
    <mergeCell ref="B2:N2"/>
    <mergeCell ref="M1:N1"/>
  </mergeCells>
  <printOptions/>
  <pageMargins left="0.2" right="0.17" top="0.2" bottom="0.25" header="0.17" footer="0.19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2" sqref="A12:IV12"/>
    </sheetView>
  </sheetViews>
  <sheetFormatPr defaultColWidth="9.00390625" defaultRowHeight="12.75"/>
  <cols>
    <col min="1" max="1" width="17.875" style="0" customWidth="1"/>
    <col min="2" max="2" width="9.125" style="1" customWidth="1"/>
    <col min="3" max="3" width="14.875" style="1" customWidth="1"/>
    <col min="4" max="4" width="16.25390625" style="1" customWidth="1"/>
    <col min="5" max="5" width="9.125" style="1" customWidth="1"/>
    <col min="6" max="6" width="13.00390625" style="0" customWidth="1"/>
    <col min="8" max="8" width="12.625" style="0" customWidth="1"/>
  </cols>
  <sheetData>
    <row r="1" spans="1:4" ht="12.75">
      <c r="A1" t="s">
        <v>55</v>
      </c>
      <c r="C1" s="1" t="s">
        <v>57</v>
      </c>
      <c r="D1" s="1" t="s">
        <v>58</v>
      </c>
    </row>
    <row r="2" spans="4:9" ht="12.75">
      <c r="D2" s="1" t="s">
        <v>69</v>
      </c>
      <c r="F2" t="s">
        <v>73</v>
      </c>
      <c r="G2" t="s">
        <v>74</v>
      </c>
      <c r="H2" t="s">
        <v>57</v>
      </c>
      <c r="I2" t="s">
        <v>75</v>
      </c>
    </row>
    <row r="3" spans="1:11" ht="12.75">
      <c r="A3" t="s">
        <v>56</v>
      </c>
      <c r="B3" s="1">
        <f>1629+9330+2236+90+4303+547</f>
        <v>18135</v>
      </c>
      <c r="E3" s="1">
        <f>SUM(B3:D3)</f>
        <v>18135</v>
      </c>
      <c r="F3" s="1"/>
      <c r="G3" s="1">
        <f>730+4815+1311+50+3604+190</f>
        <v>10700</v>
      </c>
      <c r="H3" s="1"/>
      <c r="I3" s="1"/>
      <c r="J3" s="1"/>
      <c r="K3" s="1">
        <f>SUM(G3:J3)</f>
        <v>10700</v>
      </c>
    </row>
    <row r="4" spans="5:10" ht="12.75">
      <c r="E4" s="1">
        <f aca="true" t="shared" si="0" ref="E4:E17">SUM(B4:D4)</f>
        <v>0</v>
      </c>
      <c r="F4" s="1"/>
      <c r="G4" s="1"/>
      <c r="H4" s="1"/>
      <c r="I4" s="1"/>
      <c r="J4" s="1"/>
    </row>
    <row r="5" spans="1:11" ht="12.75">
      <c r="A5" s="96" t="s">
        <v>72</v>
      </c>
      <c r="B5" s="97"/>
      <c r="C5" s="97">
        <v>2733</v>
      </c>
      <c r="D5" s="97">
        <f>494+2195</f>
        <v>2689</v>
      </c>
      <c r="E5" s="97">
        <f t="shared" si="0"/>
        <v>5422</v>
      </c>
      <c r="F5" s="98">
        <v>1659</v>
      </c>
      <c r="G5" s="97"/>
      <c r="H5" s="97">
        <v>911</v>
      </c>
      <c r="I5" s="97"/>
      <c r="J5" s="97"/>
      <c r="K5" s="97">
        <f>SUM(F5:I5)</f>
        <v>2570</v>
      </c>
    </row>
    <row r="6" spans="1:11" ht="12.75">
      <c r="A6" s="96" t="s">
        <v>59</v>
      </c>
      <c r="B6" s="97"/>
      <c r="C6" s="97"/>
      <c r="D6" s="97">
        <f>1161+7225</f>
        <v>8386</v>
      </c>
      <c r="E6" s="97">
        <f t="shared" si="0"/>
        <v>8386</v>
      </c>
      <c r="F6" s="98">
        <v>5377</v>
      </c>
      <c r="G6" s="97"/>
      <c r="H6" s="97"/>
      <c r="I6" s="97"/>
      <c r="J6" s="97"/>
      <c r="K6" s="97">
        <f aca="true" t="shared" si="1" ref="K6:K17">SUM(F6:I6)</f>
        <v>5377</v>
      </c>
    </row>
    <row r="7" spans="1:11" ht="12.75">
      <c r="A7" s="96" t="s">
        <v>60</v>
      </c>
      <c r="B7" s="97"/>
      <c r="C7" s="97"/>
      <c r="D7" s="97">
        <f>273+1579</f>
        <v>1852</v>
      </c>
      <c r="E7" s="97">
        <f t="shared" si="0"/>
        <v>1852</v>
      </c>
      <c r="F7" s="98">
        <v>1190</v>
      </c>
      <c r="G7" s="97"/>
      <c r="H7" s="97"/>
      <c r="I7" s="97"/>
      <c r="J7" s="97"/>
      <c r="K7" s="97">
        <f t="shared" si="1"/>
        <v>1190</v>
      </c>
    </row>
    <row r="8" spans="1:11" ht="12.75">
      <c r="A8" s="96" t="s">
        <v>61</v>
      </c>
      <c r="B8" s="97"/>
      <c r="C8" s="97"/>
      <c r="D8" s="97">
        <f>2288+617-172-46</f>
        <v>2687</v>
      </c>
      <c r="E8" s="97">
        <f t="shared" si="0"/>
        <v>2687</v>
      </c>
      <c r="F8" s="97"/>
      <c r="G8" s="97"/>
      <c r="H8" s="97"/>
      <c r="I8" s="97"/>
      <c r="J8" s="97"/>
      <c r="K8" s="97">
        <f t="shared" si="1"/>
        <v>0</v>
      </c>
    </row>
    <row r="9" spans="1:11" ht="12.75">
      <c r="A9" s="96" t="s">
        <v>62</v>
      </c>
      <c r="B9" s="97"/>
      <c r="C9" s="97"/>
      <c r="D9" s="97">
        <f>37+84</f>
        <v>121</v>
      </c>
      <c r="E9" s="97">
        <f t="shared" si="0"/>
        <v>121</v>
      </c>
      <c r="F9" s="98">
        <v>117</v>
      </c>
      <c r="G9" s="97"/>
      <c r="H9" s="97"/>
      <c r="I9" s="97"/>
      <c r="J9" s="97"/>
      <c r="K9" s="97">
        <f t="shared" si="1"/>
        <v>117</v>
      </c>
    </row>
    <row r="10" spans="1:11" ht="12.75">
      <c r="A10" s="96"/>
      <c r="B10" s="97"/>
      <c r="C10" s="97"/>
      <c r="D10" s="97"/>
      <c r="E10" s="97">
        <f t="shared" si="0"/>
        <v>0</v>
      </c>
      <c r="F10" s="97"/>
      <c r="G10" s="97"/>
      <c r="H10" s="97"/>
      <c r="I10" s="97"/>
      <c r="J10" s="97"/>
      <c r="K10" s="97">
        <f t="shared" si="1"/>
        <v>0</v>
      </c>
    </row>
    <row r="11" spans="1:11" ht="12.75">
      <c r="A11" s="96" t="s">
        <v>63</v>
      </c>
      <c r="B11" s="97"/>
      <c r="C11" s="97"/>
      <c r="D11" s="97">
        <v>2525</v>
      </c>
      <c r="E11" s="97">
        <f t="shared" si="0"/>
        <v>2525</v>
      </c>
      <c r="F11" s="98">
        <v>1734</v>
      </c>
      <c r="G11" s="97"/>
      <c r="H11" s="97"/>
      <c r="I11" s="97"/>
      <c r="J11" s="97"/>
      <c r="K11" s="97">
        <f t="shared" si="1"/>
        <v>1734</v>
      </c>
    </row>
    <row r="12" spans="1:11" ht="12.75">
      <c r="A12" s="96" t="s">
        <v>64</v>
      </c>
      <c r="B12" s="97"/>
      <c r="C12" s="97"/>
      <c r="D12" s="97">
        <v>2378</v>
      </c>
      <c r="E12" s="97">
        <f t="shared" si="0"/>
        <v>2378</v>
      </c>
      <c r="F12" s="98">
        <v>1482</v>
      </c>
      <c r="G12" s="97"/>
      <c r="H12" s="97"/>
      <c r="I12" s="97"/>
      <c r="J12" s="97"/>
      <c r="K12" s="97">
        <f t="shared" si="1"/>
        <v>1482</v>
      </c>
    </row>
    <row r="13" spans="1:11" ht="12.75">
      <c r="A13" s="96" t="s">
        <v>65</v>
      </c>
      <c r="B13" s="97"/>
      <c r="C13" s="97"/>
      <c r="D13" s="97">
        <v>1243</v>
      </c>
      <c r="E13" s="97">
        <f t="shared" si="0"/>
        <v>1243</v>
      </c>
      <c r="F13" s="98">
        <v>670</v>
      </c>
      <c r="G13" s="97"/>
      <c r="H13" s="97"/>
      <c r="I13" s="97">
        <v>3117</v>
      </c>
      <c r="J13" s="97"/>
      <c r="K13" s="97">
        <f t="shared" si="1"/>
        <v>3787</v>
      </c>
    </row>
    <row r="14" spans="1:11" ht="12.75">
      <c r="A14" s="96" t="s">
        <v>66</v>
      </c>
      <c r="B14" s="97"/>
      <c r="C14" s="97"/>
      <c r="D14" s="97">
        <v>1477</v>
      </c>
      <c r="E14" s="97">
        <f t="shared" si="0"/>
        <v>1477</v>
      </c>
      <c r="F14" s="98">
        <v>971</v>
      </c>
      <c r="G14" s="97"/>
      <c r="H14" s="97"/>
      <c r="I14" s="97">
        <v>2078</v>
      </c>
      <c r="J14" s="97"/>
      <c r="K14" s="97">
        <f t="shared" si="1"/>
        <v>3049</v>
      </c>
    </row>
    <row r="15" spans="1:11" ht="12.75">
      <c r="A15" s="96" t="s">
        <v>67</v>
      </c>
      <c r="B15" s="97"/>
      <c r="C15" s="97"/>
      <c r="D15" s="97">
        <v>2072</v>
      </c>
      <c r="E15" s="97">
        <f t="shared" si="0"/>
        <v>2072</v>
      </c>
      <c r="F15" s="98">
        <v>1175</v>
      </c>
      <c r="G15" s="97"/>
      <c r="H15" s="97"/>
      <c r="I15" s="97">
        <v>3463</v>
      </c>
      <c r="J15" s="97"/>
      <c r="K15" s="97">
        <f t="shared" si="1"/>
        <v>4638</v>
      </c>
    </row>
    <row r="16" spans="1:11" ht="12.75">
      <c r="A16" s="96" t="s">
        <v>68</v>
      </c>
      <c r="B16" s="97"/>
      <c r="C16" s="97"/>
      <c r="D16" s="97">
        <v>1138</v>
      </c>
      <c r="E16" s="97">
        <f t="shared" si="0"/>
        <v>1138</v>
      </c>
      <c r="F16" s="98">
        <v>663</v>
      </c>
      <c r="G16" s="97"/>
      <c r="H16" s="97"/>
      <c r="I16" s="97">
        <v>2655</v>
      </c>
      <c r="J16" s="97"/>
      <c r="K16" s="97">
        <f t="shared" si="1"/>
        <v>3318</v>
      </c>
    </row>
    <row r="17" spans="1:11" ht="12.75">
      <c r="A17" s="96"/>
      <c r="B17" s="97">
        <f>SUM(B3:B16)</f>
        <v>18135</v>
      </c>
      <c r="C17" s="97">
        <f>SUM(C3:C16)</f>
        <v>2733</v>
      </c>
      <c r="D17" s="97">
        <f>SUM(D3:D16)</f>
        <v>26568</v>
      </c>
      <c r="E17" s="97">
        <f t="shared" si="0"/>
        <v>47436</v>
      </c>
      <c r="F17" s="97">
        <f>SUM(F5:F16)</f>
        <v>15038</v>
      </c>
      <c r="G17" s="97">
        <f>SUM(G3:G16)</f>
        <v>10700</v>
      </c>
      <c r="H17" s="97">
        <v>911</v>
      </c>
      <c r="I17" s="97">
        <v>11313</v>
      </c>
      <c r="J17" s="97"/>
      <c r="K17" s="97">
        <f t="shared" si="1"/>
        <v>37962</v>
      </c>
    </row>
    <row r="18" spans="6:10" ht="12.75">
      <c r="F18" s="1"/>
      <c r="G18" s="1"/>
      <c r="H18" s="1"/>
      <c r="I18" s="1"/>
      <c r="J18" s="1"/>
    </row>
    <row r="19" spans="6:10" ht="12.75">
      <c r="F19" s="1"/>
      <c r="G19" s="1">
        <f>SUM(F11:F16)</f>
        <v>6695</v>
      </c>
      <c r="H19" s="1"/>
      <c r="I19" s="1"/>
      <c r="J19" s="1"/>
    </row>
    <row r="20" spans="1:10" ht="12.75">
      <c r="A20" t="s">
        <v>70</v>
      </c>
      <c r="F20" s="1"/>
      <c r="G20" s="1"/>
      <c r="H20" s="1"/>
      <c r="I20" s="1"/>
      <c r="J20" s="1"/>
    </row>
    <row r="21" spans="6:10" ht="12.75">
      <c r="F21" s="1"/>
      <c r="G21" s="1"/>
      <c r="H21" s="1"/>
      <c r="I21" s="1"/>
      <c r="J21" s="1"/>
    </row>
    <row r="22" spans="1:10" ht="12.75">
      <c r="A22" t="s">
        <v>56</v>
      </c>
      <c r="B22" s="1">
        <f>230</f>
        <v>230</v>
      </c>
      <c r="E22" s="1">
        <f>SUM(B22:D22)</f>
        <v>230</v>
      </c>
      <c r="F22" s="1"/>
      <c r="G22" s="1"/>
      <c r="H22" s="1"/>
      <c r="I22" s="1"/>
      <c r="J22" s="1"/>
    </row>
    <row r="23" spans="1:10" ht="12.75">
      <c r="A23" t="s">
        <v>61</v>
      </c>
      <c r="B23" s="1">
        <f>464+978</f>
        <v>1442</v>
      </c>
      <c r="E23" s="1">
        <f>SUM(B23:D23)</f>
        <v>1442</v>
      </c>
      <c r="F23" s="1"/>
      <c r="G23" s="1"/>
      <c r="H23" s="1"/>
      <c r="I23" s="1"/>
      <c r="J23" s="1"/>
    </row>
    <row r="24" spans="1:10" ht="13.5" thickBot="1">
      <c r="A24" t="s">
        <v>64</v>
      </c>
      <c r="B24" s="1">
        <v>28690</v>
      </c>
      <c r="E24" s="1">
        <f>SUM(B24:D24)</f>
        <v>28690</v>
      </c>
      <c r="F24" s="1"/>
      <c r="G24" s="1"/>
      <c r="H24" s="1"/>
      <c r="I24" s="1"/>
      <c r="J24" s="1"/>
    </row>
    <row r="25" spans="5:10" ht="13.5" thickBot="1">
      <c r="E25" s="78">
        <f>SUM(E22:E24)</f>
        <v>30362</v>
      </c>
      <c r="F25" s="1"/>
      <c r="G25" s="1"/>
      <c r="H25" s="1"/>
      <c r="I25" s="1"/>
      <c r="J25" s="1"/>
    </row>
    <row r="26" spans="6:10" ht="12.75">
      <c r="F26" s="1"/>
      <c r="G26" s="1"/>
      <c r="H26" s="1"/>
      <c r="I26" s="1"/>
      <c r="J26" s="1"/>
    </row>
    <row r="27" spans="1:10" ht="12.75">
      <c r="A27" t="s">
        <v>71</v>
      </c>
      <c r="F27" s="1"/>
      <c r="G27" s="1"/>
      <c r="H27" s="1"/>
      <c r="I27" s="1"/>
      <c r="J27" s="1"/>
    </row>
    <row r="28" spans="6:10" ht="13.5" thickBot="1">
      <c r="F28" s="1"/>
      <c r="G28" s="1"/>
      <c r="H28" s="1"/>
      <c r="I28" s="1"/>
      <c r="J28" s="1"/>
    </row>
    <row r="29" spans="1:10" ht="13.5" thickBot="1">
      <c r="A29" t="s">
        <v>68</v>
      </c>
      <c r="E29" s="78">
        <v>843</v>
      </c>
      <c r="F29" s="1"/>
      <c r="G29" s="1"/>
      <c r="H29" s="1"/>
      <c r="I29" s="1"/>
      <c r="J29" s="1"/>
    </row>
    <row r="30" spans="6:10" ht="13.5" thickBot="1">
      <c r="F30" s="1"/>
      <c r="G30" s="1"/>
      <c r="H30" s="1"/>
      <c r="I30" s="1"/>
      <c r="J30" s="1"/>
    </row>
    <row r="31" spans="5:10" ht="13.5" thickBot="1">
      <c r="E31" s="78">
        <f>SUM(E17,E25,E29)</f>
        <v>78641</v>
      </c>
      <c r="F31" s="1"/>
      <c r="G31" s="1"/>
      <c r="H31" s="1"/>
      <c r="I31" s="1"/>
      <c r="J31" s="1"/>
    </row>
    <row r="32" spans="6:10" ht="12.75">
      <c r="F32" s="1"/>
      <c r="G32" s="1"/>
      <c r="H32" s="1"/>
      <c r="I32" s="1"/>
      <c r="J32" s="1"/>
    </row>
    <row r="33" spans="6:10" ht="12.75">
      <c r="F33" s="1"/>
      <c r="G33" s="1"/>
      <c r="H33" s="1"/>
      <c r="I33" s="1"/>
      <c r="J33" s="1"/>
    </row>
    <row r="34" spans="6:10" ht="12.75">
      <c r="F34" s="1"/>
      <c r="G34" s="1"/>
      <c r="H34" s="1"/>
      <c r="I34" s="1"/>
      <c r="J34" s="1"/>
    </row>
    <row r="35" spans="6:10" ht="12.75">
      <c r="F35" s="1"/>
      <c r="G35" s="1"/>
      <c r="H35" s="1"/>
      <c r="I35" s="1"/>
      <c r="J3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2015-01-29T10:48:36Z</cp:lastPrinted>
  <dcterms:created xsi:type="dcterms:W3CDTF">2009-02-04T11:37:44Z</dcterms:created>
  <dcterms:modified xsi:type="dcterms:W3CDTF">2015-01-29T10:48:44Z</dcterms:modified>
  <cp:category/>
  <cp:version/>
  <cp:contentType/>
  <cp:contentStatus/>
</cp:coreProperties>
</file>