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firstSheet="5" activeTab="7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bevételek'!$A$1:$J$201</definedName>
    <definedName name="_xlnm.Print_Area" localSheetId="11">'12.normatívák'!$A$1:$L$58</definedName>
    <definedName name="_xlnm.Print_Area" localSheetId="1">'2. kiadások '!$A$1:$J$81</definedName>
    <definedName name="_xlnm.Print_Area" localSheetId="3">'4.önkorm.kiad.feladat'!$D$1:$AA$59</definedName>
    <definedName name="_xlnm.Print_Area" localSheetId="4">'5.PH Óvoda, Kult. kiad. feladat'!$A$1:$I$35</definedName>
    <definedName name="_xlnm.Print_Area" localSheetId="5">'6. kiadások megbontása'!$A$1:$M$88</definedName>
    <definedName name="_xlnm.Print_Area" localSheetId="6">'7. források sz. bontás'!$A$1:$AC$70</definedName>
    <definedName name="_xlnm.Print_Area" localSheetId="8">'9.felhki'!$A$1:$D$86</definedName>
  </definedNames>
  <calcPr fullCalcOnLoad="1"/>
</workbook>
</file>

<file path=xl/sharedStrings.xml><?xml version="1.0" encoding="utf-8"?>
<sst xmlns="http://schemas.openxmlformats.org/spreadsheetml/2006/main" count="1958" uniqueCount="1174">
  <si>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</si>
  <si>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</si>
  <si>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</si>
  <si>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</si>
  <si>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</si>
  <si>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</si>
  <si>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</si>
  <si>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</si>
  <si>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</si>
  <si>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</si>
  <si>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</si>
  <si>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</si>
  <si>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</si>
  <si>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</si>
  <si>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</si>
  <si>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</si>
  <si>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</si>
  <si>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</si>
  <si>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</si>
  <si>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</si>
  <si>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</si>
  <si>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</si>
  <si>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</si>
  <si>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</si>
  <si>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</si>
  <si>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</si>
  <si>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</si>
  <si>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</si>
  <si>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</si>
  <si>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</si>
  <si>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</si>
  <si>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</si>
  <si>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</si>
  <si>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</si>
  <si>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</si>
  <si>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</si>
  <si>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</si>
  <si>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</si>
  <si>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</si>
  <si>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</si>
  <si>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</si>
  <si>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</si>
  <si>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</si>
  <si>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</si>
  <si>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</si>
  <si>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</si>
  <si>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</si>
  <si>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</si>
  <si>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</si>
  <si>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</si>
  <si>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</si>
  <si>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</si>
  <si>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</si>
  <si>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</si>
  <si>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</si>
  <si>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</si>
  <si>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</si>
  <si>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</si>
  <si>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</si>
  <si>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</si>
  <si>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</si>
  <si>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</si>
  <si>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</si>
  <si>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</si>
  <si>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</si>
  <si>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</si>
  <si>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</si>
  <si>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</si>
  <si>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</si>
  <si>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</si>
  <si>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</si>
  <si>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</si>
  <si>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</si>
  <si>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</si>
  <si>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</si>
  <si>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</si>
  <si>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</si>
  <si>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</si>
  <si>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</si>
  <si>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</si>
  <si>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</si>
  <si>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</si>
  <si>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</si>
  <si>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</si>
  <si>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</si>
  <si>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</si>
  <si>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</si>
  <si>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</si>
  <si>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</si>
  <si>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</si>
  <si>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</si>
  <si>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</si>
  <si>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</si>
  <si>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</si>
  <si>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</si>
  <si>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</si>
  <si>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</si>
  <si>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</si>
  <si>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</si>
  <si>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</si>
  <si>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</si>
  <si>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</si>
  <si>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</si>
  <si>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</si>
  <si>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</si>
  <si>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</si>
  <si>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</si>
  <si>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</si>
  <si>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</si>
  <si>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</si>
  <si>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</si>
  <si>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</si>
  <si>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</si>
  <si>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</si>
  <si>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</si>
  <si>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</si>
  <si>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</si>
  <si>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</si>
  <si>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</si>
  <si>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</si>
  <si>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</si>
  <si>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</si>
  <si>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</si>
  <si>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</si>
  <si>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</si>
  <si>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</si>
  <si>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</si>
  <si>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</si>
  <si>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</si>
  <si>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</si>
  <si>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</si>
  <si>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</si>
  <si>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</si>
  <si>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</si>
  <si>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</si>
  <si>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</si>
  <si>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</si>
  <si>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</si>
  <si>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</si>
  <si>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</si>
  <si>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</si>
  <si>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</si>
  <si>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</si>
  <si>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</si>
  <si>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</si>
  <si>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</si>
  <si>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</si>
  <si>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</si>
  <si>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</si>
  <si>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</si>
  <si>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</si>
  <si>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</si>
  <si>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</si>
  <si>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</si>
  <si>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</si>
  <si>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</si>
  <si>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</si>
  <si>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</si>
  <si>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</si>
  <si>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</si>
  <si>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</si>
  <si>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</si>
  <si>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</si>
  <si>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</si>
  <si>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</si>
  <si>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</si>
  <si>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</si>
  <si>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</si>
  <si>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</si>
  <si>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</si>
  <si>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</si>
  <si>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</si>
  <si>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</si>
  <si>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</si>
  <si>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</si>
  <si>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</si>
  <si>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</si>
  <si>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</si>
  <si>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</si>
  <si>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</si>
  <si>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</si>
  <si>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</si>
  <si>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</si>
  <si>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</si>
  <si>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</si>
  <si>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</si>
  <si>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</si>
  <si>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</si>
  <si>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</si>
  <si>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</si>
  <si>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</si>
  <si>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</si>
  <si>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</si>
  <si>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</si>
  <si>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</si>
  <si>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</si>
  <si>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</si>
  <si>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</si>
  <si>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</si>
  <si>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</si>
  <si>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</si>
  <si>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</si>
  <si>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</si>
  <si>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</si>
  <si>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</si>
  <si>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</si>
  <si>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</si>
  <si>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</si>
  <si>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</si>
  <si>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</si>
  <si>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</si>
  <si>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</si>
  <si>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</si>
  <si>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</si>
  <si>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</si>
  <si>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</si>
  <si>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</si>
  <si>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</si>
  <si>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</si>
  <si>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</si>
  <si>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</si>
  <si>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</si>
  <si>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</si>
  <si>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</si>
  <si>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</si>
  <si>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</si>
  <si>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</si>
  <si>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</si>
  <si>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</si>
  <si>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</si>
  <si>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</si>
  <si>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</si>
  <si>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</si>
  <si>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</si>
  <si>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</si>
  <si>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</si>
  <si>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</si>
  <si>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</si>
  <si>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</si>
  <si>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</si>
  <si>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</si>
  <si>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</si>
  <si>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</si>
  <si>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</si>
  <si>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</si>
  <si>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</si>
  <si>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</si>
  <si>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</si>
  <si>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</si>
  <si>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</si>
  <si>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</si>
  <si>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</si>
  <si>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</si>
  <si>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</si>
  <si>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</si>
  <si>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</si>
  <si>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</si>
  <si>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</si>
  <si>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</si>
  <si>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</si>
  <si>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</si>
  <si>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</si>
  <si>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</si>
  <si>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</si>
  <si>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</si>
  <si>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</si>
  <si>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</si>
  <si>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</si>
  <si>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</si>
  <si>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</si>
  <si>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</si>
  <si>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</si>
  <si>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</si>
  <si>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</si>
  <si>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</si>
  <si>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</si>
  <si>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</si>
  <si>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</si>
  <si>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</si>
  <si>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</si>
  <si>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</si>
  <si>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</si>
  <si>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</si>
  <si>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</si>
  <si>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</si>
  <si>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</si>
  <si>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</si>
  <si>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</si>
  <si>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</si>
  <si>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</si>
  <si>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</si>
  <si>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</si>
  <si>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</si>
  <si>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</si>
  <si>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</si>
  <si>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</si>
  <si>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</si>
  <si>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</si>
  <si>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</si>
  <si>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</si>
  <si>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</si>
  <si>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</si>
  <si>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</si>
  <si>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</si>
  <si>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</si>
  <si>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</si>
  <si>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</si>
  <si>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</si>
  <si>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</si>
  <si>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</si>
  <si>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</si>
  <si>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</si>
  <si>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</si>
  <si>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</si>
  <si>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</si>
  <si>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</si>
  <si>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</si>
  <si>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</si>
  <si>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</si>
  <si>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</si>
  <si>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</si>
  <si>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</si>
  <si>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</si>
  <si>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</si>
  <si>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</si>
  <si>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</si>
  <si>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</si>
  <si>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</si>
  <si>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</si>
  <si>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</si>
  <si>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</si>
  <si>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</si>
  <si>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</si>
  <si>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</si>
  <si>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</si>
  <si>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</si>
  <si>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</si>
  <si>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</si>
  <si>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</si>
  <si>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</si>
  <si>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</si>
  <si>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</si>
  <si>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</si>
  <si>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</si>
  <si>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</si>
  <si>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</si>
  <si>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</si>
  <si>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</si>
  <si>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</si>
  <si>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</si>
  <si>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</si>
  <si>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</si>
  <si>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</si>
  <si>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</si>
  <si>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</si>
  <si>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</si>
  <si>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</si>
  <si>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</si>
  <si>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</si>
  <si>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</si>
  <si>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</si>
  <si>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</si>
  <si>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</si>
  <si>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</si>
  <si>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</si>
  <si>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</si>
  <si>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</si>
  <si>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</si>
  <si>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</si>
  <si>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</si>
  <si>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</si>
  <si>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</si>
  <si>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</si>
  <si>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</si>
  <si>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</si>
  <si>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</si>
  <si>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</si>
  <si>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</si>
  <si>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</si>
  <si>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</si>
  <si>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</si>
  <si>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</si>
  <si>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</si>
  <si>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</si>
  <si>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</si>
  <si>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</si>
  <si>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</si>
  <si>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</si>
  <si>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</si>
  <si>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</si>
  <si>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</si>
  <si>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</si>
  <si>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</si>
  <si>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</si>
  <si>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</si>
  <si>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</si>
  <si>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</si>
  <si>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</si>
  <si>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</si>
  <si>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</si>
  <si>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</si>
  <si>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</si>
  <si>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</si>
  <si>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</si>
  <si>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</si>
  <si>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</si>
  <si>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</si>
  <si>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</si>
  <si>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</si>
  <si>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</si>
  <si>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</si>
  <si>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</si>
  <si>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</si>
  <si>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</si>
  <si>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</si>
  <si>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</si>
  <si>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</si>
  <si>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</si>
  <si>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</si>
  <si>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</si>
  <si>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</si>
  <si>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</si>
  <si>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</si>
  <si>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</si>
  <si>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</si>
  <si>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</si>
  <si>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</si>
  <si>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</si>
  <si>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</si>
  <si>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</si>
  <si>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</si>
  <si>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</si>
  <si>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</si>
  <si>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</si>
  <si>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</si>
  <si>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</si>
  <si>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</si>
  <si>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</si>
  <si>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</si>
  <si>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</si>
  <si>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</si>
  <si>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</si>
  <si>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</si>
  <si>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</si>
  <si>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</si>
  <si>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</si>
  <si>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</si>
  <si>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</si>
  <si>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</si>
  <si>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</si>
  <si>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</si>
  <si>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</si>
  <si>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</si>
  <si>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</si>
  <si>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</si>
  <si>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</si>
  <si>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</si>
  <si>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</si>
  <si>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</si>
  <si>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</si>
  <si>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</si>
  <si>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</si>
  <si>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</si>
  <si>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</si>
  <si>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</si>
  <si>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</si>
  <si>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</si>
  <si>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</si>
  <si>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</si>
  <si>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</si>
  <si>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</si>
  <si>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</si>
  <si>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</si>
  <si>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</si>
  <si>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</si>
  <si>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</si>
  <si>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</si>
  <si>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</si>
  <si>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</si>
  <si>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</si>
  <si>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</si>
  <si>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</si>
  <si>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</si>
  <si>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</si>
  <si>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</si>
  <si>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</si>
  <si>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</si>
  <si>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</si>
  <si>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</si>
  <si>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</si>
  <si>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</si>
  <si>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</si>
  <si>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</si>
  <si>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</si>
  <si>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</si>
  <si>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</si>
  <si>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</si>
  <si>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</si>
  <si>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</si>
  <si>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</si>
  <si>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</si>
  <si>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</si>
  <si>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</si>
  <si>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</si>
  <si>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</si>
  <si>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</si>
  <si>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</si>
  <si>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</si>
  <si>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</si>
  <si>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</si>
  <si>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</si>
  <si>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</si>
  <si>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</si>
  <si>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</si>
  <si>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</si>
  <si>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</si>
  <si>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</si>
  <si>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</si>
  <si>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</si>
  <si>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</si>
  <si>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</si>
  <si>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</si>
  <si>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</si>
  <si>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</si>
  <si>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</si>
  <si>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</si>
  <si>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</si>
  <si>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</si>
  <si>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</si>
  <si>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</si>
  <si>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</si>
  <si>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</si>
  <si>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</si>
  <si>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</si>
  <si>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</si>
  <si>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</si>
  <si>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</si>
  <si>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</si>
  <si>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</si>
  <si>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</si>
  <si>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</si>
  <si>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</si>
  <si>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</si>
  <si>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</si>
  <si>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</si>
  <si>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</si>
  <si>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</si>
  <si>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</si>
  <si>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</si>
  <si>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</si>
  <si>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</si>
  <si>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</si>
  <si>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</si>
  <si>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</si>
  <si>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</si>
  <si>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</si>
  <si>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</si>
  <si>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</si>
  <si>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</si>
  <si>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</si>
  <si>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</si>
  <si>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</si>
  <si>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</si>
  <si>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</si>
  <si>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</si>
  <si>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</si>
  <si>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</si>
  <si>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</si>
  <si>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</si>
  <si>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</si>
  <si>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</si>
  <si>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</si>
  <si>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</si>
  <si>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</si>
  <si>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</si>
  <si>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</si>
  <si>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</si>
  <si>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</si>
  <si>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</si>
  <si>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</si>
  <si>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</si>
  <si>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</si>
  <si>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</si>
  <si>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</si>
  <si>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</si>
  <si>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</si>
  <si>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</si>
  <si>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</si>
  <si>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</si>
  <si>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</si>
  <si>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</si>
  <si>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</si>
  <si>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</si>
  <si>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</si>
  <si>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</si>
  <si>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</si>
  <si>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</si>
  <si>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</si>
  <si>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</si>
  <si>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</si>
  <si>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</si>
  <si>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</si>
  <si>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</si>
  <si>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</si>
  <si>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</si>
  <si>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</si>
  <si>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</si>
  <si>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</si>
  <si>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</si>
  <si>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</si>
  <si>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</si>
  <si>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</si>
  <si>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</si>
  <si>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</si>
  <si>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</si>
  <si>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</si>
  <si>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</si>
  <si>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</si>
  <si>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</si>
  <si>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</si>
  <si>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</si>
  <si>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</si>
  <si>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</si>
  <si>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</si>
  <si>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</si>
  <si>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</si>
  <si>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</si>
  <si>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</si>
  <si>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</si>
  <si>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</si>
  <si>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</si>
  <si>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</si>
  <si>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</si>
  <si>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</si>
  <si>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</si>
  <si>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</si>
  <si>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</si>
  <si>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</si>
  <si>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</si>
  <si>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</si>
  <si>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</si>
  <si>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</si>
  <si>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</si>
  <si>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</si>
  <si>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</si>
  <si>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</si>
  <si>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</si>
  <si>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</si>
  <si>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</si>
  <si>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</si>
  <si>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</si>
  <si>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</si>
  <si>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</si>
  <si>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</si>
  <si>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</si>
  <si>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</si>
  <si>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</si>
  <si>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</si>
  <si>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</si>
  <si>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</si>
  <si>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</si>
  <si>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</si>
  <si>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</si>
  <si>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</si>
  <si>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</si>
  <si>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</si>
  <si>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</si>
  <si>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</si>
  <si>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</si>
  <si>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</si>
  <si>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</si>
  <si>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</si>
  <si>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</si>
  <si>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</si>
  <si>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</si>
  <si>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</si>
  <si>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</si>
  <si>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</si>
  <si>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</si>
  <si>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</si>
  <si>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</si>
  <si>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</si>
  <si>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</si>
  <si>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</si>
  <si>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</si>
  <si>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</si>
  <si>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</si>
  <si>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</si>
  <si>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</si>
  <si>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</si>
  <si>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</si>
  <si>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</si>
  <si>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</si>
  <si>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</si>
  <si>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</si>
  <si>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</si>
  <si>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</si>
  <si>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</si>
  <si>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</si>
  <si>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</si>
  <si>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</si>
  <si>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</si>
  <si>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</si>
  <si>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</si>
  <si>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</si>
  <si>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</si>
  <si>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</si>
  <si>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</si>
  <si>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</si>
  <si>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</si>
  <si>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</si>
  <si>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</si>
  <si>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</si>
  <si>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</si>
  <si>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</si>
  <si>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</si>
  <si>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</si>
  <si>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</si>
  <si>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</si>
  <si>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</si>
  <si>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</si>
  <si>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</si>
  <si>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</si>
  <si>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</si>
  <si>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</si>
  <si>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</si>
  <si>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</si>
  <si>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</si>
  <si>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</si>
  <si>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</si>
  <si>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</si>
  <si>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</si>
  <si>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</si>
  <si>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</si>
  <si>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</si>
  <si>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</si>
  <si>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</si>
  <si>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</si>
  <si>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</si>
  <si>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</si>
  <si>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</si>
  <si>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</si>
  <si>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</si>
  <si>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</si>
  <si>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</si>
  <si>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</si>
  <si>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</si>
  <si>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</si>
  <si>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</si>
  <si>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</si>
  <si>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</si>
  <si>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</si>
  <si>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</si>
  <si>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</si>
  <si>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</si>
  <si>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</si>
  <si>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</si>
  <si>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</si>
  <si>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</si>
  <si>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</si>
  <si>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</si>
  <si>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</si>
  <si>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</si>
  <si>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</si>
  <si>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</si>
  <si>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</si>
  <si>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</si>
  <si>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</si>
  <si>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</si>
  <si>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</si>
  <si>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</si>
  <si>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</si>
  <si>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</si>
  <si>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</si>
  <si>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</si>
  <si>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</si>
  <si>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</si>
  <si>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</si>
  <si>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</si>
  <si>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</si>
  <si>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</si>
  <si>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</si>
  <si>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</si>
  <si>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</si>
  <si>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</si>
  <si>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</si>
  <si>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</si>
  <si>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</si>
  <si>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</si>
  <si>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</si>
  <si>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</si>
  <si>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</si>
  <si>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</si>
  <si>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</si>
  <si>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</si>
  <si>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</si>
  <si>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</si>
  <si>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</si>
  <si>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</si>
  <si>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</si>
  <si>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</si>
  <si>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</si>
  <si>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</si>
  <si>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</si>
  <si>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</si>
  <si>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Imre Z. Kult. K. és Könyvtár</t>
  </si>
  <si>
    <t>Csatornamosó GFB túlfizetés visszatérülése</t>
  </si>
  <si>
    <t>TOP-3.2.1.-16 Polg. Hiv. energetikai korsz. projekt, TOP-2.1.2-16 "Zöld tér felújítása projekt és TOP-2.1.3-16 "Jh. belvíz elvezetése I. ütem" c. projekt támogatása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</si>
  <si>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</si>
  <si>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</si>
  <si>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</si>
  <si>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</si>
  <si>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</si>
  <si>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</si>
  <si>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</si>
  <si>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</si>
  <si>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</si>
  <si>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</si>
  <si>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</si>
  <si>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</si>
  <si>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</si>
  <si>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154/2017.(VIII.24.) Kt. hat.  TOP-3.2.1-16  - "Önkormányzati épületek energetikai korszerűsítése" c. projekt (előzetes tanulmányok, engedélyezési dokumentumok költségei)</t>
  </si>
  <si>
    <t>35/2016.(III.24.) Kt. hat. Nyertes pályázat esetén a Gazdakörnek székház felújításához biztosított 1,5 millió Ft támogatás (pályázati önerő) 2018. évben átutalásra kerülő része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</si>
  <si>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</si>
  <si>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</si>
  <si>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</si>
  <si>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</si>
  <si>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</si>
  <si>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</si>
  <si>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</si>
  <si>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</si>
  <si>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</si>
  <si>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</si>
  <si>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</si>
  <si>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 xml:space="preserve">168/2017.(IX.28.) Kt. hat. Pályázati önerő - a konyhafejlesztésre benyújtott VP 6-7.2.1-7.4.1.3-17 kódszámú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</si>
  <si>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</si>
  <si>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</si>
  <si>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</si>
  <si>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</si>
  <si>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</si>
  <si>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</si>
  <si>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</si>
  <si>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</si>
  <si>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</si>
  <si>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</si>
  <si>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</si>
  <si>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</si>
  <si>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</si>
  <si>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</si>
  <si>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</si>
  <si>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</si>
  <si>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</si>
  <si>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</si>
  <si>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</si>
  <si>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</si>
  <si>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</si>
  <si>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</si>
  <si>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</si>
  <si>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</si>
  <si>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</si>
  <si>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</si>
  <si>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</si>
  <si>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</si>
  <si>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</si>
  <si>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</si>
  <si>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</si>
  <si>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</si>
  <si>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</si>
  <si>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</si>
  <si>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</si>
  <si>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</si>
  <si>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</si>
  <si>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</si>
  <si>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</si>
  <si>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</si>
  <si>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</si>
  <si>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</si>
  <si>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</si>
  <si>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</si>
  <si>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</si>
  <si>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</si>
  <si>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</si>
  <si>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</si>
  <si>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</si>
  <si>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</si>
  <si>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</si>
  <si>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</si>
  <si>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</si>
  <si>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</si>
  <si>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</si>
  <si>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</si>
  <si>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Jánoshalma Radnóti u. 13. (volt Gimnázium épület) tetőfeljújítása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</si>
  <si>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</si>
  <si>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</si>
  <si>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</si>
  <si>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</si>
  <si>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</si>
  <si>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Közművelődés-közösségi és társadalmi részvétel fejlesztése (EFOP-3.3.2-16-2016-00284 projekt)</t>
  </si>
  <si>
    <t>40</t>
  </si>
  <si>
    <t>2013. évi XXXVI.törvány a választási eljárásról</t>
  </si>
  <si>
    <t>Ve.</t>
  </si>
  <si>
    <t>8 Általános gazd-i és kereskedelmi ügyek igazgatása</t>
  </si>
  <si>
    <t>TOP-1.1.1-15 BK1-2016-00006 "Iparterület fejlesztése Jánoshalmán" c. projekt</t>
  </si>
  <si>
    <t>TOP-1.1.2-16 BK1 "Jánoshalma térségi szerepének erősítése a mezőgazdaságban" c. projekt</t>
  </si>
  <si>
    <t>TOP-1.1.3-16 BK1 "Agrárlogisztikai központ építése Jánoshalmán" c. projekt</t>
  </si>
  <si>
    <t>EFOP-1.5.3-16-2017-00082 "Együtt vagyunk, otthon vagyunk és itt maradunk" c. projekt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</si>
  <si>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</si>
  <si>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</si>
  <si>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</si>
  <si>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</si>
  <si>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</si>
  <si>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</si>
  <si>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</si>
  <si>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</si>
  <si>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</si>
  <si>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</si>
  <si>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</si>
  <si>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</si>
  <si>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</si>
  <si>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</si>
  <si>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</si>
  <si>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</si>
  <si>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</si>
  <si>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</si>
  <si>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</si>
  <si>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</si>
  <si>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</si>
  <si>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EFOP-1.5.3-16-2017-00082 "Együtt vagyunk, otthon vagyunk és itt maradunk" projekt beruházási kiadása (eszközbeszerzések, Imre Z. Műv. Közp. klimatizálása)</t>
  </si>
  <si>
    <t>Gyermeklánc Óvoda és Bölcsőde, Család- és Gyermekjóléti Központ  összesen:</t>
  </si>
  <si>
    <t>1 db Voice-Kraft VK UFX-16 zenekari keverőpult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</si>
  <si>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</si>
  <si>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</si>
  <si>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</si>
  <si>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</si>
  <si>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</si>
  <si>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</si>
  <si>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</si>
  <si>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</si>
  <si>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</si>
  <si>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</si>
  <si>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</si>
  <si>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</si>
  <si>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</si>
  <si>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</si>
  <si>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</si>
  <si>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</si>
  <si>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</si>
  <si>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</si>
  <si>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</si>
  <si>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</si>
  <si>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</si>
  <si>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</si>
  <si>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</si>
  <si>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</si>
  <si>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</si>
  <si>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</si>
  <si>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</si>
  <si>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</si>
  <si>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</si>
  <si>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</si>
  <si>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</si>
  <si>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</si>
  <si>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</si>
  <si>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</si>
  <si>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</si>
  <si>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</si>
  <si>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</si>
  <si>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</si>
  <si>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</si>
  <si>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</si>
  <si>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</si>
  <si>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</si>
  <si>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</si>
  <si>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</si>
  <si>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</si>
  <si>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</si>
  <si>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</si>
  <si>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</si>
  <si>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</si>
  <si>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</si>
  <si>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</si>
  <si>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</si>
  <si>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</si>
  <si>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</si>
  <si>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</si>
  <si>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</si>
  <si>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</si>
  <si>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Céltartalék- viziközművek bérleti díj bevétel maradványa előző évekről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</si>
  <si>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</si>
  <si>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</si>
  <si>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</si>
  <si>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</si>
  <si>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</si>
  <si>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</si>
  <si>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</si>
  <si>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</si>
  <si>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</si>
  <si>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</si>
  <si>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</si>
  <si>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</si>
  <si>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</si>
  <si>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</si>
  <si>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</si>
  <si>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22. Egészségügyi ellátás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</si>
  <si>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</si>
  <si>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</si>
  <si>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</si>
  <si>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</si>
  <si>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</si>
  <si>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</si>
  <si>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</si>
  <si>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</si>
  <si>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</si>
  <si>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</si>
  <si>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</si>
  <si>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Tűzoltóság eszközbeszerzése (TV készülék, 5db Rugged Leather Case with LG stud készülék)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</si>
  <si>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</si>
  <si>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</si>
  <si>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</si>
  <si>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</si>
  <si>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</si>
  <si>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</si>
  <si>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</si>
  <si>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</si>
  <si>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</si>
  <si>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</si>
  <si>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</si>
  <si>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</si>
  <si>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</si>
  <si>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</si>
  <si>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</si>
  <si>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</si>
  <si>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104031</t>
  </si>
  <si>
    <t>TOP-1.4.1-16-BK1-2017-00002 "Bölcsődei fejlesztések Bács-Kiskun megyében" projekt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</si>
  <si>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</si>
  <si>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</si>
  <si>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</si>
  <si>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</si>
  <si>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</si>
  <si>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</si>
  <si>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</si>
  <si>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</si>
  <si>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</si>
  <si>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</si>
  <si>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</si>
  <si>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</si>
  <si>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</si>
  <si>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</si>
  <si>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</si>
  <si>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</si>
  <si>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</si>
  <si>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</si>
  <si>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</si>
  <si>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</si>
  <si>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</si>
  <si>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</si>
  <si>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</si>
  <si>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</si>
  <si>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</si>
  <si>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</si>
  <si>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</si>
  <si>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</si>
  <si>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</si>
  <si>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</si>
  <si>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</si>
  <si>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</si>
  <si>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</si>
  <si>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</si>
  <si>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</si>
  <si>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</si>
  <si>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</si>
  <si>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</si>
  <si>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</si>
  <si>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</si>
  <si>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</si>
  <si>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</si>
  <si>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</si>
  <si>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</si>
  <si>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</si>
  <si>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</si>
  <si>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</si>
  <si>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</si>
  <si>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</si>
  <si>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</si>
  <si>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</si>
  <si>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</si>
  <si>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</si>
  <si>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</si>
  <si>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</si>
  <si>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</si>
  <si>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</si>
  <si>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</si>
  <si>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</si>
  <si>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</si>
  <si>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</si>
  <si>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</si>
  <si>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</si>
  <si>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</si>
  <si>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</si>
  <si>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</si>
  <si>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</si>
  <si>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- Szakterületi koordinátor (1 fő napi 4 órában)</t>
  </si>
  <si>
    <t>- Szakmai asszisztens</t>
  </si>
  <si>
    <t>EFOP-1.5.3-16-2017-00082 "Együtt vagyunk, otthon vagyunk és itt maradunk" projekt</t>
  </si>
  <si>
    <t xml:space="preserve">Prevenciós munkatárs </t>
  </si>
  <si>
    <t>Ifjúsági referens</t>
  </si>
  <si>
    <t>Szatyorközösség vezető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</si>
  <si>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</si>
  <si>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</si>
  <si>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</si>
  <si>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</si>
  <si>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</si>
  <si>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</si>
  <si>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</si>
  <si>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</si>
  <si>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</si>
  <si>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</si>
  <si>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</si>
  <si>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</si>
  <si>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</si>
  <si>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</si>
  <si>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</si>
  <si>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</si>
  <si>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</si>
  <si>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</si>
  <si>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</si>
  <si>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KÖZFOGLALKOZTATOTTAK LÉTSZÁMA ÖSSZESEN:</t>
  </si>
  <si>
    <t>Bethlen G. Alap- Jánoshalmi Napok 2018. tám.</t>
  </si>
  <si>
    <t>Működési c. vtérítendő támogatások, kölcsönök nyújtása ÁH-on kívülre</t>
  </si>
  <si>
    <t>Műk. c. vtérítendő tám., kölcsönök nyújtása ÁH-on kívülre</t>
  </si>
  <si>
    <t>082092</t>
  </si>
  <si>
    <t>Közművelődés-hagyományos közösségi kulturális értékek gondozása</t>
  </si>
  <si>
    <t>37 A gyermekek, fiatalok és családok életminőségét javító programok</t>
  </si>
  <si>
    <t>EFOP-1.4.2-16-2016-00020  "Együtt könnyebb" c. projekt</t>
  </si>
  <si>
    <t>46</t>
  </si>
  <si>
    <t>47</t>
  </si>
  <si>
    <t>Kamatbevétel, ÁFA visszatérítés</t>
  </si>
  <si>
    <t>EFOP-1.4.2-16-2016-00020 Integrált térs. gyermekpr. "Együtt könnyebb" támogatása</t>
  </si>
  <si>
    <t>Hosszabb időtartamú közfoglalkoztatás (2018. július 1-től indult program 2019.02.28-ig)</t>
  </si>
  <si>
    <t>23 fő álláskereső közfoglalkoztatása</t>
  </si>
  <si>
    <t>Közművelődési és könyvtári feladatellátás eszközeinek megvásárlása</t>
  </si>
  <si>
    <t>Művészet oktatás eszközeinek és hangszerek megvásárlása</t>
  </si>
  <si>
    <t>EFOP-1.4.2-16-2016-00020 "Együtt könnyebb" c. projekt eszközbeszerzései</t>
  </si>
  <si>
    <t>Panda vírusvédelmi szoftver beszerzése</t>
  </si>
  <si>
    <t>20 db Panda vírusvédelmi szoftver beszerzése</t>
  </si>
  <si>
    <t>Kötelező elektronikus ügyintézéshez kapcsolódó biztonsági előírások teljesítésére (2015. évi CCXXII. tv.) céltartalék összesen: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</si>
  <si>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</si>
  <si>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</si>
  <si>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</si>
  <si>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</si>
  <si>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Nyári diákmunka program</t>
  </si>
  <si>
    <t>Jánoshalmi Napok asztalfoglalásának bevétele</t>
  </si>
  <si>
    <t>Nyári diákmunka program támogatása</t>
  </si>
  <si>
    <t>NYÁRI DIÁKMUNKÁSOK LÉTSZÁMA ÖSSZESEN:</t>
  </si>
  <si>
    <t>Önkormányzati rendezvények fedezet biztosítására</t>
  </si>
  <si>
    <t>Kötelező önk-i feladatot ellátó intézmények fejlesztése, felújítása -Radnóti u-i óvodafelújítás támogatása</t>
  </si>
  <si>
    <t>Önkormányzati feladatellátást szolgáló fejlesztések tám. pályázat - Óvoda fejlesztés önerő és közp-i tám.</t>
  </si>
  <si>
    <t>2.a,</t>
  </si>
  <si>
    <t>Önk-i feladatellátást szolgáló fejlesztések - óvodafelújítás támogatása</t>
  </si>
  <si>
    <t>1. melléklet a 7/2018.(IX.28.) önkormányzati rendelethez</t>
  </si>
  <si>
    <t>2. melléklet a 7/2018.(IX.28.) önkormányzati rendelethez</t>
  </si>
  <si>
    <t>3. melléklet a 7/2018.(IX.28.) önkormányzati rendelethez</t>
  </si>
  <si>
    <t>4. melléklet a 7/2018.(IX.28.) önkormányzati rendelethez</t>
  </si>
  <si>
    <t>5. melléklet a 7/2018.(IX.28.) önkormányzati rendelethez</t>
  </si>
  <si>
    <t>6. melléklet a 7/2018.(IX.28.) önkormányzati rendelethez</t>
  </si>
  <si>
    <t>7. melléklet a 7/2018.(IX.28.) önkormányzati rendelethez</t>
  </si>
  <si>
    <t>8. melléklet a 7/2018. (IX.28.) önkormányzati rendelethez</t>
  </si>
  <si>
    <t>9. melléklet a 7/2018.(IX.28.) önkormányzati rendelethez</t>
  </si>
  <si>
    <t>GIRODirect szolgáltatáshoz történő csatlakozással összefüggő kiadások</t>
  </si>
  <si>
    <t>10. melléklet a 7/2018.(IX.28.) önkormányzati rendelethez</t>
  </si>
  <si>
    <t>11. melléklet a 7/2018. (IX.28.) önkormányzati rendelethez</t>
  </si>
  <si>
    <t>12. melléklet a 7/2018. (IX.28.) önkormányzati rendelethez</t>
  </si>
  <si>
    <t>13. melléklet a 7/2018. (IX.28.) önkormányzati rendelethez</t>
  </si>
  <si>
    <t>Álláskeresők közfoglalkoztatása (induló létszám 94 fő)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</si>
</sst>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48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2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2" applyNumberFormat="1" applyFont="1" applyBorder="1" applyAlignment="1">
      <alignment horizontal="right"/>
    </xf>
    <xf numFmtId="3" fontId="18" fillId="0" borderId="22" xfId="42" applyNumberFormat="1" applyFont="1" applyBorder="1" applyAlignment="1">
      <alignment horizontal="right"/>
    </xf>
    <xf numFmtId="3" fontId="22" fillId="0" borderId="22" xfId="42" applyNumberFormat="1" applyFont="1" applyBorder="1" applyAlignment="1">
      <alignment horizontal="right"/>
    </xf>
    <xf numFmtId="0" fontId="26" fillId="0" borderId="22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2" xfId="42" applyNumberFormat="1" applyFont="1" applyBorder="1" applyAlignment="1">
      <alignment horizontal="right"/>
    </xf>
    <xf numFmtId="0" fontId="26" fillId="0" borderId="22" xfId="57" applyFont="1" applyBorder="1">
      <alignment/>
      <protection/>
    </xf>
    <xf numFmtId="0" fontId="27" fillId="0" borderId="0" xfId="57" applyFont="1">
      <alignment/>
      <protection/>
    </xf>
    <xf numFmtId="0" fontId="28" fillId="0" borderId="22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2" xfId="57" applyFont="1" applyBorder="1" applyAlignment="1">
      <alignment vertical="center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0" fillId="0" borderId="0" xfId="57" applyFont="1">
      <alignment/>
      <protection/>
    </xf>
    <xf numFmtId="0" fontId="30" fillId="0" borderId="22" xfId="57" applyFont="1" applyBorder="1" applyAlignment="1">
      <alignment vertical="center" wrapText="1"/>
      <protection/>
    </xf>
    <xf numFmtId="0" fontId="30" fillId="0" borderId="22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2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3" fillId="0" borderId="22" xfId="57" applyNumberFormat="1" applyFont="1" applyBorder="1" applyAlignment="1">
      <alignment horizontal="right" vertical="center"/>
      <protection/>
    </xf>
    <xf numFmtId="3" fontId="33" fillId="0" borderId="22" xfId="42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2" xfId="61" applyNumberFormat="1" applyFont="1" applyBorder="1" applyAlignment="1">
      <alignment vertical="center"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32" borderId="22" xfId="61" applyNumberFormat="1" applyFont="1" applyFill="1" applyBorder="1" applyAlignment="1">
      <alignment horizontal="center" vertical="center"/>
      <protection/>
    </xf>
    <xf numFmtId="0" fontId="21" fillId="32" borderId="22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23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2" xfId="61" applyFill="1" applyBorder="1">
      <alignment/>
      <protection/>
    </xf>
    <xf numFmtId="0" fontId="21" fillId="32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34" fillId="0" borderId="30" xfId="61" applyFont="1" applyBorder="1" applyAlignment="1">
      <alignment horizontal="center" vertical="center" wrapText="1"/>
      <protection/>
    </xf>
    <xf numFmtId="3" fontId="21" fillId="32" borderId="31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2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2" xfId="58" applyFont="1" applyBorder="1">
      <alignment/>
      <protection/>
    </xf>
    <xf numFmtId="3" fontId="40" fillId="0" borderId="22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2" xfId="58" applyFont="1" applyBorder="1" applyAlignment="1">
      <alignment horizontal="left"/>
      <protection/>
    </xf>
    <xf numFmtId="3" fontId="45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5" fillId="0" borderId="22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3" fontId="46" fillId="0" borderId="22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0" fillId="0" borderId="22" xfId="0" applyFont="1" applyBorder="1" applyAlignment="1">
      <alignment/>
    </xf>
    <xf numFmtId="3" fontId="40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left"/>
    </xf>
    <xf numFmtId="3" fontId="45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5" fillId="0" borderId="22" xfId="0" applyFont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/>
    </xf>
    <xf numFmtId="0" fontId="45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horizontal="left" wrapText="1"/>
    </xf>
    <xf numFmtId="3" fontId="45" fillId="0" borderId="32" xfId="0" applyNumberFormat="1" applyFont="1" applyFill="1" applyBorder="1" applyAlignment="1">
      <alignment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right"/>
    </xf>
    <xf numFmtId="3" fontId="52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2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33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39" fillId="0" borderId="35" xfId="60" applyNumberFormat="1" applyFont="1" applyFill="1" applyBorder="1" applyAlignment="1">
      <alignment horizontal="center" vertical="center"/>
      <protection/>
    </xf>
    <xf numFmtId="0" fontId="20" fillId="0" borderId="36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7" xfId="60" applyNumberFormat="1" applyFont="1" applyFill="1" applyBorder="1" applyAlignment="1">
      <alignment vertical="center" wrapText="1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39" fillId="0" borderId="39" xfId="60" applyNumberFormat="1" applyFont="1" applyFill="1" applyBorder="1" applyAlignment="1">
      <alignment vertical="center"/>
      <protection/>
    </xf>
    <xf numFmtId="3" fontId="39" fillId="0" borderId="38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39" fillId="0" borderId="37" xfId="60" applyNumberFormat="1" applyFont="1" applyFill="1" applyBorder="1" applyAlignment="1">
      <alignment horizontal="center" vertical="center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3" xfId="60" applyNumberFormat="1" applyFont="1" applyFill="1" applyBorder="1" applyAlignment="1">
      <alignment vertical="center"/>
      <protection/>
    </xf>
    <xf numFmtId="49" fontId="39" fillId="0" borderId="21" xfId="60" applyNumberFormat="1" applyFont="1" applyFill="1" applyBorder="1" applyAlignment="1">
      <alignment horizontal="center" vertical="center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3" xfId="60" applyNumberFormat="1" applyFont="1" applyFill="1" applyBorder="1" applyAlignment="1">
      <alignment horizontal="left" vertical="center" wrapText="1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34" xfId="60" applyNumberFormat="1" applyFont="1" applyFill="1" applyBorder="1" applyAlignment="1">
      <alignment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3" fontId="40" fillId="0" borderId="36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vertical="center"/>
      <protection/>
    </xf>
    <xf numFmtId="3" fontId="23" fillId="0" borderId="42" xfId="60" applyNumberFormat="1" applyFont="1" applyFill="1" applyBorder="1" applyAlignment="1">
      <alignment vertical="center"/>
      <protection/>
    </xf>
    <xf numFmtId="3" fontId="40" fillId="0" borderId="43" xfId="60" applyNumberFormat="1" applyFont="1" applyFill="1" applyBorder="1" applyAlignment="1">
      <alignment vertical="center" wrapText="1"/>
      <protection/>
    </xf>
    <xf numFmtId="0" fontId="20" fillId="0" borderId="44" xfId="60" applyFont="1" applyFill="1" applyBorder="1" applyAlignment="1">
      <alignment vertical="center" wrapText="1"/>
      <protection/>
    </xf>
    <xf numFmtId="3" fontId="40" fillId="0" borderId="45" xfId="60" applyNumberFormat="1" applyFont="1" applyFill="1" applyBorder="1" applyAlignment="1">
      <alignment vertical="center" wrapText="1"/>
      <protection/>
    </xf>
    <xf numFmtId="3" fontId="40" fillId="0" borderId="44" xfId="60" applyNumberFormat="1" applyFont="1" applyFill="1" applyBorder="1" applyAlignment="1">
      <alignment vertical="center" wrapText="1"/>
      <protection/>
    </xf>
    <xf numFmtId="3" fontId="23" fillId="0" borderId="46" xfId="60" applyNumberFormat="1" applyFont="1" applyFill="1" applyBorder="1" applyAlignment="1">
      <alignment horizontal="right" vertical="center"/>
      <protection/>
    </xf>
    <xf numFmtId="3" fontId="57" fillId="0" borderId="26" xfId="60" applyNumberFormat="1" applyFont="1" applyFill="1" applyBorder="1" applyAlignment="1">
      <alignment vertical="center"/>
      <protection/>
    </xf>
    <xf numFmtId="3" fontId="57" fillId="0" borderId="33" xfId="60" applyNumberFormat="1" applyFont="1" applyFill="1" applyBorder="1" applyAlignment="1">
      <alignment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43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59" applyFont="1" applyBorder="1" applyAlignment="1">
      <alignment horizontal="center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22" fillId="0" borderId="5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3" xfId="59" applyFont="1" applyBorder="1">
      <alignment/>
      <protection/>
    </xf>
    <xf numFmtId="0" fontId="22" fillId="0" borderId="54" xfId="59" applyFont="1" applyBorder="1">
      <alignment/>
      <protection/>
    </xf>
    <xf numFmtId="0" fontId="22" fillId="0" borderId="55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6" xfId="59" applyNumberFormat="1" applyFont="1" applyBorder="1">
      <alignment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2" xfId="59" applyNumberFormat="1" applyFont="1" applyBorder="1" applyAlignment="1">
      <alignment horizontal="right" vertical="center"/>
      <protection/>
    </xf>
    <xf numFmtId="3" fontId="22" fillId="0" borderId="60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57" fillId="0" borderId="55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3" fontId="19" fillId="0" borderId="5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57" fillId="0" borderId="52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22" fillId="0" borderId="52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4" xfId="59" applyFont="1" applyBorder="1" applyAlignment="1">
      <alignment horizontal="right"/>
      <protection/>
    </xf>
    <xf numFmtId="3" fontId="22" fillId="0" borderId="61" xfId="59" applyNumberFormat="1" applyFont="1" applyFill="1" applyBorder="1">
      <alignment/>
      <protection/>
    </xf>
    <xf numFmtId="0" fontId="57" fillId="0" borderId="55" xfId="59" applyFont="1" applyBorder="1">
      <alignment/>
      <protection/>
    </xf>
    <xf numFmtId="3" fontId="22" fillId="0" borderId="61" xfId="59" applyNumberFormat="1" applyFont="1" applyBorder="1">
      <alignment/>
      <protection/>
    </xf>
    <xf numFmtId="3" fontId="57" fillId="0" borderId="52" xfId="59" applyNumberFormat="1" applyFont="1" applyBorder="1">
      <alignment/>
      <protection/>
    </xf>
    <xf numFmtId="3" fontId="57" fillId="0" borderId="32" xfId="59" applyNumberFormat="1" applyFont="1" applyBorder="1">
      <alignment/>
      <protection/>
    </xf>
    <xf numFmtId="3" fontId="57" fillId="0" borderId="60" xfId="59" applyNumberFormat="1" applyFont="1" applyBorder="1">
      <alignment/>
      <protection/>
    </xf>
    <xf numFmtId="3" fontId="57" fillId="0" borderId="55" xfId="59" applyNumberFormat="1" applyFont="1" applyBorder="1">
      <alignment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5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52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3" fontId="22" fillId="0" borderId="62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9" xfId="59" applyFont="1" applyBorder="1" applyAlignment="1">
      <alignment horizontal="right"/>
      <protection/>
    </xf>
    <xf numFmtId="0" fontId="18" fillId="0" borderId="63" xfId="59" applyFont="1" applyBorder="1" applyAlignment="1">
      <alignment horizontal="right"/>
      <protection/>
    </xf>
    <xf numFmtId="0" fontId="18" fillId="0" borderId="49" xfId="59" applyFont="1" applyBorder="1">
      <alignment/>
      <protection/>
    </xf>
    <xf numFmtId="0" fontId="18" fillId="0" borderId="64" xfId="59" applyFont="1" applyBorder="1">
      <alignment/>
      <protection/>
    </xf>
    <xf numFmtId="0" fontId="22" fillId="0" borderId="49" xfId="59" applyFont="1" applyBorder="1" applyAlignment="1">
      <alignment horizontal="left"/>
      <protection/>
    </xf>
    <xf numFmtId="0" fontId="58" fillId="0" borderId="65" xfId="59" applyFont="1" applyBorder="1" applyAlignment="1">
      <alignment horizontal="left"/>
      <protection/>
    </xf>
    <xf numFmtId="0" fontId="58" fillId="0" borderId="49" xfId="59" applyFont="1" applyBorder="1" applyAlignment="1">
      <alignment horizontal="left"/>
      <protection/>
    </xf>
    <xf numFmtId="3" fontId="58" fillId="0" borderId="49" xfId="59" applyNumberFormat="1" applyFont="1" applyFill="1" applyBorder="1">
      <alignment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57" fillId="0" borderId="66" xfId="59" applyNumberFormat="1" applyFont="1" applyBorder="1" applyAlignment="1">
      <alignment horizontal="right" vertical="center"/>
      <protection/>
    </xf>
    <xf numFmtId="3" fontId="57" fillId="0" borderId="67" xfId="59" applyNumberFormat="1" applyFont="1" applyBorder="1" applyAlignment="1">
      <alignment horizontal="right" vertical="center"/>
      <protection/>
    </xf>
    <xf numFmtId="3" fontId="22" fillId="0" borderId="68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22" fillId="0" borderId="67" xfId="59" applyNumberFormat="1" applyFont="1" applyBorder="1">
      <alignment/>
      <protection/>
    </xf>
    <xf numFmtId="3" fontId="57" fillId="0" borderId="64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0" fontId="18" fillId="0" borderId="57" xfId="59" applyFont="1" applyBorder="1">
      <alignment/>
      <protection/>
    </xf>
    <xf numFmtId="0" fontId="18" fillId="0" borderId="54" xfId="59" applyFont="1" applyBorder="1">
      <alignment/>
      <protection/>
    </xf>
    <xf numFmtId="0" fontId="18" fillId="0" borderId="32" xfId="59" applyFont="1" applyBorder="1">
      <alignment/>
      <protection/>
    </xf>
    <xf numFmtId="3" fontId="58" fillId="0" borderId="61" xfId="59" applyNumberFormat="1" applyFont="1" applyBorder="1" applyAlignment="1">
      <alignment/>
      <protection/>
    </xf>
    <xf numFmtId="0" fontId="18" fillId="0" borderId="70" xfId="59" applyFont="1" applyBorder="1">
      <alignment/>
      <protection/>
    </xf>
    <xf numFmtId="0" fontId="18" fillId="0" borderId="67" xfId="59" applyFont="1" applyBorder="1">
      <alignment/>
      <protection/>
    </xf>
    <xf numFmtId="0" fontId="18" fillId="0" borderId="71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2" xfId="59" applyFont="1" applyBorder="1" applyAlignment="1">
      <alignment horizontal="left"/>
      <protection/>
    </xf>
    <xf numFmtId="3" fontId="57" fillId="0" borderId="72" xfId="59" applyNumberFormat="1" applyFont="1" applyBorder="1" applyAlignment="1">
      <alignment horizontal="right"/>
      <protection/>
    </xf>
    <xf numFmtId="3" fontId="57" fillId="0" borderId="52" xfId="59" applyNumberFormat="1" applyFont="1" applyBorder="1" applyAlignment="1">
      <alignment horizontal="right"/>
      <protection/>
    </xf>
    <xf numFmtId="3" fontId="57" fillId="0" borderId="32" xfId="59" applyNumberFormat="1" applyFont="1" applyBorder="1" applyAlignment="1">
      <alignment horizontal="right"/>
      <protection/>
    </xf>
    <xf numFmtId="0" fontId="18" fillId="34" borderId="73" xfId="59" applyFont="1" applyFill="1" applyBorder="1">
      <alignment/>
      <protection/>
    </xf>
    <xf numFmtId="3" fontId="57" fillId="34" borderId="74" xfId="59" applyNumberFormat="1" applyFont="1" applyFill="1" applyBorder="1" applyAlignment="1">
      <alignment horizontal="right"/>
      <protection/>
    </xf>
    <xf numFmtId="3" fontId="57" fillId="34" borderId="75" xfId="59" applyNumberFormat="1" applyFont="1" applyFill="1" applyBorder="1">
      <alignment/>
      <protection/>
    </xf>
    <xf numFmtId="3" fontId="57" fillId="34" borderId="76" xfId="59" applyNumberFormat="1" applyFont="1" applyFill="1" applyBorder="1">
      <alignment/>
      <protection/>
    </xf>
    <xf numFmtId="3" fontId="57" fillId="34" borderId="74" xfId="59" applyNumberFormat="1" applyFont="1" applyFill="1" applyBorder="1">
      <alignment/>
      <protection/>
    </xf>
    <xf numFmtId="0" fontId="18" fillId="0" borderId="77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8" xfId="59" applyFont="1" applyBorder="1" applyAlignment="1">
      <alignment horizontal="right" vertical="center"/>
      <protection/>
    </xf>
    <xf numFmtId="0" fontId="22" fillId="0" borderId="60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5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9" xfId="59" applyFont="1" applyBorder="1">
      <alignment/>
      <protection/>
    </xf>
    <xf numFmtId="0" fontId="18" fillId="0" borderId="80" xfId="59" applyFont="1" applyBorder="1" applyAlignment="1">
      <alignment horizontal="right"/>
      <protection/>
    </xf>
    <xf numFmtId="0" fontId="18" fillId="0" borderId="81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69" xfId="59" applyFont="1" applyBorder="1">
      <alignment/>
      <protection/>
    </xf>
    <xf numFmtId="0" fontId="18" fillId="0" borderId="80" xfId="59" applyFont="1" applyBorder="1" applyAlignment="1">
      <alignment/>
      <protection/>
    </xf>
    <xf numFmtId="0" fontId="15" fillId="0" borderId="82" xfId="59" applyFont="1" applyBorder="1" applyAlignment="1">
      <alignment horizontal="right"/>
      <protection/>
    </xf>
    <xf numFmtId="0" fontId="18" fillId="0" borderId="83" xfId="59" applyFont="1" applyBorder="1">
      <alignment/>
      <protection/>
    </xf>
    <xf numFmtId="3" fontId="15" fillId="0" borderId="84" xfId="59" applyNumberFormat="1" applyFont="1" applyBorder="1" applyAlignment="1">
      <alignment horizontal="right"/>
      <protection/>
    </xf>
    <xf numFmtId="0" fontId="15" fillId="0" borderId="80" xfId="59" applyFont="1" applyBorder="1" applyAlignment="1">
      <alignment horizontal="right"/>
      <protection/>
    </xf>
    <xf numFmtId="0" fontId="15" fillId="0" borderId="81" xfId="59" applyFont="1" applyBorder="1" applyAlignment="1">
      <alignment horizontal="right"/>
      <protection/>
    </xf>
    <xf numFmtId="0" fontId="18" fillId="0" borderId="85" xfId="59" applyFont="1" applyBorder="1">
      <alignment/>
      <protection/>
    </xf>
    <xf numFmtId="0" fontId="18" fillId="0" borderId="81" xfId="59" applyFont="1" applyBorder="1">
      <alignment/>
      <protection/>
    </xf>
    <xf numFmtId="0" fontId="57" fillId="0" borderId="86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60" xfId="59" applyFont="1" applyBorder="1">
      <alignment/>
      <protection/>
    </xf>
    <xf numFmtId="0" fontId="22" fillId="0" borderId="61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72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61" xfId="59" applyFont="1" applyBorder="1">
      <alignment/>
      <protection/>
    </xf>
    <xf numFmtId="0" fontId="23" fillId="0" borderId="58" xfId="59" applyFont="1" applyBorder="1" applyAlignment="1">
      <alignment horizontal="right"/>
      <protection/>
    </xf>
    <xf numFmtId="0" fontId="18" fillId="0" borderId="56" xfId="0" applyFont="1" applyBorder="1" applyAlignment="1">
      <alignment horizontal="right"/>
    </xf>
    <xf numFmtId="3" fontId="19" fillId="0" borderId="78" xfId="59" applyNumberFormat="1" applyFont="1" applyBorder="1" applyAlignment="1">
      <alignment horizontal="right"/>
      <protection/>
    </xf>
    <xf numFmtId="3" fontId="19" fillId="0" borderId="56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3" fontId="22" fillId="0" borderId="62" xfId="59" applyNumberFormat="1" applyFont="1" applyBorder="1" applyAlignment="1">
      <alignment/>
      <protection/>
    </xf>
    <xf numFmtId="0" fontId="18" fillId="0" borderId="87" xfId="59" applyFont="1" applyBorder="1">
      <alignment/>
      <protection/>
    </xf>
    <xf numFmtId="0" fontId="18" fillId="0" borderId="56" xfId="59" applyFont="1" applyBorder="1">
      <alignment/>
      <protection/>
    </xf>
    <xf numFmtId="0" fontId="18" fillId="0" borderId="62" xfId="59" applyFont="1" applyBorder="1">
      <alignment/>
      <protection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88" xfId="59" applyNumberFormat="1" applyFont="1" applyBorder="1">
      <alignment/>
      <protection/>
    </xf>
    <xf numFmtId="3" fontId="57" fillId="0" borderId="58" xfId="59" applyNumberFormat="1" applyFont="1" applyBorder="1">
      <alignment/>
      <protection/>
    </xf>
    <xf numFmtId="3" fontId="57" fillId="0" borderId="78" xfId="59" applyNumberFormat="1" applyFont="1" applyBorder="1">
      <alignment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9" xfId="59" applyFont="1" applyFill="1" applyBorder="1">
      <alignment/>
      <protection/>
    </xf>
    <xf numFmtId="3" fontId="43" fillId="0" borderId="90" xfId="59" applyNumberFormat="1" applyFont="1" applyBorder="1" applyAlignment="1">
      <alignment horizontal="center"/>
      <protection/>
    </xf>
    <xf numFmtId="0" fontId="18" fillId="0" borderId="91" xfId="59" applyFont="1" applyBorder="1">
      <alignment/>
      <protection/>
    </xf>
    <xf numFmtId="3" fontId="15" fillId="0" borderId="92" xfId="59" applyNumberFormat="1" applyFont="1" applyBorder="1">
      <alignment/>
      <protection/>
    </xf>
    <xf numFmtId="0" fontId="18" fillId="0" borderId="77" xfId="59" applyFont="1" applyBorder="1">
      <alignment/>
      <protection/>
    </xf>
    <xf numFmtId="3" fontId="43" fillId="0" borderId="90" xfId="59" applyNumberFormat="1" applyFont="1" applyBorder="1">
      <alignment/>
      <protection/>
    </xf>
    <xf numFmtId="3" fontId="43" fillId="0" borderId="93" xfId="59" applyNumberFormat="1" applyFont="1" applyBorder="1">
      <alignment/>
      <protection/>
    </xf>
    <xf numFmtId="0" fontId="22" fillId="0" borderId="49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39" fillId="0" borderId="27" xfId="59" applyFont="1" applyBorder="1">
      <alignment/>
      <protection/>
    </xf>
    <xf numFmtId="3" fontId="18" fillId="0" borderId="27" xfId="59" applyNumberFormat="1" applyFont="1" applyBorder="1">
      <alignment/>
      <protection/>
    </xf>
    <xf numFmtId="0" fontId="18" fillId="0" borderId="27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4" xfId="59" applyFont="1" applyBorder="1" applyAlignment="1">
      <alignment horizontal="center"/>
      <protection/>
    </xf>
    <xf numFmtId="0" fontId="19" fillId="0" borderId="95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4" xfId="59" applyNumberFormat="1" applyFont="1" applyFill="1" applyBorder="1" applyAlignment="1">
      <alignment horizontal="right"/>
      <protection/>
    </xf>
    <xf numFmtId="3" fontId="19" fillId="34" borderId="89" xfId="59" applyNumberFormat="1" applyFont="1" applyFill="1" applyBorder="1">
      <alignment/>
      <protection/>
    </xf>
    <xf numFmtId="3" fontId="19" fillId="34" borderId="96" xfId="59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34" borderId="76" xfId="59" applyFont="1" applyFill="1" applyBorder="1" applyAlignment="1">
      <alignment horizontal="left"/>
      <protection/>
    </xf>
    <xf numFmtId="3" fontId="15" fillId="34" borderId="97" xfId="59" applyNumberFormat="1" applyFont="1" applyFill="1" applyBorder="1" applyAlignment="1">
      <alignment horizontal="right"/>
      <protection/>
    </xf>
    <xf numFmtId="3" fontId="15" fillId="34" borderId="98" xfId="59" applyNumberFormat="1" applyFont="1" applyFill="1" applyBorder="1" applyAlignment="1">
      <alignment horizontal="right"/>
      <protection/>
    </xf>
    <xf numFmtId="3" fontId="57" fillId="34" borderId="89" xfId="59" applyNumberFormat="1" applyFont="1" applyFill="1" applyBorder="1" applyAlignment="1">
      <alignment horizontal="right"/>
      <protection/>
    </xf>
    <xf numFmtId="3" fontId="57" fillId="34" borderId="96" xfId="59" applyNumberFormat="1" applyFont="1" applyFill="1" applyBorder="1" applyAlignment="1">
      <alignment horizontal="right" vertical="center"/>
      <protection/>
    </xf>
    <xf numFmtId="0" fontId="18" fillId="0" borderId="53" xfId="0" applyFont="1" applyBorder="1" applyAlignment="1">
      <alignment horizontal="right"/>
    </xf>
    <xf numFmtId="0" fontId="18" fillId="34" borderId="73" xfId="59" applyFont="1" applyFill="1" applyBorder="1" applyAlignment="1">
      <alignment vertical="center"/>
      <protection/>
    </xf>
    <xf numFmtId="3" fontId="15" fillId="34" borderId="97" xfId="59" applyNumberFormat="1" applyFont="1" applyFill="1" applyBorder="1" applyAlignment="1">
      <alignment vertical="center"/>
      <protection/>
    </xf>
    <xf numFmtId="0" fontId="18" fillId="34" borderId="89" xfId="59" applyFont="1" applyFill="1" applyBorder="1" applyAlignment="1">
      <alignment vertical="center"/>
      <protection/>
    </xf>
    <xf numFmtId="3" fontId="15" fillId="34" borderId="83" xfId="59" applyNumberFormat="1" applyFont="1" applyFill="1" applyBorder="1" applyAlignment="1">
      <alignment vertical="center"/>
      <protection/>
    </xf>
    <xf numFmtId="3" fontId="57" fillId="34" borderId="99" xfId="59" applyNumberFormat="1" applyFont="1" applyFill="1" applyBorder="1" applyAlignment="1">
      <alignment vertical="center"/>
      <protection/>
    </xf>
    <xf numFmtId="3" fontId="57" fillId="34" borderId="90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10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vertical="center"/>
      <protection/>
    </xf>
    <xf numFmtId="3" fontId="22" fillId="0" borderId="101" xfId="59" applyNumberFormat="1" applyFont="1" applyBorder="1">
      <alignment/>
      <protection/>
    </xf>
    <xf numFmtId="3" fontId="22" fillId="0" borderId="48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62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80" xfId="60" applyFont="1" applyFill="1" applyBorder="1" applyAlignment="1">
      <alignment vertical="center" wrapText="1"/>
      <protection/>
    </xf>
    <xf numFmtId="0" fontId="18" fillId="0" borderId="79" xfId="59" applyFont="1" applyBorder="1" applyAlignment="1">
      <alignment horizontal="right"/>
      <protection/>
    </xf>
    <xf numFmtId="0" fontId="18" fillId="0" borderId="66" xfId="59" applyFont="1" applyBorder="1" applyAlignment="1">
      <alignment horizontal="right"/>
      <protection/>
    </xf>
    <xf numFmtId="3" fontId="22" fillId="0" borderId="102" xfId="0" applyNumberFormat="1" applyFont="1" applyBorder="1" applyAlignment="1">
      <alignment/>
    </xf>
    <xf numFmtId="3" fontId="23" fillId="0" borderId="103" xfId="60" applyNumberFormat="1" applyFont="1" applyFill="1" applyBorder="1" applyAlignment="1">
      <alignment horizontal="right" vertical="center"/>
      <protection/>
    </xf>
    <xf numFmtId="3" fontId="23" fillId="0" borderId="94" xfId="60" applyNumberFormat="1" applyFont="1" applyFill="1" applyBorder="1" applyAlignment="1">
      <alignment horizontal="right" vertical="center"/>
      <protection/>
    </xf>
    <xf numFmtId="3" fontId="57" fillId="0" borderId="41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49" fontId="39" fillId="0" borderId="27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 wrapText="1"/>
    </xf>
    <xf numFmtId="3" fontId="55" fillId="0" borderId="24" xfId="0" applyNumberFormat="1" applyFont="1" applyFill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40" fillId="0" borderId="38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2" xfId="0" applyNumberFormat="1" applyFont="1" applyFill="1" applyBorder="1" applyAlignment="1">
      <alignment vertical="center"/>
    </xf>
    <xf numFmtId="3" fontId="55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0" fillId="0" borderId="22" xfId="0" applyNumberFormat="1" applyFont="1" applyFill="1" applyBorder="1" applyAlignment="1">
      <alignment horizontal="right" vertical="center"/>
    </xf>
    <xf numFmtId="49" fontId="39" fillId="0" borderId="45" xfId="0" applyNumberFormat="1" applyFont="1" applyFill="1" applyBorder="1" applyAlignment="1">
      <alignment horizontal="center" vertical="center"/>
    </xf>
    <xf numFmtId="3" fontId="40" fillId="0" borderId="44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34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22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1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69" fontId="21" fillId="0" borderId="21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2" borderId="21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2" fillId="32" borderId="22" xfId="61" applyNumberFormat="1" applyFont="1" applyFill="1" applyBorder="1" applyAlignment="1">
      <alignment horizontal="center" vertical="center"/>
      <protection/>
    </xf>
    <xf numFmtId="3" fontId="1" fillId="32" borderId="23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31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horizontal="center" vertical="center"/>
      <protection/>
    </xf>
    <xf numFmtId="3" fontId="36" fillId="32" borderId="23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31" xfId="61" applyNumberFormat="1" applyFont="1" applyFill="1" applyBorder="1" applyAlignment="1">
      <alignment vertical="center"/>
      <protection/>
    </xf>
    <xf numFmtId="0" fontId="39" fillId="0" borderId="22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5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44" fillId="0" borderId="105" xfId="0" applyNumberFormat="1" applyFont="1" applyBorder="1" applyAlignment="1">
      <alignment/>
    </xf>
    <xf numFmtId="3" fontId="49" fillId="0" borderId="105" xfId="0" applyNumberFormat="1" applyFont="1" applyBorder="1" applyAlignment="1">
      <alignment/>
    </xf>
    <xf numFmtId="3" fontId="51" fillId="0" borderId="105" xfId="0" applyNumberFormat="1" applyFont="1" applyBorder="1" applyAlignment="1">
      <alignment/>
    </xf>
    <xf numFmtId="3" fontId="53" fillId="0" borderId="105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5" fillId="0" borderId="105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18" fillId="0" borderId="54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5" xfId="58" applyNumberFormat="1" applyFont="1" applyBorder="1">
      <alignment/>
      <protection/>
    </xf>
    <xf numFmtId="3" fontId="44" fillId="0" borderId="105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vertical="center"/>
    </xf>
    <xf numFmtId="3" fontId="17" fillId="0" borderId="106" xfId="0" applyNumberFormat="1" applyFont="1" applyFill="1" applyBorder="1" applyAlignment="1">
      <alignment vertical="center"/>
    </xf>
    <xf numFmtId="3" fontId="17" fillId="0" borderId="10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vertical="center"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3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2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22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3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57" fillId="0" borderId="107" xfId="60" applyNumberFormat="1" applyFont="1" applyFill="1" applyBorder="1" applyAlignment="1">
      <alignment vertical="center"/>
      <protection/>
    </xf>
    <xf numFmtId="3" fontId="57" fillId="0" borderId="106" xfId="60" applyNumberFormat="1" applyFont="1" applyFill="1" applyBorder="1" applyAlignment="1">
      <alignment vertical="center"/>
      <protection/>
    </xf>
    <xf numFmtId="3" fontId="57" fillId="0" borderId="108" xfId="60" applyNumberFormat="1" applyFont="1" applyFill="1" applyBorder="1" applyAlignment="1">
      <alignment vertical="center"/>
      <protection/>
    </xf>
    <xf numFmtId="3" fontId="109" fillId="0" borderId="45" xfId="60" applyNumberFormat="1" applyFont="1" applyFill="1" applyBorder="1" applyAlignment="1">
      <alignment vertical="center"/>
      <protection/>
    </xf>
    <xf numFmtId="3" fontId="109" fillId="0" borderId="44" xfId="60" applyNumberFormat="1" applyFont="1" applyFill="1" applyBorder="1" applyAlignment="1">
      <alignment vertical="center"/>
      <protection/>
    </xf>
    <xf numFmtId="3" fontId="40" fillId="0" borderId="25" xfId="60" applyNumberFormat="1" applyFont="1" applyFill="1" applyBorder="1" applyAlignment="1">
      <alignment vertical="center"/>
      <protection/>
    </xf>
    <xf numFmtId="3" fontId="39" fillId="0" borderId="25" xfId="60" applyNumberFormat="1" applyFont="1" applyFill="1" applyBorder="1" applyAlignment="1">
      <alignment vertical="center"/>
      <protection/>
    </xf>
    <xf numFmtId="3" fontId="20" fillId="0" borderId="109" xfId="60" applyNumberFormat="1" applyFont="1" applyFill="1" applyBorder="1" applyAlignment="1">
      <alignment vertical="center"/>
      <protection/>
    </xf>
    <xf numFmtId="3" fontId="23" fillId="0" borderId="106" xfId="60" applyNumberFormat="1" applyFont="1" applyFill="1" applyBorder="1" applyAlignment="1">
      <alignment vertical="center"/>
      <protection/>
    </xf>
    <xf numFmtId="3" fontId="23" fillId="0" borderId="107" xfId="60" applyNumberFormat="1" applyFont="1" applyFill="1" applyBorder="1" applyAlignment="1">
      <alignment vertical="center"/>
      <protection/>
    </xf>
    <xf numFmtId="3" fontId="22" fillId="0" borderId="48" xfId="59" applyNumberFormat="1" applyFont="1" applyBorder="1" applyAlignment="1">
      <alignment vertical="center"/>
      <protection/>
    </xf>
    <xf numFmtId="0" fontId="58" fillId="0" borderId="95" xfId="59" applyFont="1" applyBorder="1" applyAlignment="1">
      <alignment horizontal="left"/>
      <protection/>
    </xf>
    <xf numFmtId="0" fontId="58" fillId="0" borderId="33" xfId="59" applyFont="1" applyBorder="1" applyAlignment="1">
      <alignment horizontal="left"/>
      <protection/>
    </xf>
    <xf numFmtId="3" fontId="58" fillId="0" borderId="48" xfId="59" applyNumberFormat="1" applyFont="1" applyFill="1" applyBorder="1">
      <alignment/>
      <protection/>
    </xf>
    <xf numFmtId="0" fontId="18" fillId="0" borderId="110" xfId="59" applyFont="1" applyBorder="1" applyAlignment="1">
      <alignment horizontal="right"/>
      <protection/>
    </xf>
    <xf numFmtId="0" fontId="58" fillId="0" borderId="80" xfId="59" applyFont="1" applyBorder="1">
      <alignment/>
      <protection/>
    </xf>
    <xf numFmtId="3" fontId="57" fillId="0" borderId="79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3" fontId="22" fillId="0" borderId="85" xfId="59" applyNumberFormat="1" applyFont="1" applyBorder="1">
      <alignment/>
      <protection/>
    </xf>
    <xf numFmtId="3" fontId="22" fillId="0" borderId="79" xfId="59" applyNumberFormat="1" applyFont="1" applyBorder="1">
      <alignment/>
      <protection/>
    </xf>
    <xf numFmtId="3" fontId="22" fillId="0" borderId="81" xfId="59" applyNumberFormat="1" applyFont="1" applyBorder="1">
      <alignment/>
      <protection/>
    </xf>
    <xf numFmtId="3" fontId="19" fillId="34" borderId="81" xfId="59" applyNumberFormat="1" applyFont="1" applyFill="1" applyBorder="1" applyAlignment="1">
      <alignment vertical="center"/>
      <protection/>
    </xf>
    <xf numFmtId="3" fontId="19" fillId="34" borderId="110" xfId="59" applyNumberFormat="1" applyFont="1" applyFill="1" applyBorder="1" applyAlignment="1">
      <alignment vertical="center"/>
      <protection/>
    </xf>
    <xf numFmtId="3" fontId="43" fillId="0" borderId="86" xfId="59" applyNumberFormat="1" applyFont="1" applyBorder="1">
      <alignment/>
      <protection/>
    </xf>
    <xf numFmtId="164" fontId="6" fillId="0" borderId="4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0" fillId="0" borderId="6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117" xfId="0" applyBorder="1" applyAlignment="1">
      <alignment/>
    </xf>
    <xf numFmtId="3" fontId="21" fillId="4" borderId="117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5" borderId="36" xfId="0" applyNumberFormat="1" applyFill="1" applyBorder="1" applyAlignment="1">
      <alignment/>
    </xf>
    <xf numFmtId="3" fontId="0" fillId="4" borderId="118" xfId="0" applyNumberFormat="1" applyFill="1" applyBorder="1" applyAlignment="1">
      <alignment/>
    </xf>
    <xf numFmtId="0" fontId="0" fillId="0" borderId="119" xfId="0" applyBorder="1" applyAlignment="1">
      <alignment/>
    </xf>
    <xf numFmtId="3" fontId="21" fillId="4" borderId="12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5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1" fillId="0" borderId="42" xfId="0" applyFont="1" applyBorder="1" applyAlignment="1">
      <alignment/>
    </xf>
    <xf numFmtId="3" fontId="21" fillId="4" borderId="46" xfId="0" applyNumberFormat="1" applyFont="1" applyFill="1" applyBorder="1" applyAlignment="1">
      <alignment/>
    </xf>
    <xf numFmtId="3" fontId="21" fillId="36" borderId="94" xfId="0" applyNumberFormat="1" applyFont="1" applyFill="1" applyBorder="1" applyAlignment="1">
      <alignment/>
    </xf>
    <xf numFmtId="3" fontId="21" fillId="35" borderId="94" xfId="0" applyNumberFormat="1" applyFont="1" applyFill="1" applyBorder="1" applyAlignment="1">
      <alignment/>
    </xf>
    <xf numFmtId="3" fontId="21" fillId="35" borderId="121" xfId="0" applyNumberFormat="1" applyFont="1" applyFill="1" applyBorder="1" applyAlignment="1">
      <alignment/>
    </xf>
    <xf numFmtId="3" fontId="21" fillId="35" borderId="107" xfId="0" applyNumberFormat="1" applyFont="1" applyFill="1" applyBorder="1" applyAlignment="1">
      <alignment/>
    </xf>
    <xf numFmtId="3" fontId="21" fillId="4" borderId="41" xfId="0" applyNumberFormat="1" applyFont="1" applyFill="1" applyBorder="1" applyAlignment="1">
      <alignment/>
    </xf>
    <xf numFmtId="0" fontId="18" fillId="0" borderId="109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22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8" fillId="0" borderId="115" xfId="0" applyFont="1" applyBorder="1" applyAlignment="1">
      <alignment horizontal="center" vertical="center"/>
    </xf>
    <xf numFmtId="0" fontId="21" fillId="0" borderId="73" xfId="0" applyFont="1" applyBorder="1" applyAlignment="1">
      <alignment/>
    </xf>
    <xf numFmtId="3" fontId="21" fillId="4" borderId="73" xfId="0" applyNumberFormat="1" applyFont="1" applyFill="1" applyBorder="1" applyAlignment="1">
      <alignment/>
    </xf>
    <xf numFmtId="3" fontId="21" fillId="36" borderId="123" xfId="0" applyNumberFormat="1" applyFont="1" applyFill="1" applyBorder="1" applyAlignment="1">
      <alignment horizontal="right"/>
    </xf>
    <xf numFmtId="3" fontId="21" fillId="4" borderId="97" xfId="0" applyNumberFormat="1" applyFon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3" fontId="13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" fontId="13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8" fillId="0" borderId="115" xfId="0" applyFont="1" applyBorder="1" applyAlignment="1">
      <alignment horizontal="center"/>
    </xf>
    <xf numFmtId="0" fontId="21" fillId="0" borderId="97" xfId="0" applyFont="1" applyBorder="1" applyAlignment="1">
      <alignment/>
    </xf>
    <xf numFmtId="3" fontId="21" fillId="36" borderId="74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0" fillId="0" borderId="36" xfId="0" applyBorder="1" applyAlignment="1">
      <alignment horizontal="right"/>
    </xf>
    <xf numFmtId="0" fontId="0" fillId="0" borderId="1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5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5" borderId="94" xfId="0" applyNumberFormat="1" applyFill="1" applyBorder="1" applyAlignment="1">
      <alignment/>
    </xf>
    <xf numFmtId="3" fontId="0" fillId="35" borderId="107" xfId="0" applyNumberFormat="1" applyFill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26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3" fontId="22" fillId="0" borderId="62" xfId="59" applyNumberFormat="1" applyFont="1" applyBorder="1" applyAlignment="1">
      <alignment vertical="center"/>
      <protection/>
    </xf>
    <xf numFmtId="3" fontId="22" fillId="0" borderId="102" xfId="59" applyNumberFormat="1" applyFont="1" applyBorder="1" applyAlignment="1">
      <alignment vertical="center"/>
      <protection/>
    </xf>
    <xf numFmtId="3" fontId="22" fillId="0" borderId="101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4" xfId="59" applyNumberFormat="1" applyFont="1" applyFill="1" applyBorder="1" applyAlignment="1">
      <alignment horizontal="right" vertical="center"/>
      <protection/>
    </xf>
    <xf numFmtId="3" fontId="19" fillId="34" borderId="89" xfId="59" applyNumberFormat="1" applyFont="1" applyFill="1" applyBorder="1" applyAlignment="1">
      <alignment vertical="center"/>
      <protection/>
    </xf>
    <xf numFmtId="3" fontId="19" fillId="34" borderId="96" xfId="59" applyNumberFormat="1" applyFont="1" applyFill="1" applyBorder="1" applyAlignment="1">
      <alignment vertical="center"/>
      <protection/>
    </xf>
    <xf numFmtId="0" fontId="22" fillId="34" borderId="76" xfId="59" applyFont="1" applyFill="1" applyBorder="1" applyAlignment="1">
      <alignment horizontal="left" vertical="center"/>
      <protection/>
    </xf>
    <xf numFmtId="3" fontId="15" fillId="34" borderId="97" xfId="59" applyNumberFormat="1" applyFont="1" applyFill="1" applyBorder="1" applyAlignment="1">
      <alignment horizontal="right" vertical="center"/>
      <protection/>
    </xf>
    <xf numFmtId="3" fontId="15" fillId="34" borderId="98" xfId="59" applyNumberFormat="1" applyFont="1" applyFill="1" applyBorder="1" applyAlignment="1">
      <alignment horizontal="right" vertical="center"/>
      <protection/>
    </xf>
    <xf numFmtId="3" fontId="57" fillId="34" borderId="89" xfId="59" applyNumberFormat="1" applyFont="1" applyFill="1" applyBorder="1" applyAlignment="1">
      <alignment horizontal="right" vertical="center"/>
      <protection/>
    </xf>
    <xf numFmtId="3" fontId="57" fillId="34" borderId="74" xfId="59" applyNumberFormat="1" applyFont="1" applyFill="1" applyBorder="1" applyAlignment="1">
      <alignment horizontal="right" vertical="center"/>
      <protection/>
    </xf>
    <xf numFmtId="3" fontId="57" fillId="34" borderId="75" xfId="59" applyNumberFormat="1" applyFont="1" applyFill="1" applyBorder="1" applyAlignment="1">
      <alignment vertical="center"/>
      <protection/>
    </xf>
    <xf numFmtId="3" fontId="57" fillId="34" borderId="76" xfId="59" applyNumberFormat="1" applyFont="1" applyFill="1" applyBorder="1" applyAlignment="1">
      <alignment vertical="center"/>
      <protection/>
    </xf>
    <xf numFmtId="3" fontId="57" fillId="34" borderId="74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7" xfId="59" applyFont="1" applyBorder="1" applyAlignment="1">
      <alignment horizontal="center" vertical="center"/>
      <protection/>
    </xf>
    <xf numFmtId="3" fontId="15" fillId="0" borderId="91" xfId="59" applyNumberFormat="1" applyFont="1" applyBorder="1">
      <alignment/>
      <protection/>
    </xf>
    <xf numFmtId="3" fontId="43" fillId="0" borderId="99" xfId="59" applyNumberFormat="1" applyFont="1" applyBorder="1">
      <alignment/>
      <protection/>
    </xf>
    <xf numFmtId="3" fontId="57" fillId="0" borderId="72" xfId="59" applyNumberFormat="1" applyFont="1" applyBorder="1" applyAlignment="1">
      <alignment horizontal="right" vertical="center"/>
      <protection/>
    </xf>
    <xf numFmtId="0" fontId="15" fillId="0" borderId="128" xfId="59" applyFont="1" applyBorder="1" applyAlignment="1">
      <alignment horizontal="right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29" xfId="60" applyFont="1" applyFill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1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right" vertical="center"/>
      <protection/>
    </xf>
    <xf numFmtId="3" fontId="19" fillId="0" borderId="81" xfId="59" applyNumberFormat="1" applyFont="1" applyBorder="1" applyAlignment="1">
      <alignment horizontal="right" vertical="center"/>
      <protection/>
    </xf>
    <xf numFmtId="3" fontId="19" fillId="0" borderId="80" xfId="59" applyNumberFormat="1" applyFont="1" applyBorder="1" applyAlignment="1">
      <alignment vertical="center"/>
      <protection/>
    </xf>
    <xf numFmtId="3" fontId="19" fillId="0" borderId="69" xfId="59" applyNumberFormat="1" applyFont="1" applyBorder="1" applyAlignment="1">
      <alignment vertical="center"/>
      <protection/>
    </xf>
    <xf numFmtId="3" fontId="58" fillId="0" borderId="80" xfId="59" applyNumberFormat="1" applyFont="1" applyBorder="1" applyAlignment="1">
      <alignment vertical="center"/>
      <protection/>
    </xf>
    <xf numFmtId="3" fontId="23" fillId="0" borderId="80" xfId="59" applyNumberFormat="1" applyFont="1" applyFill="1" applyBorder="1" applyAlignment="1">
      <alignment vertical="center"/>
      <protection/>
    </xf>
    <xf numFmtId="3" fontId="15" fillId="0" borderId="83" xfId="59" applyNumberFormat="1" applyFont="1" applyBorder="1" applyAlignment="1">
      <alignment vertical="center"/>
      <protection/>
    </xf>
    <xf numFmtId="3" fontId="57" fillId="0" borderId="79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3" fontId="57" fillId="0" borderId="85" xfId="59" applyNumberFormat="1" applyFont="1" applyBorder="1" applyAlignment="1">
      <alignment vertical="center"/>
      <protection/>
    </xf>
    <xf numFmtId="0" fontId="19" fillId="0" borderId="103" xfId="59" applyFont="1" applyBorder="1" applyAlignment="1">
      <alignment horizontal="center"/>
      <protection/>
    </xf>
    <xf numFmtId="0" fontId="19" fillId="0" borderId="103" xfId="59" applyFont="1" applyBorder="1" applyAlignment="1">
      <alignment horizontal="center" vertical="center"/>
      <protection/>
    </xf>
    <xf numFmtId="3" fontId="19" fillId="34" borderId="97" xfId="59" applyNumberFormat="1" applyFont="1" applyFill="1" applyBorder="1" applyAlignment="1">
      <alignment horizontal="right" vertical="center"/>
      <protection/>
    </xf>
    <xf numFmtId="3" fontId="57" fillId="34" borderId="76" xfId="59" applyNumberFormat="1" applyFont="1" applyFill="1" applyBorder="1" applyAlignment="1">
      <alignment horizontal="right"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right" vertical="center"/>
      <protection/>
    </xf>
    <xf numFmtId="0" fontId="23" fillId="0" borderId="33" xfId="59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right" vertical="center"/>
      <protection/>
    </xf>
    <xf numFmtId="3" fontId="19" fillId="0" borderId="130" xfId="59" applyNumberFormat="1" applyFont="1" applyBorder="1" applyAlignment="1">
      <alignment horizontal="right" vertical="center"/>
      <protection/>
    </xf>
    <xf numFmtId="3" fontId="19" fillId="0" borderId="131" xfId="59" applyNumberFormat="1" applyFont="1" applyBorder="1" applyAlignment="1">
      <alignment horizontal="right" vertical="center"/>
      <protection/>
    </xf>
    <xf numFmtId="3" fontId="40" fillId="0" borderId="124" xfId="60" applyNumberFormat="1" applyFont="1" applyFill="1" applyBorder="1" applyAlignment="1">
      <alignment vertical="center" wrapText="1"/>
      <protection/>
    </xf>
    <xf numFmtId="3" fontId="40" fillId="0" borderId="54" xfId="60" applyNumberFormat="1" applyFont="1" applyFill="1" applyBorder="1" applyAlignment="1">
      <alignment vertical="center" wrapText="1"/>
      <protection/>
    </xf>
    <xf numFmtId="49" fontId="39" fillId="0" borderId="29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0" fontId="18" fillId="0" borderId="72" xfId="59" applyFont="1" applyBorder="1">
      <alignment/>
      <protection/>
    </xf>
    <xf numFmtId="3" fontId="19" fillId="0" borderId="26" xfId="59" applyNumberFormat="1" applyFont="1" applyBorder="1" applyAlignment="1">
      <alignment horizontal="right" vertical="center"/>
      <protection/>
    </xf>
    <xf numFmtId="0" fontId="22" fillId="34" borderId="89" xfId="59" applyFont="1" applyFill="1" applyBorder="1" applyAlignment="1">
      <alignment horizontal="left" vertical="center" wrapText="1"/>
      <protection/>
    </xf>
    <xf numFmtId="0" fontId="22" fillId="0" borderId="77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8" xfId="59" applyNumberFormat="1" applyFont="1" applyBorder="1" applyAlignment="1">
      <alignment vertical="center"/>
      <protection/>
    </xf>
    <xf numFmtId="3" fontId="57" fillId="0" borderId="132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4" borderId="37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33" xfId="0" applyBorder="1" applyAlignment="1">
      <alignment horizontal="left"/>
    </xf>
    <xf numFmtId="3" fontId="0" fillId="35" borderId="36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4" borderId="119" xfId="0" applyNumberFormat="1" applyFill="1" applyBorder="1" applyAlignment="1">
      <alignment/>
    </xf>
    <xf numFmtId="3" fontId="0" fillId="4" borderId="125" xfId="0" applyNumberFormat="1" applyFill="1" applyBorder="1" applyAlignment="1">
      <alignment/>
    </xf>
    <xf numFmtId="3" fontId="0" fillId="35" borderId="134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3" xfId="0" applyNumberFormat="1" applyFill="1" applyBorder="1" applyAlignment="1">
      <alignment/>
    </xf>
    <xf numFmtId="3" fontId="0" fillId="4" borderId="136" xfId="0" applyNumberFormat="1" applyFill="1" applyBorder="1" applyAlignment="1">
      <alignment/>
    </xf>
    <xf numFmtId="0" fontId="20" fillId="0" borderId="22" xfId="57" applyFont="1" applyBorder="1" applyAlignment="1">
      <alignment horizontal="center" vertical="center"/>
      <protection/>
    </xf>
    <xf numFmtId="3" fontId="40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 applyAlignment="1">
      <alignment vertical="center"/>
      <protection/>
    </xf>
    <xf numFmtId="3" fontId="45" fillId="0" borderId="22" xfId="58" applyNumberFormat="1" applyFont="1" applyBorder="1" applyAlignment="1">
      <alignment vertical="center"/>
      <protection/>
    </xf>
    <xf numFmtId="3" fontId="44" fillId="0" borderId="22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2" xfId="42" applyNumberFormat="1" applyFont="1" applyBorder="1" applyAlignment="1">
      <alignment horizontal="right" vertical="center"/>
    </xf>
    <xf numFmtId="0" fontId="26" fillId="0" borderId="22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0" fillId="0" borderId="10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18" fillId="37" borderId="92" xfId="0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horizontal="right"/>
    </xf>
    <xf numFmtId="3" fontId="0" fillId="35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0" fontId="18" fillId="0" borderId="137" xfId="0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18" fillId="37" borderId="92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164" fontId="16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3" fontId="20" fillId="0" borderId="23" xfId="62" applyNumberFormat="1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/>
      <protection/>
    </xf>
    <xf numFmtId="164" fontId="14" fillId="0" borderId="22" xfId="62" applyNumberFormat="1" applyFont="1" applyFill="1" applyBorder="1" applyAlignment="1">
      <alignment horizontal="right" vertical="center"/>
      <protection/>
    </xf>
    <xf numFmtId="164" fontId="14" fillId="0" borderId="22" xfId="62" applyNumberFormat="1" applyFont="1" applyFill="1" applyBorder="1" applyAlignment="1">
      <alignment horizontal="right" vertical="center" wrapText="1"/>
      <protection/>
    </xf>
    <xf numFmtId="164" fontId="15" fillId="0" borderId="23" xfId="62" applyNumberFormat="1" applyFont="1" applyBorder="1" applyAlignment="1">
      <alignment horizontal="right" vertical="center" wrapText="1"/>
      <protection/>
    </xf>
    <xf numFmtId="164" fontId="14" fillId="33" borderId="22" xfId="62" applyNumberFormat="1" applyFont="1" applyFill="1" applyBorder="1" applyAlignment="1">
      <alignment horizontal="right" vertical="center"/>
      <protection/>
    </xf>
    <xf numFmtId="164" fontId="14" fillId="33" borderId="22" xfId="62" applyNumberFormat="1" applyFont="1" applyFill="1" applyBorder="1" applyAlignment="1">
      <alignment horizontal="right" vertical="center" wrapText="1"/>
      <protection/>
    </xf>
    <xf numFmtId="0" fontId="20" fillId="0" borderId="29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34" xfId="62" applyNumberFormat="1" applyFont="1" applyBorder="1" applyAlignment="1">
      <alignment horizontal="right" vertical="center" wrapText="1"/>
      <protection/>
    </xf>
    <xf numFmtId="0" fontId="14" fillId="33" borderId="0" xfId="62" applyFont="1" applyFill="1" applyAlignment="1">
      <alignment vertical="center"/>
      <protection/>
    </xf>
    <xf numFmtId="164" fontId="110" fillId="0" borderId="22" xfId="0" applyNumberFormat="1" applyFont="1" applyBorder="1" applyAlignment="1">
      <alignment vertical="center"/>
    </xf>
    <xf numFmtId="0" fontId="67" fillId="0" borderId="22" xfId="0" applyFont="1" applyBorder="1" applyAlignment="1">
      <alignment horizontal="right" vertical="center"/>
    </xf>
    <xf numFmtId="0" fontId="67" fillId="0" borderId="22" xfId="0" applyFont="1" applyBorder="1" applyAlignment="1">
      <alignment horizontal="right" vertical="center" wrapText="1"/>
    </xf>
    <xf numFmtId="164" fontId="67" fillId="0" borderId="22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52" xfId="59" applyFont="1" applyBorder="1" applyAlignment="1">
      <alignment horizontal="lef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58" fillId="0" borderId="79" xfId="59" applyFont="1" applyBorder="1" applyAlignment="1">
      <alignment horizontal="left"/>
      <protection/>
    </xf>
    <xf numFmtId="0" fontId="58" fillId="0" borderId="80" xfId="59" applyFont="1" applyBorder="1" applyAlignment="1">
      <alignment horizontal="left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80" xfId="59" applyFont="1" applyBorder="1" applyAlignment="1">
      <alignment horizontal="left" vertical="center" wrapText="1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3" fontId="22" fillId="0" borderId="80" xfId="59" applyNumberFormat="1" applyFont="1" applyFill="1" applyBorder="1" applyAlignment="1">
      <alignment vertical="center"/>
      <protection/>
    </xf>
    <xf numFmtId="3" fontId="19" fillId="0" borderId="54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6" fillId="0" borderId="44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38" borderId="21" xfId="0" applyFont="1" applyFill="1" applyBorder="1" applyAlignment="1">
      <alignment vertical="center"/>
    </xf>
    <xf numFmtId="0" fontId="21" fillId="38" borderId="22" xfId="0" applyFont="1" applyFill="1" applyBorder="1" applyAlignment="1">
      <alignment/>
    </xf>
    <xf numFmtId="49" fontId="62" fillId="39" borderId="21" xfId="0" applyNumberFormat="1" applyFont="1" applyFill="1" applyBorder="1" applyAlignment="1">
      <alignment vertical="center" wrapText="1"/>
    </xf>
    <xf numFmtId="0" fontId="62" fillId="39" borderId="22" xfId="0" applyFont="1" applyFill="1" applyBorder="1" applyAlignment="1">
      <alignment/>
    </xf>
    <xf numFmtId="49" fontId="69" fillId="0" borderId="21" xfId="0" applyNumberFormat="1" applyFont="1" applyBorder="1" applyAlignment="1">
      <alignment wrapText="1"/>
    </xf>
    <xf numFmtId="0" fontId="69" fillId="0" borderId="22" xfId="0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33" borderId="22" xfId="0" applyFont="1" applyFill="1" applyBorder="1" applyAlignment="1">
      <alignment/>
    </xf>
    <xf numFmtId="49" fontId="13" fillId="39" borderId="21" xfId="0" applyNumberFormat="1" applyFont="1" applyFill="1" applyBorder="1" applyAlignment="1">
      <alignment vertical="center" wrapText="1"/>
    </xf>
    <xf numFmtId="0" fontId="13" fillId="39" borderId="22" xfId="0" applyFont="1" applyFill="1" applyBorder="1" applyAlignment="1">
      <alignment/>
    </xf>
    <xf numFmtId="0" fontId="21" fillId="38" borderId="21" xfId="0" applyFont="1" applyFill="1" applyBorder="1" applyAlignment="1">
      <alignment vertical="center" wrapText="1"/>
    </xf>
    <xf numFmtId="0" fontId="21" fillId="38" borderId="22" xfId="0" applyFont="1" applyFill="1" applyBorder="1" applyAlignment="1">
      <alignment vertical="center"/>
    </xf>
    <xf numFmtId="0" fontId="69" fillId="0" borderId="21" xfId="0" applyFont="1" applyBorder="1" applyAlignment="1">
      <alignment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49" fontId="70" fillId="0" borderId="21" xfId="0" applyNumberFormat="1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0" borderId="22" xfId="0" applyFont="1" applyFill="1" applyBorder="1" applyAlignment="1">
      <alignment/>
    </xf>
    <xf numFmtId="0" fontId="21" fillId="5" borderId="21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vertical="center"/>
    </xf>
    <xf numFmtId="49" fontId="69" fillId="0" borderId="21" xfId="0" applyNumberFormat="1" applyFont="1" applyBorder="1" applyAlignment="1">
      <alignment vertical="center" wrapText="1"/>
    </xf>
    <xf numFmtId="0" fontId="69" fillId="0" borderId="22" xfId="0" applyFont="1" applyBorder="1" applyAlignment="1">
      <alignment vertical="center"/>
    </xf>
    <xf numFmtId="0" fontId="22" fillId="0" borderId="52" xfId="59" applyFont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67" fillId="0" borderId="22" xfId="0" applyFont="1" applyBorder="1" applyAlignment="1">
      <alignment vertical="center" wrapText="1"/>
    </xf>
    <xf numFmtId="3" fontId="0" fillId="0" borderId="54" xfId="0" applyNumberFormat="1" applyBorder="1" applyAlignment="1">
      <alignment/>
    </xf>
    <xf numFmtId="3" fontId="0" fillId="4" borderId="111" xfId="0" applyNumberFormat="1" applyFill="1" applyBorder="1" applyAlignment="1">
      <alignment/>
    </xf>
    <xf numFmtId="3" fontId="22" fillId="0" borderId="61" xfId="59" applyNumberFormat="1" applyFont="1" applyBorder="1" applyAlignment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39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39" fillId="0" borderId="22" xfId="0" applyFont="1" applyBorder="1" applyAlignment="1">
      <alignment horizontal="left" wrapText="1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8" fillId="0" borderId="0" xfId="58" applyFont="1" applyAlignment="1">
      <alignment horizontal="right" vertical="center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0" fontId="60" fillId="0" borderId="134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10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textRotation="90" wrapText="1"/>
    </xf>
    <xf numFmtId="49" fontId="40" fillId="0" borderId="21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6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43" fillId="0" borderId="119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5" xfId="0" applyNumberFormat="1" applyFont="1" applyFill="1" applyBorder="1" applyAlignment="1">
      <alignment horizontal="left" vertical="center"/>
    </xf>
    <xf numFmtId="49" fontId="43" fillId="0" borderId="27" xfId="0" applyNumberFormat="1" applyFont="1" applyFill="1" applyBorder="1" applyAlignment="1">
      <alignment horizontal="left" vertical="center"/>
    </xf>
    <xf numFmtId="49" fontId="43" fillId="0" borderId="24" xfId="0" applyNumberFormat="1" applyFont="1" applyFill="1" applyBorder="1" applyAlignment="1">
      <alignment horizontal="left" vertical="center"/>
    </xf>
    <xf numFmtId="49" fontId="43" fillId="0" borderId="117" xfId="0" applyNumberFormat="1" applyFont="1" applyFill="1" applyBorder="1" applyAlignment="1">
      <alignment horizontal="left" vertical="center"/>
    </xf>
    <xf numFmtId="49" fontId="43" fillId="0" borderId="140" xfId="0" applyNumberFormat="1" applyFont="1" applyFill="1" applyBorder="1" applyAlignment="1">
      <alignment horizontal="left" vertical="center"/>
    </xf>
    <xf numFmtId="49" fontId="43" fillId="0" borderId="143" xfId="0" applyNumberFormat="1" applyFont="1" applyFill="1" applyBorder="1" applyAlignment="1">
      <alignment horizontal="left" vertical="center"/>
    </xf>
    <xf numFmtId="0" fontId="57" fillId="0" borderId="120" xfId="60" applyFont="1" applyFill="1" applyBorder="1" applyAlignment="1">
      <alignment horizontal="left" vertical="center"/>
      <protection/>
    </xf>
    <xf numFmtId="0" fontId="57" fillId="0" borderId="28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6" xfId="60" applyFont="1" applyFill="1" applyBorder="1" applyAlignment="1">
      <alignment horizontal="left" vertical="center"/>
      <protection/>
    </xf>
    <xf numFmtId="0" fontId="23" fillId="0" borderId="103" xfId="60" applyFont="1" applyFill="1" applyBorder="1" applyAlignment="1">
      <alignment horizontal="left" vertical="center"/>
      <protection/>
    </xf>
    <xf numFmtId="0" fontId="23" fillId="0" borderId="108" xfId="60" applyFont="1" applyFill="1" applyBorder="1" applyAlignment="1">
      <alignment horizontal="left" vertical="center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23" fillId="0" borderId="46" xfId="60" applyFont="1" applyFill="1" applyBorder="1" applyAlignment="1">
      <alignment horizontal="left" vertical="center" wrapText="1"/>
      <protection/>
    </xf>
    <xf numFmtId="0" fontId="23" fillId="0" borderId="103" xfId="60" applyFont="1" applyFill="1" applyBorder="1" applyAlignment="1">
      <alignment horizontal="left" vertical="center" wrapText="1"/>
      <protection/>
    </xf>
    <xf numFmtId="0" fontId="23" fillId="0" borderId="108" xfId="60" applyFont="1" applyFill="1" applyBorder="1" applyAlignment="1">
      <alignment horizontal="left" vertical="center" wrapText="1"/>
      <protection/>
    </xf>
    <xf numFmtId="0" fontId="20" fillId="0" borderId="78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30" xfId="60" applyFont="1" applyFill="1" applyBorder="1" applyAlignment="1">
      <alignment horizontal="center" vertical="center"/>
      <protection/>
    </xf>
    <xf numFmtId="49" fontId="20" fillId="0" borderId="136" xfId="60" applyNumberFormat="1" applyFont="1" applyFill="1" applyBorder="1" applyAlignment="1">
      <alignment horizontal="center" vertical="center"/>
      <protection/>
    </xf>
    <xf numFmtId="49" fontId="20" fillId="0" borderId="124" xfId="60" applyNumberFormat="1" applyFont="1" applyFill="1" applyBorder="1" applyAlignment="1">
      <alignment horizontal="center" vertical="center"/>
      <protection/>
    </xf>
    <xf numFmtId="49" fontId="20" fillId="0" borderId="144" xfId="60" applyNumberFormat="1" applyFont="1" applyFill="1" applyBorder="1" applyAlignment="1">
      <alignment horizontal="center" vertical="center"/>
      <protection/>
    </xf>
    <xf numFmtId="0" fontId="15" fillId="0" borderId="103" xfId="60" applyFont="1" applyFill="1" applyBorder="1" applyAlignment="1">
      <alignment horizontal="center" vertical="center"/>
      <protection/>
    </xf>
    <xf numFmtId="0" fontId="15" fillId="0" borderId="108" xfId="60" applyFont="1" applyFill="1" applyBorder="1" applyAlignment="1">
      <alignment horizontal="center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7" fillId="0" borderId="111" xfId="60" applyFont="1" applyFill="1" applyBorder="1" applyAlignment="1">
      <alignment horizontal="center" vertical="center" wrapText="1"/>
      <protection/>
    </xf>
    <xf numFmtId="0" fontId="17" fillId="0" borderId="146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vertical="center" wrapText="1"/>
      <protection/>
    </xf>
    <xf numFmtId="0" fontId="22" fillId="0" borderId="33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 vertical="center" wrapText="1"/>
      <protection/>
    </xf>
    <xf numFmtId="0" fontId="22" fillId="0" borderId="56" xfId="59" applyFont="1" applyBorder="1" applyAlignment="1">
      <alignment horizontal="left" vertical="center" wrapText="1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3" fontId="22" fillId="0" borderId="62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 applyAlignment="1">
      <alignment horizontal="right" vertical="center"/>
      <protection/>
    </xf>
    <xf numFmtId="3" fontId="15" fillId="0" borderId="148" xfId="59" applyNumberFormat="1" applyFont="1" applyBorder="1" applyAlignment="1">
      <alignment horizontal="right" vertical="center"/>
      <protection/>
    </xf>
    <xf numFmtId="3" fontId="15" fillId="0" borderId="149" xfId="59" applyNumberFormat="1" applyFont="1" applyBorder="1" applyAlignment="1">
      <alignment horizontal="right" vertical="center"/>
      <protection/>
    </xf>
    <xf numFmtId="3" fontId="15" fillId="0" borderId="150" xfId="59" applyNumberFormat="1" applyFont="1" applyBorder="1" applyAlignment="1">
      <alignment horizontal="right" vertical="center"/>
      <protection/>
    </xf>
    <xf numFmtId="3" fontId="57" fillId="0" borderId="128" xfId="59" applyNumberFormat="1" applyFont="1" applyBorder="1" applyAlignment="1">
      <alignment horizontal="right" vertical="center"/>
      <protection/>
    </xf>
    <xf numFmtId="3" fontId="57" fillId="0" borderId="72" xfId="59" applyNumberFormat="1" applyFont="1" applyBorder="1" applyAlignment="1">
      <alignment horizontal="right" vertical="center"/>
      <protection/>
    </xf>
    <xf numFmtId="3" fontId="57" fillId="0" borderId="151" xfId="59" applyNumberFormat="1" applyFont="1" applyBorder="1" applyAlignment="1">
      <alignment horizontal="right" vertical="center"/>
      <protection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7" fillId="0" borderId="65" xfId="60" applyFont="1" applyFill="1" applyBorder="1" applyAlignment="1">
      <alignment horizontal="center" vertical="center" wrapText="1"/>
      <protection/>
    </xf>
    <xf numFmtId="0" fontId="57" fillId="0" borderId="49" xfId="60" applyFont="1" applyFill="1" applyBorder="1" applyAlignment="1">
      <alignment horizontal="center" vertical="center" wrapText="1"/>
      <protection/>
    </xf>
    <xf numFmtId="0" fontId="57" fillId="0" borderId="68" xfId="60" applyFont="1" applyFill="1" applyBorder="1" applyAlignment="1">
      <alignment horizontal="center" vertical="center" wrapText="1"/>
      <protection/>
    </xf>
    <xf numFmtId="0" fontId="57" fillId="0" borderId="147" xfId="60" applyFont="1" applyFill="1" applyBorder="1" applyAlignment="1">
      <alignment horizontal="center" vertical="center" wrapText="1"/>
      <protection/>
    </xf>
    <xf numFmtId="0" fontId="57" fillId="0" borderId="33" xfId="60" applyFont="1" applyFill="1" applyBorder="1" applyAlignment="1">
      <alignment horizontal="center" vertical="center" wrapText="1"/>
      <protection/>
    </xf>
    <xf numFmtId="0" fontId="57" fillId="0" borderId="152" xfId="60" applyFont="1" applyFill="1" applyBorder="1" applyAlignment="1">
      <alignment horizontal="center" vertical="center" wrapText="1"/>
      <protection/>
    </xf>
    <xf numFmtId="3" fontId="15" fillId="0" borderId="145" xfId="59" applyNumberFormat="1" applyFont="1" applyBorder="1" applyAlignment="1">
      <alignment horizontal="right" vertical="center"/>
      <protection/>
    </xf>
    <xf numFmtId="3" fontId="15" fillId="0" borderId="111" xfId="59" applyNumberFormat="1" applyFont="1" applyBorder="1" applyAlignment="1">
      <alignment horizontal="right" vertical="center"/>
      <protection/>
    </xf>
    <xf numFmtId="3" fontId="22" fillId="0" borderId="62" xfId="59" applyNumberFormat="1" applyFont="1" applyBorder="1" applyAlignment="1">
      <alignment horizontal="center" vertical="center"/>
      <protection/>
    </xf>
    <xf numFmtId="3" fontId="22" fillId="0" borderId="61" xfId="59" applyNumberFormat="1" applyFont="1" applyBorder="1" applyAlignment="1">
      <alignment horizontal="center" vertical="center"/>
      <protection/>
    </xf>
    <xf numFmtId="3" fontId="22" fillId="0" borderId="48" xfId="59" applyNumberFormat="1" applyFont="1" applyBorder="1" applyAlignment="1">
      <alignment horizontal="center" vertical="center"/>
      <protection/>
    </xf>
    <xf numFmtId="0" fontId="22" fillId="0" borderId="87" xfId="59" applyFont="1" applyBorder="1" applyAlignment="1">
      <alignment horizontal="left" wrapText="1"/>
      <protection/>
    </xf>
    <xf numFmtId="0" fontId="22" fillId="0" borderId="56" xfId="59" applyFont="1" applyBorder="1" applyAlignment="1">
      <alignment horizontal="left" wrapText="1"/>
      <protection/>
    </xf>
    <xf numFmtId="0" fontId="22" fillId="0" borderId="5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5" fillId="0" borderId="146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0" fontId="57" fillId="34" borderId="89" xfId="59" applyFont="1" applyFill="1" applyBorder="1" applyAlignment="1">
      <alignment vertical="center"/>
      <protection/>
    </xf>
    <xf numFmtId="0" fontId="57" fillId="34" borderId="153" xfId="59" applyFont="1" applyFill="1" applyBorder="1" applyAlignment="1">
      <alignment vertical="center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0" fontId="57" fillId="0" borderId="102" xfId="60" applyFont="1" applyFill="1" applyBorder="1" applyAlignment="1">
      <alignment horizontal="center" vertical="center" wrapText="1"/>
      <protection/>
    </xf>
    <xf numFmtId="0" fontId="57" fillId="0" borderId="48" xfId="60" applyFont="1" applyFill="1" applyBorder="1" applyAlignment="1">
      <alignment horizontal="center" vertical="center" wrapText="1"/>
      <protection/>
    </xf>
    <xf numFmtId="3" fontId="15" fillId="0" borderId="145" xfId="59" applyNumberFormat="1" applyFont="1" applyBorder="1" applyAlignment="1">
      <alignment horizontal="center" vertical="center"/>
      <protection/>
    </xf>
    <xf numFmtId="3" fontId="15" fillId="0" borderId="111" xfId="59" applyNumberFormat="1" applyFont="1" applyBorder="1" applyAlignment="1">
      <alignment horizontal="center" vertical="center"/>
      <protection/>
    </xf>
    <xf numFmtId="3" fontId="15" fillId="0" borderId="82" xfId="59" applyNumberFormat="1" applyFont="1" applyBorder="1" applyAlignment="1">
      <alignment horizontal="center" vertical="center"/>
      <protection/>
    </xf>
    <xf numFmtId="3" fontId="22" fillId="0" borderId="62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18" fillId="0" borderId="49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8" xfId="0" applyFont="1" applyBorder="1" applyAlignment="1">
      <alignment/>
    </xf>
    <xf numFmtId="3" fontId="15" fillId="0" borderId="154" xfId="59" applyNumberFormat="1" applyFont="1" applyBorder="1" applyAlignment="1">
      <alignment horizontal="righ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80" xfId="59" applyFont="1" applyBorder="1" applyAlignment="1">
      <alignment horizontal="left" vertical="center"/>
      <protection/>
    </xf>
    <xf numFmtId="0" fontId="58" fillId="0" borderId="79" xfId="59" applyFont="1" applyBorder="1" applyAlignment="1">
      <alignment horizontal="left" vertical="center"/>
      <protection/>
    </xf>
    <xf numFmtId="0" fontId="58" fillId="0" borderId="8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/>
      <protection/>
    </xf>
    <xf numFmtId="0" fontId="58" fillId="0" borderId="52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22" fillId="0" borderId="66" xfId="59" applyFont="1" applyBorder="1" applyAlignment="1">
      <alignment horizontal="left"/>
      <protection/>
    </xf>
    <xf numFmtId="0" fontId="22" fillId="0" borderId="49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 wrapText="1"/>
      <protection/>
    </xf>
    <xf numFmtId="0" fontId="22" fillId="0" borderId="87" xfId="59" applyFont="1" applyBorder="1" applyAlignment="1">
      <alignment horizontal="left" vertical="center"/>
      <protection/>
    </xf>
    <xf numFmtId="0" fontId="22" fillId="0" borderId="56" xfId="59" applyFont="1" applyBorder="1" applyAlignment="1">
      <alignment horizontal="left" vertical="center"/>
      <protection/>
    </xf>
    <xf numFmtId="3" fontId="15" fillId="0" borderId="145" xfId="59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 wrapText="1"/>
      <protection/>
    </xf>
    <xf numFmtId="0" fontId="57" fillId="0" borderId="66" xfId="59" applyFont="1" applyBorder="1" applyAlignment="1">
      <alignment horizontal="center" vertical="center"/>
      <protection/>
    </xf>
    <xf numFmtId="0" fontId="18" fillId="0" borderId="49" xfId="59" applyFont="1" applyBorder="1" applyAlignment="1">
      <alignment horizontal="center" vertical="center"/>
      <protection/>
    </xf>
    <xf numFmtId="0" fontId="18" fillId="0" borderId="102" xfId="59" applyFont="1" applyBorder="1" applyAlignment="1">
      <alignment horizontal="center" vertical="center"/>
      <protection/>
    </xf>
    <xf numFmtId="0" fontId="18" fillId="0" borderId="95" xfId="59" applyFont="1" applyBorder="1" applyAlignment="1">
      <alignment horizontal="center" vertical="center"/>
      <protection/>
    </xf>
    <xf numFmtId="0" fontId="18" fillId="0" borderId="33" xfId="59" applyFont="1" applyBorder="1" applyAlignment="1">
      <alignment horizontal="center" vertical="center"/>
      <protection/>
    </xf>
    <xf numFmtId="0" fontId="18" fillId="0" borderId="48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0" fontId="22" fillId="0" borderId="58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5" fillId="0" borderId="147" xfId="59" applyNumberFormat="1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wrapText="1"/>
      <protection/>
    </xf>
    <xf numFmtId="0" fontId="22" fillId="0" borderId="33" xfId="59" applyFont="1" applyBorder="1" applyAlignment="1">
      <alignment horizontal="left" wrapText="1"/>
      <protection/>
    </xf>
    <xf numFmtId="0" fontId="23" fillId="0" borderId="80" xfId="59" applyFont="1" applyBorder="1" applyAlignment="1">
      <alignment horizontal="right" vertical="center"/>
      <protection/>
    </xf>
    <xf numFmtId="0" fontId="23" fillId="0" borderId="110" xfId="59" applyFont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15" fillId="0" borderId="155" xfId="60" applyFont="1" applyFill="1" applyBorder="1" applyAlignment="1">
      <alignment horizontal="center" vertical="center" wrapText="1"/>
      <protection/>
    </xf>
    <xf numFmtId="0" fontId="18" fillId="0" borderId="156" xfId="0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57" fillId="0" borderId="66" xfId="59" applyFont="1" applyBorder="1" applyAlignment="1">
      <alignment horizontal="center" vertical="center" wrapText="1"/>
      <protection/>
    </xf>
    <xf numFmtId="0" fontId="57" fillId="0" borderId="49" xfId="59" applyFont="1" applyBorder="1" applyAlignment="1">
      <alignment horizontal="center" vertical="center" wrapText="1"/>
      <protection/>
    </xf>
    <xf numFmtId="0" fontId="57" fillId="0" borderId="95" xfId="59" applyFont="1" applyBorder="1" applyAlignment="1">
      <alignment horizontal="center" vertical="center" wrapText="1"/>
      <protection/>
    </xf>
    <xf numFmtId="0" fontId="57" fillId="0" borderId="33" xfId="59" applyFont="1" applyBorder="1" applyAlignment="1">
      <alignment horizontal="center" vertical="center" wrapText="1"/>
      <protection/>
    </xf>
    <xf numFmtId="0" fontId="15" fillId="0" borderId="71" xfId="60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22" fillId="0" borderId="65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8" fillId="0" borderId="152" xfId="0" applyFont="1" applyBorder="1" applyAlignment="1">
      <alignment/>
    </xf>
    <xf numFmtId="0" fontId="15" fillId="34" borderId="76" xfId="59" applyFont="1" applyFill="1" applyBorder="1" applyAlignment="1">
      <alignment horizontal="right" vertical="center"/>
      <protection/>
    </xf>
    <xf numFmtId="0" fontId="18" fillId="34" borderId="89" xfId="0" applyFont="1" applyFill="1" applyBorder="1" applyAlignment="1">
      <alignment horizontal="right" vertical="center"/>
    </xf>
    <xf numFmtId="0" fontId="18" fillId="34" borderId="158" xfId="0" applyFont="1" applyFill="1" applyBorder="1" applyAlignment="1">
      <alignment horizontal="right" vertical="center"/>
    </xf>
    <xf numFmtId="0" fontId="15" fillId="34" borderId="89" xfId="59" applyFont="1" applyFill="1" applyBorder="1" applyAlignment="1">
      <alignment vertical="center"/>
      <protection/>
    </xf>
    <xf numFmtId="0" fontId="15" fillId="34" borderId="89" xfId="0" applyFont="1" applyFill="1" applyBorder="1" applyAlignment="1">
      <alignment vertical="center"/>
    </xf>
    <xf numFmtId="0" fontId="15" fillId="34" borderId="153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95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62" xfId="59" applyNumberFormat="1" applyFont="1" applyBorder="1" applyAlignment="1">
      <alignment horizontal="right" vertical="center"/>
      <protection/>
    </xf>
    <xf numFmtId="0" fontId="57" fillId="34" borderId="89" xfId="59" applyFont="1" applyFill="1" applyBorder="1" applyAlignment="1">
      <alignment/>
      <protection/>
    </xf>
    <xf numFmtId="0" fontId="57" fillId="34" borderId="153" xfId="59" applyFont="1" applyFill="1" applyBorder="1" applyAlignment="1">
      <alignment/>
      <protection/>
    </xf>
    <xf numFmtId="0" fontId="58" fillId="0" borderId="57" xfId="59" applyFont="1" applyBorder="1" applyAlignment="1">
      <alignment horizontal="left"/>
      <protection/>
    </xf>
    <xf numFmtId="0" fontId="18" fillId="0" borderId="0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57" fillId="34" borderId="79" xfId="59" applyFont="1" applyFill="1" applyBorder="1" applyAlignment="1">
      <alignment vertical="center" wrapText="1"/>
      <protection/>
    </xf>
    <xf numFmtId="0" fontId="14" fillId="34" borderId="80" xfId="0" applyFont="1" applyFill="1" applyBorder="1" applyAlignment="1">
      <alignment vertical="center" wrapText="1"/>
    </xf>
    <xf numFmtId="0" fontId="14" fillId="34" borderId="110" xfId="0" applyFont="1" applyFill="1" applyBorder="1" applyAlignment="1">
      <alignment vertical="center" wrapText="1"/>
    </xf>
    <xf numFmtId="0" fontId="22" fillId="0" borderId="58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vertical="center"/>
      <protection/>
    </xf>
    <xf numFmtId="0" fontId="22" fillId="0" borderId="58" xfId="59" applyFont="1" applyBorder="1" applyAlignment="1">
      <alignment horizontal="left"/>
      <protection/>
    </xf>
    <xf numFmtId="0" fontId="43" fillId="0" borderId="49" xfId="59" applyFont="1" applyBorder="1" applyAlignment="1">
      <alignment horizontal="center"/>
      <protection/>
    </xf>
    <xf numFmtId="0" fontId="18" fillId="0" borderId="49" xfId="0" applyFont="1" applyBorder="1" applyAlignment="1">
      <alignment horizontal="center"/>
    </xf>
    <xf numFmtId="3" fontId="19" fillId="0" borderId="78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9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57" fillId="0" borderId="80" xfId="59" applyFont="1" applyBorder="1" applyAlignment="1">
      <alignment/>
      <protection/>
    </xf>
    <xf numFmtId="0" fontId="57" fillId="0" borderId="101" xfId="59" applyFont="1" applyBorder="1" applyAlignment="1">
      <alignment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0" fontId="15" fillId="34" borderId="76" xfId="59" applyFont="1" applyFill="1" applyBorder="1" applyAlignment="1">
      <alignment horizontal="right" vertical="center" wrapText="1"/>
      <protection/>
    </xf>
    <xf numFmtId="0" fontId="18" fillId="34" borderId="89" xfId="0" applyFont="1" applyFill="1" applyBorder="1" applyAlignment="1">
      <alignment horizontal="right" vertical="center" wrapText="1"/>
    </xf>
    <xf numFmtId="0" fontId="18" fillId="34" borderId="158" xfId="0" applyFont="1" applyFill="1" applyBorder="1" applyAlignment="1">
      <alignment horizontal="right" vertical="center" wrapText="1"/>
    </xf>
    <xf numFmtId="0" fontId="43" fillId="0" borderId="159" xfId="59" applyFont="1" applyBorder="1" applyAlignment="1">
      <alignment horizontal="center"/>
      <protection/>
    </xf>
    <xf numFmtId="0" fontId="18" fillId="0" borderId="77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23" fillId="0" borderId="58" xfId="59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 vertical="center"/>
      <protection/>
    </xf>
    <xf numFmtId="0" fontId="23" fillId="0" borderId="53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0" fontId="57" fillId="0" borderId="49" xfId="59" applyFont="1" applyBorder="1" applyAlignment="1">
      <alignment horizontal="center" vertical="center"/>
      <protection/>
    </xf>
    <xf numFmtId="0" fontId="57" fillId="0" borderId="102" xfId="59" applyFont="1" applyBorder="1" applyAlignment="1">
      <alignment horizontal="center" vertical="center"/>
      <protection/>
    </xf>
    <xf numFmtId="0" fontId="57" fillId="0" borderId="95" xfId="59" applyFont="1" applyBorder="1" applyAlignment="1">
      <alignment horizontal="center" vertical="center"/>
      <protection/>
    </xf>
    <xf numFmtId="0" fontId="57" fillId="0" borderId="33" xfId="59" applyFont="1" applyBorder="1" applyAlignment="1">
      <alignment horizontal="center" vertical="center"/>
      <protection/>
    </xf>
    <xf numFmtId="0" fontId="57" fillId="0" borderId="48" xfId="59" applyFont="1" applyBorder="1" applyAlignment="1">
      <alignment horizontal="center" vertical="center"/>
      <protection/>
    </xf>
    <xf numFmtId="0" fontId="15" fillId="0" borderId="80" xfId="59" applyFont="1" applyBorder="1" applyAlignment="1">
      <alignment/>
      <protection/>
    </xf>
    <xf numFmtId="0" fontId="15" fillId="0" borderId="80" xfId="0" applyFont="1" applyBorder="1" applyAlignment="1">
      <alignment/>
    </xf>
    <xf numFmtId="0" fontId="15" fillId="0" borderId="101" xfId="0" applyFont="1" applyBorder="1" applyAlignment="1">
      <alignment/>
    </xf>
    <xf numFmtId="0" fontId="18" fillId="0" borderId="0" xfId="59" applyFont="1" applyAlignment="1">
      <alignment horizontal="center"/>
      <protection/>
    </xf>
    <xf numFmtId="3" fontId="15" fillId="0" borderId="87" xfId="59" applyNumberFormat="1" applyFont="1" applyBorder="1" applyAlignment="1">
      <alignment horizontal="right" vertical="center"/>
      <protection/>
    </xf>
    <xf numFmtId="0" fontId="22" fillId="0" borderId="58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15" fillId="34" borderId="89" xfId="59" applyFont="1" applyFill="1" applyBorder="1" applyAlignment="1">
      <alignment/>
      <protection/>
    </xf>
    <xf numFmtId="0" fontId="15" fillId="34" borderId="89" xfId="0" applyFont="1" applyFill="1" applyBorder="1" applyAlignment="1">
      <alignment/>
    </xf>
    <xf numFmtId="0" fontId="15" fillId="34" borderId="153" xfId="0" applyFont="1" applyFill="1" applyBorder="1" applyAlignment="1">
      <alignment/>
    </xf>
    <xf numFmtId="0" fontId="15" fillId="34" borderId="76" xfId="59" applyFont="1" applyFill="1" applyBorder="1" applyAlignment="1">
      <alignment horizontal="right"/>
      <protection/>
    </xf>
    <xf numFmtId="0" fontId="18" fillId="34" borderId="89" xfId="0" applyFont="1" applyFill="1" applyBorder="1" applyAlignment="1">
      <alignment horizontal="right"/>
    </xf>
    <xf numFmtId="0" fontId="18" fillId="34" borderId="158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38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5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5" fillId="0" borderId="36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2" fillId="32" borderId="22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36" fillId="32" borderId="22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45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9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22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1" fillId="0" borderId="6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65" fillId="0" borderId="160" xfId="0" applyFont="1" applyBorder="1" applyAlignment="1">
      <alignment horizontal="left" vertical="center" wrapText="1"/>
    </xf>
    <xf numFmtId="0" fontId="65" fillId="0" borderId="161" xfId="0" applyFont="1" applyBorder="1" applyAlignment="1">
      <alignment horizontal="left" vertical="center" wrapText="1"/>
    </xf>
    <xf numFmtId="0" fontId="65" fillId="0" borderId="162" xfId="0" applyFont="1" applyBorder="1" applyAlignment="1">
      <alignment horizontal="left" vertical="center" wrapText="1"/>
    </xf>
    <xf numFmtId="3" fontId="0" fillId="35" borderId="145" xfId="0" applyNumberFormat="1" applyFill="1" applyBorder="1" applyAlignment="1">
      <alignment horizontal="center"/>
    </xf>
    <xf numFmtId="3" fontId="0" fillId="35" borderId="111" xfId="0" applyNumberFormat="1" applyFill="1" applyBorder="1" applyAlignment="1">
      <alignment horizontal="center"/>
    </xf>
    <xf numFmtId="3" fontId="0" fillId="35" borderId="14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35" borderId="82" xfId="0" applyNumberFormat="1" applyFill="1" applyBorder="1" applyAlignment="1">
      <alignment horizontal="center"/>
    </xf>
    <xf numFmtId="0" fontId="65" fillId="0" borderId="160" xfId="0" applyFont="1" applyBorder="1" applyAlignment="1">
      <alignment horizontal="left" vertical="center"/>
    </xf>
    <xf numFmtId="0" fontId="65" fillId="0" borderId="161" xfId="0" applyFont="1" applyBorder="1" applyAlignment="1">
      <alignment horizontal="left" vertical="center"/>
    </xf>
    <xf numFmtId="0" fontId="65" fillId="0" borderId="162" xfId="0" applyFont="1" applyBorder="1" applyAlignment="1">
      <alignment horizontal="left" vertical="center"/>
    </xf>
    <xf numFmtId="0" fontId="64" fillId="40" borderId="91" xfId="0" applyFont="1" applyFill="1" applyBorder="1" applyAlignment="1">
      <alignment horizontal="center" vertical="center"/>
    </xf>
    <xf numFmtId="0" fontId="64" fillId="40" borderId="77" xfId="0" applyFont="1" applyFill="1" applyBorder="1" applyAlignment="1">
      <alignment horizontal="center" vertical="center"/>
    </xf>
    <xf numFmtId="0" fontId="64" fillId="40" borderId="16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45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1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39" xfId="0" applyFont="1" applyBorder="1" applyAlignment="1">
      <alignment horizontal="center" vertical="center" wrapText="1"/>
    </xf>
    <xf numFmtId="0" fontId="63" fillId="0" borderId="145" xfId="0" applyFont="1" applyBorder="1" applyAlignment="1">
      <alignment horizontal="center" vertical="center" wrapText="1"/>
    </xf>
    <xf numFmtId="0" fontId="63" fillId="0" borderId="11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63" xfId="0" applyFont="1" applyBorder="1" applyAlignment="1">
      <alignment horizontal="center"/>
    </xf>
    <xf numFmtId="0" fontId="65" fillId="0" borderId="164" xfId="0" applyFont="1" applyBorder="1" applyAlignment="1">
      <alignment horizontal="left" vertical="center" wrapText="1"/>
    </xf>
    <xf numFmtId="0" fontId="65" fillId="0" borderId="156" xfId="0" applyFont="1" applyBorder="1" applyAlignment="1">
      <alignment horizontal="left" vertical="center" wrapText="1"/>
    </xf>
    <xf numFmtId="0" fontId="65" fillId="0" borderId="65" xfId="0" applyFont="1" applyBorder="1" applyAlignment="1">
      <alignment horizontal="left" vertical="center" wrapText="1"/>
    </xf>
    <xf numFmtId="0" fontId="65" fillId="0" borderId="49" xfId="0" applyFont="1" applyBorder="1" applyAlignment="1">
      <alignment horizontal="left" vertical="center" wrapText="1"/>
    </xf>
    <xf numFmtId="0" fontId="65" fillId="0" borderId="102" xfId="0" applyFont="1" applyBorder="1" applyAlignment="1">
      <alignment horizontal="left" vertical="center" wrapText="1"/>
    </xf>
    <xf numFmtId="3" fontId="21" fillId="33" borderId="159" xfId="0" applyNumberFormat="1" applyFont="1" applyFill="1" applyBorder="1" applyAlignment="1">
      <alignment horizontal="center"/>
    </xf>
    <xf numFmtId="3" fontId="21" fillId="33" borderId="77" xfId="0" applyNumberFormat="1" applyFont="1" applyFill="1" applyBorder="1" applyAlignment="1">
      <alignment horizontal="center"/>
    </xf>
    <xf numFmtId="3" fontId="21" fillId="33" borderId="93" xfId="0" applyNumberFormat="1" applyFont="1" applyFill="1" applyBorder="1" applyAlignment="1">
      <alignment horizontal="center"/>
    </xf>
    <xf numFmtId="0" fontId="65" fillId="33" borderId="164" xfId="0" applyFont="1" applyFill="1" applyBorder="1" applyAlignment="1">
      <alignment horizontal="left" vertical="center"/>
    </xf>
    <xf numFmtId="0" fontId="65" fillId="33" borderId="156" xfId="0" applyFont="1" applyFill="1" applyBorder="1" applyAlignment="1">
      <alignment horizontal="left" vertical="center"/>
    </xf>
    <xf numFmtId="0" fontId="65" fillId="33" borderId="13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left" vertical="center" wrapText="1"/>
    </xf>
    <xf numFmtId="3" fontId="40" fillId="0" borderId="22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3" fontId="44" fillId="0" borderId="105" xfId="0" applyNumberFormat="1" applyFont="1" applyBorder="1" applyAlignment="1">
      <alignment vertical="center"/>
    </xf>
    <xf numFmtId="0" fontId="21" fillId="0" borderId="22" xfId="61" applyFont="1" applyBorder="1" applyAlignment="1">
      <alignment vertical="center"/>
      <protection/>
    </xf>
    <xf numFmtId="0" fontId="13" fillId="0" borderId="22" xfId="61" applyFont="1" applyBorder="1" applyAlignment="1">
      <alignment vertical="center"/>
      <protection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1"/>
  <sheetViews>
    <sheetView zoomScalePageLayoutView="0" workbookViewId="0" topLeftCell="A122">
      <selection activeCell="A119" sqref="A119:IV119"/>
    </sheetView>
  </sheetViews>
  <sheetFormatPr defaultColWidth="9.00390625" defaultRowHeight="12.75"/>
  <cols>
    <col min="1" max="1" width="5.125" style="142" customWidth="1"/>
    <col min="2" max="3" width="9.125" style="142" customWidth="1"/>
    <col min="4" max="4" width="5.875" style="142" customWidth="1"/>
    <col min="5" max="5" width="49.875" style="142" customWidth="1"/>
    <col min="6" max="6" width="16.125" style="142" bestFit="1" customWidth="1"/>
    <col min="7" max="7" width="13.625" style="142" customWidth="1"/>
    <col min="8" max="9" width="15.125" style="142" customWidth="1"/>
    <col min="10" max="10" width="15.875" style="142" bestFit="1" customWidth="1"/>
    <col min="11" max="11" width="9.125" style="277" customWidth="1"/>
    <col min="12" max="16384" width="9.125" style="142" customWidth="1"/>
  </cols>
  <sheetData>
    <row r="1" spans="1:10" ht="12.75">
      <c r="A1" s="82"/>
      <c r="B1" s="169"/>
      <c r="C1" s="169"/>
      <c r="D1" s="169"/>
      <c r="E1" s="170"/>
      <c r="F1" s="940" t="s">
        <v>1159</v>
      </c>
      <c r="G1" s="941"/>
      <c r="H1" s="941"/>
      <c r="I1" s="941"/>
      <c r="J1" s="941"/>
    </row>
    <row r="2" spans="1:10" ht="15.75">
      <c r="A2" s="945" t="s">
        <v>771</v>
      </c>
      <c r="B2" s="945"/>
      <c r="C2" s="945"/>
      <c r="D2" s="945"/>
      <c r="E2" s="945"/>
      <c r="F2" s="945"/>
      <c r="G2" s="945"/>
      <c r="H2" s="945"/>
      <c r="I2" s="945"/>
      <c r="J2" s="945"/>
    </row>
    <row r="3" spans="1:10" ht="12.75">
      <c r="A3" s="82"/>
      <c r="B3" s="82"/>
      <c r="C3" s="82"/>
      <c r="D3" s="82"/>
      <c r="E3" s="82"/>
      <c r="F3" s="169"/>
      <c r="G3" s="169"/>
      <c r="H3" s="169"/>
      <c r="I3" s="169"/>
      <c r="J3" s="169"/>
    </row>
    <row r="4" spans="1:10" ht="12.75">
      <c r="A4" s="82"/>
      <c r="B4" s="169"/>
      <c r="C4" s="169"/>
      <c r="D4" s="169"/>
      <c r="E4" s="169"/>
      <c r="F4" s="169"/>
      <c r="G4" s="169"/>
      <c r="H4" s="169"/>
      <c r="I4" s="169"/>
      <c r="J4" s="170" t="s">
        <v>629</v>
      </c>
    </row>
    <row r="5" spans="1:10" ht="60">
      <c r="A5" s="951" t="s">
        <v>0</v>
      </c>
      <c r="B5" s="952"/>
      <c r="C5" s="952"/>
      <c r="D5" s="952"/>
      <c r="E5" s="953"/>
      <c r="F5" s="149" t="s">
        <v>89</v>
      </c>
      <c r="G5" s="149" t="s">
        <v>367</v>
      </c>
      <c r="H5" s="149" t="s">
        <v>770</v>
      </c>
      <c r="I5" s="149" t="s">
        <v>860</v>
      </c>
      <c r="J5" s="149" t="s">
        <v>361</v>
      </c>
    </row>
    <row r="6" spans="1:11" s="153" customFormat="1" ht="15">
      <c r="A6" s="171" t="s">
        <v>420</v>
      </c>
      <c r="B6" s="942" t="s">
        <v>421</v>
      </c>
      <c r="C6" s="943"/>
      <c r="D6" s="943"/>
      <c r="E6" s="944"/>
      <c r="F6" s="172" t="s">
        <v>422</v>
      </c>
      <c r="G6" s="172" t="s">
        <v>423</v>
      </c>
      <c r="H6" s="172" t="s">
        <v>424</v>
      </c>
      <c r="I6" s="172" t="s">
        <v>425</v>
      </c>
      <c r="J6" s="172" t="s">
        <v>427</v>
      </c>
      <c r="K6" s="583"/>
    </row>
    <row r="7" spans="1:11" s="175" customFormat="1" ht="12.75">
      <c r="A7" s="173" t="s">
        <v>219</v>
      </c>
      <c r="B7" s="947" t="s">
        <v>220</v>
      </c>
      <c r="C7" s="947"/>
      <c r="D7" s="947"/>
      <c r="E7" s="947"/>
      <c r="F7" s="174">
        <f>SUM(F8+F15+F16+F17+F28+F29)</f>
        <v>952024802</v>
      </c>
      <c r="G7" s="174">
        <f>SUM(G8+G15+G16+G17+G28+G29)</f>
        <v>3882312</v>
      </c>
      <c r="H7" s="174">
        <f>SUM(H8+H15+H16+H17+H28+H29)</f>
        <v>44149359</v>
      </c>
      <c r="I7" s="174">
        <f>SUM(I8+I15+I16+I17+I28+I29)</f>
        <v>0</v>
      </c>
      <c r="J7" s="174">
        <f>SUM(F7:I7)</f>
        <v>1000056473</v>
      </c>
      <c r="K7" s="584"/>
    </row>
    <row r="8" spans="1:11" ht="12.75">
      <c r="A8" s="176"/>
      <c r="B8" s="176" t="s">
        <v>221</v>
      </c>
      <c r="C8" s="939" t="s">
        <v>222</v>
      </c>
      <c r="D8" s="939"/>
      <c r="E8" s="939"/>
      <c r="F8" s="177">
        <f>SUM(F9:F14)</f>
        <v>539569213</v>
      </c>
      <c r="G8" s="177">
        <f>SUM(G9:G14)</f>
        <v>0</v>
      </c>
      <c r="H8" s="177">
        <f>SUM(H9:H14)</f>
        <v>0</v>
      </c>
      <c r="I8" s="177">
        <f>SUM(I9:I14)</f>
        <v>0</v>
      </c>
      <c r="J8" s="178">
        <f aca="true" t="shared" si="0" ref="J8:J72">SUM(F8:I8)</f>
        <v>539569213</v>
      </c>
      <c r="K8" s="585"/>
    </row>
    <row r="9" spans="1:11" ht="12.75">
      <c r="A9" s="179"/>
      <c r="B9" s="179"/>
      <c r="C9" s="179" t="s">
        <v>223</v>
      </c>
      <c r="D9" s="179"/>
      <c r="E9" s="179" t="s">
        <v>651</v>
      </c>
      <c r="F9" s="180">
        <f>200053809+140422</f>
        <v>200194231</v>
      </c>
      <c r="G9" s="180">
        <v>0</v>
      </c>
      <c r="H9" s="180">
        <v>0</v>
      </c>
      <c r="I9" s="180">
        <v>0</v>
      </c>
      <c r="J9" s="181">
        <f t="shared" si="0"/>
        <v>200194231</v>
      </c>
      <c r="K9" s="586"/>
    </row>
    <row r="10" spans="1:11" ht="12.75">
      <c r="A10" s="179"/>
      <c r="B10" s="182"/>
      <c r="C10" s="179" t="s">
        <v>224</v>
      </c>
      <c r="D10" s="179"/>
      <c r="E10" s="179" t="s">
        <v>657</v>
      </c>
      <c r="F10" s="180">
        <f>112608900+367584+1341084</f>
        <v>114317568</v>
      </c>
      <c r="G10" s="180">
        <v>0</v>
      </c>
      <c r="H10" s="180">
        <v>0</v>
      </c>
      <c r="I10" s="180">
        <v>0</v>
      </c>
      <c r="J10" s="181">
        <f t="shared" si="0"/>
        <v>114317568</v>
      </c>
      <c r="K10" s="586"/>
    </row>
    <row r="11" spans="1:11" ht="12.75">
      <c r="A11" s="179"/>
      <c r="B11" s="179"/>
      <c r="C11" s="179" t="s">
        <v>225</v>
      </c>
      <c r="D11" s="179"/>
      <c r="E11" s="179" t="s">
        <v>630</v>
      </c>
      <c r="F11" s="180">
        <f>165550125+9189220+195364</f>
        <v>174934709</v>
      </c>
      <c r="G11" s="180">
        <v>0</v>
      </c>
      <c r="H11" s="180">
        <v>0</v>
      </c>
      <c r="I11" s="180">
        <v>0</v>
      </c>
      <c r="J11" s="181">
        <f t="shared" si="0"/>
        <v>174934709</v>
      </c>
      <c r="K11" s="586"/>
    </row>
    <row r="12" spans="1:11" ht="12.75">
      <c r="A12" s="179"/>
      <c r="B12" s="179"/>
      <c r="C12" s="179" t="s">
        <v>226</v>
      </c>
      <c r="D12" s="179"/>
      <c r="E12" s="179" t="s">
        <v>658</v>
      </c>
      <c r="F12" s="180">
        <f>10661310+1004278+95585</f>
        <v>11761173</v>
      </c>
      <c r="G12" s="180">
        <v>0</v>
      </c>
      <c r="H12" s="180">
        <v>0</v>
      </c>
      <c r="I12" s="180">
        <v>0</v>
      </c>
      <c r="J12" s="181">
        <f t="shared" si="0"/>
        <v>11761173</v>
      </c>
      <c r="K12" s="586"/>
    </row>
    <row r="13" spans="1:11" ht="12.75">
      <c r="A13" s="179"/>
      <c r="B13" s="179"/>
      <c r="C13" s="179" t="s">
        <v>227</v>
      </c>
      <c r="D13" s="179"/>
      <c r="E13" s="179" t="s">
        <v>652</v>
      </c>
      <c r="F13" s="180">
        <f>1096532+7265000+30000000</f>
        <v>38361532</v>
      </c>
      <c r="G13" s="180">
        <v>0</v>
      </c>
      <c r="H13" s="180">
        <v>0</v>
      </c>
      <c r="I13" s="180">
        <v>0</v>
      </c>
      <c r="J13" s="181">
        <f t="shared" si="0"/>
        <v>38361532</v>
      </c>
      <c r="K13" s="586"/>
    </row>
    <row r="14" spans="1:11" ht="12.75">
      <c r="A14" s="183"/>
      <c r="B14" s="183"/>
      <c r="C14" s="179" t="s">
        <v>228</v>
      </c>
      <c r="D14" s="183"/>
      <c r="E14" s="179" t="s">
        <v>546</v>
      </c>
      <c r="F14" s="180">
        <v>0</v>
      </c>
      <c r="G14" s="180">
        <v>0</v>
      </c>
      <c r="H14" s="180">
        <v>0</v>
      </c>
      <c r="I14" s="180">
        <v>0</v>
      </c>
      <c r="J14" s="181">
        <f t="shared" si="0"/>
        <v>0</v>
      </c>
      <c r="K14" s="586"/>
    </row>
    <row r="15" spans="1:11" ht="12.75">
      <c r="A15" s="176"/>
      <c r="B15" s="176" t="s">
        <v>229</v>
      </c>
      <c r="C15" s="939" t="s">
        <v>230</v>
      </c>
      <c r="D15" s="939"/>
      <c r="E15" s="939"/>
      <c r="F15" s="177">
        <v>0</v>
      </c>
      <c r="G15" s="177">
        <v>0</v>
      </c>
      <c r="H15" s="177">
        <v>0</v>
      </c>
      <c r="I15" s="177">
        <v>0</v>
      </c>
      <c r="J15" s="178">
        <f t="shared" si="0"/>
        <v>0</v>
      </c>
      <c r="K15" s="585"/>
    </row>
    <row r="16" spans="1:11" ht="12.75">
      <c r="A16" s="176"/>
      <c r="B16" s="176" t="s">
        <v>231</v>
      </c>
      <c r="C16" s="939" t="s">
        <v>653</v>
      </c>
      <c r="D16" s="939"/>
      <c r="E16" s="939"/>
      <c r="F16" s="177">
        <v>0</v>
      </c>
      <c r="G16" s="177">
        <v>0</v>
      </c>
      <c r="H16" s="177">
        <v>0</v>
      </c>
      <c r="I16" s="177">
        <v>0</v>
      </c>
      <c r="J16" s="178">
        <f t="shared" si="0"/>
        <v>0</v>
      </c>
      <c r="K16" s="585"/>
    </row>
    <row r="17" spans="1:11" ht="12.75">
      <c r="A17" s="176"/>
      <c r="B17" s="176" t="s">
        <v>232</v>
      </c>
      <c r="C17" s="939" t="s">
        <v>654</v>
      </c>
      <c r="D17" s="939"/>
      <c r="E17" s="939"/>
      <c r="F17" s="177">
        <f>SUM(F18:F27)</f>
        <v>0</v>
      </c>
      <c r="G17" s="177">
        <f>SUM(G18:G27)</f>
        <v>0</v>
      </c>
      <c r="H17" s="177">
        <f>SUM(H18:H27)</f>
        <v>0</v>
      </c>
      <c r="I17" s="177">
        <f>SUM(I18:I27)</f>
        <v>0</v>
      </c>
      <c r="J17" s="178">
        <f t="shared" si="0"/>
        <v>0</v>
      </c>
      <c r="K17" s="585"/>
    </row>
    <row r="18" spans="1:11" ht="12.75" hidden="1">
      <c r="A18" s="184"/>
      <c r="B18" s="184"/>
      <c r="C18" s="185" t="s">
        <v>2</v>
      </c>
      <c r="D18" s="185" t="s">
        <v>157</v>
      </c>
      <c r="E18" s="185" t="s">
        <v>158</v>
      </c>
      <c r="F18" s="186">
        <v>0</v>
      </c>
      <c r="G18" s="186">
        <v>0</v>
      </c>
      <c r="H18" s="186">
        <v>0</v>
      </c>
      <c r="I18" s="186">
        <v>0</v>
      </c>
      <c r="J18" s="187">
        <f t="shared" si="0"/>
        <v>0</v>
      </c>
      <c r="K18" s="587"/>
    </row>
    <row r="19" spans="1:11" ht="12.75" hidden="1">
      <c r="A19" s="184"/>
      <c r="B19" s="184"/>
      <c r="C19" s="185"/>
      <c r="D19" s="185" t="s">
        <v>159</v>
      </c>
      <c r="E19" s="185" t="s">
        <v>160</v>
      </c>
      <c r="F19" s="186">
        <v>0</v>
      </c>
      <c r="G19" s="186">
        <v>0</v>
      </c>
      <c r="H19" s="186">
        <v>0</v>
      </c>
      <c r="I19" s="186">
        <v>0</v>
      </c>
      <c r="J19" s="187">
        <f t="shared" si="0"/>
        <v>0</v>
      </c>
      <c r="K19" s="587"/>
    </row>
    <row r="20" spans="1:11" ht="12.75" hidden="1">
      <c r="A20" s="184"/>
      <c r="B20" s="184"/>
      <c r="C20" s="185"/>
      <c r="D20" s="185" t="s">
        <v>161</v>
      </c>
      <c r="E20" s="185" t="s">
        <v>233</v>
      </c>
      <c r="F20" s="186">
        <v>0</v>
      </c>
      <c r="G20" s="186">
        <v>0</v>
      </c>
      <c r="H20" s="186">
        <v>0</v>
      </c>
      <c r="I20" s="186">
        <v>0</v>
      </c>
      <c r="J20" s="187">
        <f t="shared" si="0"/>
        <v>0</v>
      </c>
      <c r="K20" s="587"/>
    </row>
    <row r="21" spans="1:11" ht="12.75" hidden="1">
      <c r="A21" s="184"/>
      <c r="B21" s="184"/>
      <c r="C21" s="185"/>
      <c r="D21" s="185" t="s">
        <v>163</v>
      </c>
      <c r="E21" s="185" t="s">
        <v>164</v>
      </c>
      <c r="F21" s="186">
        <v>0</v>
      </c>
      <c r="G21" s="186">
        <v>0</v>
      </c>
      <c r="H21" s="186">
        <v>0</v>
      </c>
      <c r="I21" s="186">
        <v>0</v>
      </c>
      <c r="J21" s="187">
        <f t="shared" si="0"/>
        <v>0</v>
      </c>
      <c r="K21" s="587"/>
    </row>
    <row r="22" spans="1:11" ht="12.75" hidden="1">
      <c r="A22" s="184"/>
      <c r="B22" s="184"/>
      <c r="C22" s="185"/>
      <c r="D22" s="185" t="s">
        <v>165</v>
      </c>
      <c r="E22" s="185" t="s">
        <v>166</v>
      </c>
      <c r="F22" s="186">
        <v>0</v>
      </c>
      <c r="G22" s="186">
        <v>0</v>
      </c>
      <c r="H22" s="186">
        <v>0</v>
      </c>
      <c r="I22" s="186">
        <v>0</v>
      </c>
      <c r="J22" s="187">
        <f t="shared" si="0"/>
        <v>0</v>
      </c>
      <c r="K22" s="587"/>
    </row>
    <row r="23" spans="1:11" ht="12.75" hidden="1">
      <c r="A23" s="184"/>
      <c r="B23" s="184"/>
      <c r="C23" s="185"/>
      <c r="D23" s="185" t="s">
        <v>167</v>
      </c>
      <c r="E23" s="185" t="s">
        <v>168</v>
      </c>
      <c r="F23" s="186">
        <v>0</v>
      </c>
      <c r="G23" s="186">
        <v>0</v>
      </c>
      <c r="H23" s="186">
        <v>0</v>
      </c>
      <c r="I23" s="186">
        <v>0</v>
      </c>
      <c r="J23" s="187">
        <f t="shared" si="0"/>
        <v>0</v>
      </c>
      <c r="K23" s="587"/>
    </row>
    <row r="24" spans="1:11" ht="12.75" hidden="1">
      <c r="A24" s="184"/>
      <c r="B24" s="184"/>
      <c r="C24" s="185"/>
      <c r="D24" s="185" t="s">
        <v>169</v>
      </c>
      <c r="E24" s="185" t="s">
        <v>170</v>
      </c>
      <c r="F24" s="186">
        <v>0</v>
      </c>
      <c r="G24" s="186">
        <v>0</v>
      </c>
      <c r="H24" s="186">
        <v>0</v>
      </c>
      <c r="I24" s="186">
        <v>0</v>
      </c>
      <c r="J24" s="187">
        <f t="shared" si="0"/>
        <v>0</v>
      </c>
      <c r="K24" s="587"/>
    </row>
    <row r="25" spans="1:11" ht="12.75" hidden="1">
      <c r="A25" s="184"/>
      <c r="B25" s="184"/>
      <c r="C25" s="185"/>
      <c r="D25" s="185" t="s">
        <v>171</v>
      </c>
      <c r="E25" s="185" t="s">
        <v>172</v>
      </c>
      <c r="F25" s="186"/>
      <c r="G25" s="186">
        <v>0</v>
      </c>
      <c r="H25" s="186">
        <v>0</v>
      </c>
      <c r="I25" s="186">
        <v>0</v>
      </c>
      <c r="J25" s="187">
        <f t="shared" si="0"/>
        <v>0</v>
      </c>
      <c r="K25" s="587"/>
    </row>
    <row r="26" spans="1:11" ht="12.75" hidden="1">
      <c r="A26" s="184"/>
      <c r="B26" s="184"/>
      <c r="C26" s="185"/>
      <c r="D26" s="185" t="s">
        <v>173</v>
      </c>
      <c r="E26" s="185" t="s">
        <v>174</v>
      </c>
      <c r="F26" s="186">
        <v>0</v>
      </c>
      <c r="G26" s="186">
        <v>0</v>
      </c>
      <c r="H26" s="186">
        <v>0</v>
      </c>
      <c r="I26" s="186">
        <v>0</v>
      </c>
      <c r="J26" s="187">
        <f t="shared" si="0"/>
        <v>0</v>
      </c>
      <c r="K26" s="587"/>
    </row>
    <row r="27" spans="1:11" ht="12.75" hidden="1">
      <c r="A27" s="184"/>
      <c r="B27" s="184"/>
      <c r="C27" s="185"/>
      <c r="D27" s="185" t="s">
        <v>175</v>
      </c>
      <c r="E27" s="185" t="s">
        <v>176</v>
      </c>
      <c r="F27" s="186">
        <v>0</v>
      </c>
      <c r="G27" s="186">
        <v>0</v>
      </c>
      <c r="H27" s="186">
        <v>0</v>
      </c>
      <c r="I27" s="186">
        <v>0</v>
      </c>
      <c r="J27" s="187">
        <f t="shared" si="0"/>
        <v>0</v>
      </c>
      <c r="K27" s="587"/>
    </row>
    <row r="28" spans="1:11" ht="13.5" customHeight="1">
      <c r="A28" s="176"/>
      <c r="B28" s="176" t="s">
        <v>234</v>
      </c>
      <c r="C28" s="939" t="s">
        <v>655</v>
      </c>
      <c r="D28" s="939"/>
      <c r="E28" s="939"/>
      <c r="F28" s="177">
        <v>0</v>
      </c>
      <c r="G28" s="177">
        <v>0</v>
      </c>
      <c r="H28" s="177">
        <v>0</v>
      </c>
      <c r="I28" s="177">
        <v>0</v>
      </c>
      <c r="J28" s="178">
        <f t="shared" si="0"/>
        <v>0</v>
      </c>
      <c r="K28" s="585"/>
    </row>
    <row r="29" spans="1:11" ht="13.5" customHeight="1">
      <c r="A29" s="176"/>
      <c r="B29" s="176" t="s">
        <v>235</v>
      </c>
      <c r="C29" s="939" t="s">
        <v>656</v>
      </c>
      <c r="D29" s="939"/>
      <c r="E29" s="939"/>
      <c r="F29" s="177">
        <f>SUM(F30:F39)</f>
        <v>412455589</v>
      </c>
      <c r="G29" s="177">
        <f>SUM(G30:G39)</f>
        <v>3882312</v>
      </c>
      <c r="H29" s="177">
        <f>SUM(H30:H39)</f>
        <v>44149359</v>
      </c>
      <c r="I29" s="177">
        <f>SUM(I30:I39)</f>
        <v>0</v>
      </c>
      <c r="J29" s="178">
        <f t="shared" si="0"/>
        <v>460487260</v>
      </c>
      <c r="K29" s="585"/>
    </row>
    <row r="30" spans="1:11" ht="12.75" hidden="1">
      <c r="A30" s="184"/>
      <c r="B30" s="184"/>
      <c r="C30" s="185" t="s">
        <v>2</v>
      </c>
      <c r="D30" s="185" t="s">
        <v>157</v>
      </c>
      <c r="E30" s="185" t="s">
        <v>158</v>
      </c>
      <c r="F30" s="186">
        <v>0</v>
      </c>
      <c r="G30" s="186">
        <v>0</v>
      </c>
      <c r="H30" s="186">
        <v>0</v>
      </c>
      <c r="I30" s="186">
        <v>0</v>
      </c>
      <c r="J30" s="187">
        <f t="shared" si="0"/>
        <v>0</v>
      </c>
      <c r="K30" s="587"/>
    </row>
    <row r="31" spans="1:11" ht="12.75" hidden="1">
      <c r="A31" s="184"/>
      <c r="B31" s="184"/>
      <c r="C31" s="185"/>
      <c r="D31" s="185" t="s">
        <v>159</v>
      </c>
      <c r="E31" s="185" t="s">
        <v>160</v>
      </c>
      <c r="F31" s="186">
        <v>0</v>
      </c>
      <c r="G31" s="186">
        <v>0</v>
      </c>
      <c r="H31" s="186">
        <v>0</v>
      </c>
      <c r="I31" s="186">
        <v>0</v>
      </c>
      <c r="J31" s="187">
        <f t="shared" si="0"/>
        <v>0</v>
      </c>
      <c r="K31" s="587"/>
    </row>
    <row r="32" spans="1:11" ht="12.75">
      <c r="A32" s="188"/>
      <c r="B32" s="188"/>
      <c r="C32" s="185" t="s">
        <v>2</v>
      </c>
      <c r="D32" s="189"/>
      <c r="E32" s="189" t="s">
        <v>659</v>
      </c>
      <c r="F32" s="186">
        <f>63035474+88971424+32379432+17772766+10976885+2000000-2893619</f>
        <v>212242362</v>
      </c>
      <c r="G32" s="186">
        <v>0</v>
      </c>
      <c r="H32" s="186">
        <v>43407259</v>
      </c>
      <c r="I32" s="186">
        <v>0</v>
      </c>
      <c r="J32" s="187">
        <f t="shared" si="0"/>
        <v>255649621</v>
      </c>
      <c r="K32" s="587"/>
    </row>
    <row r="33" spans="1:11" ht="12.75">
      <c r="A33" s="184"/>
      <c r="B33" s="184"/>
      <c r="C33" s="185"/>
      <c r="D33" s="185"/>
      <c r="E33" s="185" t="s">
        <v>164</v>
      </c>
      <c r="F33" s="186">
        <f>29503396+6245115+6018160</f>
        <v>41766671</v>
      </c>
      <c r="G33" s="186">
        <f>1969798+37116</f>
        <v>2006914</v>
      </c>
      <c r="H33" s="186">
        <v>0</v>
      </c>
      <c r="I33" s="186">
        <v>0</v>
      </c>
      <c r="J33" s="187">
        <f t="shared" si="0"/>
        <v>43773585</v>
      </c>
      <c r="K33" s="587"/>
    </row>
    <row r="34" spans="1:11" ht="12.75">
      <c r="A34" s="184"/>
      <c r="B34" s="184"/>
      <c r="C34" s="185"/>
      <c r="D34" s="185"/>
      <c r="E34" s="185" t="s">
        <v>166</v>
      </c>
      <c r="F34" s="186">
        <f>21588000</f>
        <v>21588000</v>
      </c>
      <c r="G34" s="186">
        <v>0</v>
      </c>
      <c r="H34" s="186">
        <v>0</v>
      </c>
      <c r="I34" s="186">
        <v>0</v>
      </c>
      <c r="J34" s="187">
        <f t="shared" si="0"/>
        <v>21588000</v>
      </c>
      <c r="K34" s="587"/>
    </row>
    <row r="35" spans="1:11" ht="12.75">
      <c r="A35" s="184"/>
      <c r="B35" s="184"/>
      <c r="C35" s="185"/>
      <c r="D35" s="185"/>
      <c r="E35" s="185" t="s">
        <v>168</v>
      </c>
      <c r="F35" s="186">
        <f>11977188+23626850+46614899+38901777-8045171-7935168+1100000+11113165</f>
        <v>117353540</v>
      </c>
      <c r="G35" s="186">
        <f>581210+1294188</f>
        <v>1875398</v>
      </c>
      <c r="H35" s="186">
        <f>0+742100</f>
        <v>742100</v>
      </c>
      <c r="I35" s="186">
        <v>0</v>
      </c>
      <c r="J35" s="187">
        <f t="shared" si="0"/>
        <v>119971038</v>
      </c>
      <c r="K35" s="587"/>
    </row>
    <row r="36" spans="1:11" ht="11.25" customHeight="1">
      <c r="A36" s="184"/>
      <c r="B36" s="184"/>
      <c r="C36" s="185"/>
      <c r="D36" s="185"/>
      <c r="E36" s="185" t="s">
        <v>170</v>
      </c>
      <c r="F36" s="186">
        <f>9462661+3652363+3971695+1407021+1011276</f>
        <v>19505016</v>
      </c>
      <c r="G36" s="186">
        <v>0</v>
      </c>
      <c r="H36" s="186">
        <v>0</v>
      </c>
      <c r="I36" s="186">
        <v>0</v>
      </c>
      <c r="J36" s="187">
        <f t="shared" si="0"/>
        <v>19505016</v>
      </c>
      <c r="K36" s="587"/>
    </row>
    <row r="37" spans="1:11" ht="12.75" hidden="1">
      <c r="A37" s="184"/>
      <c r="B37" s="184"/>
      <c r="C37" s="185"/>
      <c r="D37" s="185"/>
      <c r="E37" s="185" t="s">
        <v>172</v>
      </c>
      <c r="F37" s="186">
        <v>0</v>
      </c>
      <c r="G37" s="186">
        <v>0</v>
      </c>
      <c r="H37" s="186">
        <v>0</v>
      </c>
      <c r="I37" s="186">
        <v>0</v>
      </c>
      <c r="J37" s="187">
        <f t="shared" si="0"/>
        <v>0</v>
      </c>
      <c r="K37" s="587"/>
    </row>
    <row r="38" spans="1:11" ht="12.75" hidden="1">
      <c r="A38" s="184"/>
      <c r="B38" s="184"/>
      <c r="C38" s="185"/>
      <c r="D38" s="185"/>
      <c r="E38" s="185" t="s">
        <v>660</v>
      </c>
      <c r="F38" s="186">
        <v>0</v>
      </c>
      <c r="G38" s="186">
        <v>0</v>
      </c>
      <c r="H38" s="186">
        <v>0</v>
      </c>
      <c r="I38" s="186">
        <v>0</v>
      </c>
      <c r="J38" s="187">
        <f t="shared" si="0"/>
        <v>0</v>
      </c>
      <c r="K38" s="587"/>
    </row>
    <row r="39" spans="1:11" ht="12.75" hidden="1">
      <c r="A39" s="184"/>
      <c r="B39" s="184"/>
      <c r="C39" s="185"/>
      <c r="D39" s="185"/>
      <c r="E39" s="185" t="s">
        <v>661</v>
      </c>
      <c r="F39" s="186">
        <v>0</v>
      </c>
      <c r="G39" s="186">
        <v>0</v>
      </c>
      <c r="H39" s="186">
        <v>0</v>
      </c>
      <c r="I39" s="186">
        <v>0</v>
      </c>
      <c r="J39" s="187">
        <f t="shared" si="0"/>
        <v>0</v>
      </c>
      <c r="K39" s="587"/>
    </row>
    <row r="40" spans="1:11" s="175" customFormat="1" ht="12.75">
      <c r="A40" s="173" t="s">
        <v>236</v>
      </c>
      <c r="B40" s="947" t="s">
        <v>667</v>
      </c>
      <c r="C40" s="947"/>
      <c r="D40" s="947"/>
      <c r="E40" s="947"/>
      <c r="F40" s="174">
        <f>SUM(F41:F45)</f>
        <v>302061527</v>
      </c>
      <c r="G40" s="174">
        <f>SUM(G41:G45)</f>
        <v>0</v>
      </c>
      <c r="H40" s="174">
        <f>SUM(H41:H45)</f>
        <v>1687190</v>
      </c>
      <c r="I40" s="174">
        <f>SUM(I41:I45)</f>
        <v>0</v>
      </c>
      <c r="J40" s="174">
        <f t="shared" si="0"/>
        <v>303748717</v>
      </c>
      <c r="K40" s="584"/>
    </row>
    <row r="41" spans="1:11" ht="11.25" customHeight="1">
      <c r="A41" s="176"/>
      <c r="B41" s="176" t="s">
        <v>237</v>
      </c>
      <c r="C41" s="939" t="s">
        <v>662</v>
      </c>
      <c r="D41" s="939"/>
      <c r="E41" s="939"/>
      <c r="F41" s="177">
        <v>29947750</v>
      </c>
      <c r="G41" s="177">
        <v>0</v>
      </c>
      <c r="H41" s="177">
        <v>0</v>
      </c>
      <c r="I41" s="177">
        <v>0</v>
      </c>
      <c r="J41" s="178">
        <f t="shared" si="0"/>
        <v>29947750</v>
      </c>
      <c r="K41" s="585"/>
    </row>
    <row r="42" spans="1:11" ht="12.75" hidden="1">
      <c r="A42" s="176"/>
      <c r="B42" s="176" t="s">
        <v>238</v>
      </c>
      <c r="C42" s="939" t="s">
        <v>663</v>
      </c>
      <c r="D42" s="939"/>
      <c r="E42" s="939"/>
      <c r="F42" s="177">
        <v>0</v>
      </c>
      <c r="G42" s="177">
        <v>0</v>
      </c>
      <c r="H42" s="177">
        <v>0</v>
      </c>
      <c r="I42" s="177">
        <v>0</v>
      </c>
      <c r="J42" s="178">
        <f t="shared" si="0"/>
        <v>0</v>
      </c>
      <c r="K42" s="585"/>
    </row>
    <row r="43" spans="1:11" ht="12.75" hidden="1">
      <c r="A43" s="176"/>
      <c r="B43" s="176" t="s">
        <v>239</v>
      </c>
      <c r="C43" s="939" t="s">
        <v>664</v>
      </c>
      <c r="D43" s="939"/>
      <c r="E43" s="939"/>
      <c r="F43" s="177">
        <v>0</v>
      </c>
      <c r="G43" s="177">
        <v>0</v>
      </c>
      <c r="H43" s="177">
        <v>0</v>
      </c>
      <c r="I43" s="177">
        <v>0</v>
      </c>
      <c r="J43" s="178">
        <f t="shared" si="0"/>
        <v>0</v>
      </c>
      <c r="K43" s="585"/>
    </row>
    <row r="44" spans="1:11" ht="12.75" hidden="1">
      <c r="A44" s="176"/>
      <c r="B44" s="176" t="s">
        <v>240</v>
      </c>
      <c r="C44" s="939" t="s">
        <v>665</v>
      </c>
      <c r="D44" s="939"/>
      <c r="E44" s="939"/>
      <c r="F44" s="177">
        <v>0</v>
      </c>
      <c r="G44" s="177">
        <v>0</v>
      </c>
      <c r="H44" s="177">
        <v>0</v>
      </c>
      <c r="I44" s="177">
        <v>0</v>
      </c>
      <c r="J44" s="178">
        <f t="shared" si="0"/>
        <v>0</v>
      </c>
      <c r="K44" s="585"/>
    </row>
    <row r="45" spans="1:11" ht="12" customHeight="1">
      <c r="A45" s="176"/>
      <c r="B45" s="176" t="s">
        <v>241</v>
      </c>
      <c r="C45" s="939" t="s">
        <v>666</v>
      </c>
      <c r="D45" s="939"/>
      <c r="E45" s="939"/>
      <c r="F45" s="177">
        <f>SUM(F46:F56)</f>
        <v>272113777</v>
      </c>
      <c r="G45" s="177">
        <f>SUM(G46:G55)</f>
        <v>0</v>
      </c>
      <c r="H45" s="177">
        <f>SUM(H46:H55)</f>
        <v>1687190</v>
      </c>
      <c r="I45" s="177">
        <f>SUM(I46:I55)</f>
        <v>0</v>
      </c>
      <c r="J45" s="178">
        <f t="shared" si="0"/>
        <v>273800967</v>
      </c>
      <c r="K45" s="585"/>
    </row>
    <row r="46" spans="1:11" ht="12.75" hidden="1">
      <c r="A46" s="184"/>
      <c r="B46" s="184"/>
      <c r="C46" s="185" t="s">
        <v>2</v>
      </c>
      <c r="D46" s="185" t="s">
        <v>157</v>
      </c>
      <c r="E46" s="185" t="s">
        <v>158</v>
      </c>
      <c r="F46" s="186">
        <v>0</v>
      </c>
      <c r="G46" s="186">
        <v>0</v>
      </c>
      <c r="H46" s="186">
        <v>0</v>
      </c>
      <c r="I46" s="186">
        <v>0</v>
      </c>
      <c r="J46" s="187">
        <f t="shared" si="0"/>
        <v>0</v>
      </c>
      <c r="K46" s="587"/>
    </row>
    <row r="47" spans="1:11" ht="12.75" hidden="1">
      <c r="A47" s="184"/>
      <c r="B47" s="184"/>
      <c r="C47" s="185"/>
      <c r="D47" s="185" t="s">
        <v>159</v>
      </c>
      <c r="E47" s="185" t="s">
        <v>160</v>
      </c>
      <c r="F47" s="186">
        <v>0</v>
      </c>
      <c r="G47" s="186">
        <v>0</v>
      </c>
      <c r="H47" s="186">
        <v>0</v>
      </c>
      <c r="I47" s="186">
        <v>0</v>
      </c>
      <c r="J47" s="187">
        <f t="shared" si="0"/>
        <v>0</v>
      </c>
      <c r="K47" s="587"/>
    </row>
    <row r="48" spans="1:11" ht="12.75">
      <c r="A48" s="188"/>
      <c r="B48" s="188"/>
      <c r="C48" s="185" t="s">
        <v>2</v>
      </c>
      <c r="D48" s="189"/>
      <c r="E48" s="189" t="s">
        <v>233</v>
      </c>
      <c r="F48" s="186">
        <f>2500000+21694288+6019000+5000000+9889960+15511691+2497100+1920000+95000000+106200000+2893619</f>
        <v>269125658</v>
      </c>
      <c r="G48" s="186">
        <v>0</v>
      </c>
      <c r="H48" s="186">
        <v>1687190</v>
      </c>
      <c r="I48" s="186">
        <v>0</v>
      </c>
      <c r="J48" s="187">
        <f t="shared" si="0"/>
        <v>270812848</v>
      </c>
      <c r="K48" s="587"/>
    </row>
    <row r="49" spans="1:11" ht="12.75" hidden="1">
      <c r="A49" s="184"/>
      <c r="B49" s="184"/>
      <c r="C49" s="185"/>
      <c r="D49" s="185" t="s">
        <v>163</v>
      </c>
      <c r="E49" s="185" t="s">
        <v>164</v>
      </c>
      <c r="F49" s="186">
        <v>0</v>
      </c>
      <c r="G49" s="186">
        <v>0</v>
      </c>
      <c r="H49" s="186">
        <v>0</v>
      </c>
      <c r="I49" s="186">
        <v>0</v>
      </c>
      <c r="J49" s="187">
        <f t="shared" si="0"/>
        <v>0</v>
      </c>
      <c r="K49" s="587"/>
    </row>
    <row r="50" spans="1:11" ht="12.75" hidden="1">
      <c r="A50" s="184"/>
      <c r="B50" s="184"/>
      <c r="C50" s="185"/>
      <c r="D50" s="185" t="s">
        <v>165</v>
      </c>
      <c r="E50" s="185" t="s">
        <v>166</v>
      </c>
      <c r="F50" s="186">
        <v>0</v>
      </c>
      <c r="G50" s="186">
        <v>0</v>
      </c>
      <c r="H50" s="186">
        <v>0</v>
      </c>
      <c r="I50" s="186">
        <v>0</v>
      </c>
      <c r="J50" s="187">
        <f t="shared" si="0"/>
        <v>0</v>
      </c>
      <c r="K50" s="587"/>
    </row>
    <row r="51" spans="1:11" ht="12" customHeight="1">
      <c r="A51" s="184"/>
      <c r="B51" s="184"/>
      <c r="C51" s="185"/>
      <c r="D51" s="185"/>
      <c r="E51" s="185" t="s">
        <v>168</v>
      </c>
      <c r="F51" s="186">
        <f>299888+1846997</f>
        <v>2146885</v>
      </c>
      <c r="G51" s="186">
        <v>0</v>
      </c>
      <c r="H51" s="186">
        <v>0</v>
      </c>
      <c r="I51" s="186">
        <v>0</v>
      </c>
      <c r="J51" s="187">
        <f t="shared" si="0"/>
        <v>2146885</v>
      </c>
      <c r="K51" s="587"/>
    </row>
    <row r="52" spans="1:11" ht="12.75" hidden="1">
      <c r="A52" s="184"/>
      <c r="B52" s="184"/>
      <c r="C52" s="185"/>
      <c r="D52" s="185" t="s">
        <v>169</v>
      </c>
      <c r="E52" s="185" t="s">
        <v>170</v>
      </c>
      <c r="F52" s="186">
        <v>0</v>
      </c>
      <c r="G52" s="186">
        <v>0</v>
      </c>
      <c r="H52" s="186">
        <v>0</v>
      </c>
      <c r="I52" s="186">
        <v>0</v>
      </c>
      <c r="J52" s="187">
        <f t="shared" si="0"/>
        <v>0</v>
      </c>
      <c r="K52" s="587"/>
    </row>
    <row r="53" spans="1:11" ht="12.75" hidden="1">
      <c r="A53" s="184"/>
      <c r="B53" s="184"/>
      <c r="C53" s="185"/>
      <c r="D53" s="185" t="s">
        <v>171</v>
      </c>
      <c r="E53" s="185" t="s">
        <v>172</v>
      </c>
      <c r="F53" s="186">
        <v>0</v>
      </c>
      <c r="G53" s="186">
        <v>0</v>
      </c>
      <c r="H53" s="186">
        <v>0</v>
      </c>
      <c r="I53" s="186">
        <v>0</v>
      </c>
      <c r="J53" s="187">
        <f t="shared" si="0"/>
        <v>0</v>
      </c>
      <c r="K53" s="587"/>
    </row>
    <row r="54" spans="1:11" ht="12.75" hidden="1">
      <c r="A54" s="184"/>
      <c r="B54" s="184"/>
      <c r="C54" s="185"/>
      <c r="D54" s="185" t="s">
        <v>173</v>
      </c>
      <c r="E54" s="185" t="s">
        <v>174</v>
      </c>
      <c r="F54" s="186">
        <v>0</v>
      </c>
      <c r="G54" s="186">
        <v>0</v>
      </c>
      <c r="H54" s="186">
        <v>0</v>
      </c>
      <c r="I54" s="186">
        <v>0</v>
      </c>
      <c r="J54" s="187">
        <f t="shared" si="0"/>
        <v>0</v>
      </c>
      <c r="K54" s="587"/>
    </row>
    <row r="55" spans="1:11" ht="12.75" hidden="1">
      <c r="A55" s="184"/>
      <c r="B55" s="184"/>
      <c r="C55" s="185"/>
      <c r="D55" s="185" t="s">
        <v>175</v>
      </c>
      <c r="E55" s="185" t="s">
        <v>176</v>
      </c>
      <c r="F55" s="186">
        <v>0</v>
      </c>
      <c r="G55" s="186">
        <v>0</v>
      </c>
      <c r="H55" s="186">
        <v>0</v>
      </c>
      <c r="I55" s="186">
        <v>0</v>
      </c>
      <c r="J55" s="187">
        <f t="shared" si="0"/>
        <v>0</v>
      </c>
      <c r="K55" s="587"/>
    </row>
    <row r="56" spans="1:11" ht="12.75">
      <c r="A56" s="184"/>
      <c r="B56" s="184"/>
      <c r="C56" s="185"/>
      <c r="D56" s="185"/>
      <c r="E56" s="185" t="s">
        <v>164</v>
      </c>
      <c r="F56" s="186">
        <v>841234</v>
      </c>
      <c r="G56" s="186">
        <v>0</v>
      </c>
      <c r="H56" s="186">
        <v>0</v>
      </c>
      <c r="I56" s="186">
        <v>0</v>
      </c>
      <c r="J56" s="187">
        <f t="shared" si="0"/>
        <v>841234</v>
      </c>
      <c r="K56" s="587"/>
    </row>
    <row r="57" spans="1:11" s="175" customFormat="1" ht="12.75">
      <c r="A57" s="173" t="s">
        <v>242</v>
      </c>
      <c r="B57" s="947" t="s">
        <v>243</v>
      </c>
      <c r="C57" s="947"/>
      <c r="D57" s="947"/>
      <c r="E57" s="947"/>
      <c r="F57" s="174">
        <f>SUM(F58+F59+F60+F61+F64+F75)</f>
        <v>227595000</v>
      </c>
      <c r="G57" s="174">
        <f>SUM(G58+G59+G60+G61+G64+G75)</f>
        <v>0</v>
      </c>
      <c r="H57" s="174">
        <f>SUM(H58+H59+H60+H61+H64+H75)</f>
        <v>0</v>
      </c>
      <c r="I57" s="174">
        <f>SUM(I58+I59+I60+I61+I64+I75)</f>
        <v>0</v>
      </c>
      <c r="J57" s="174">
        <f t="shared" si="0"/>
        <v>227595000</v>
      </c>
      <c r="K57" s="584"/>
    </row>
    <row r="58" spans="1:11" ht="12.75">
      <c r="A58" s="176"/>
      <c r="B58" s="176" t="s">
        <v>244</v>
      </c>
      <c r="C58" s="939" t="s">
        <v>245</v>
      </c>
      <c r="D58" s="939"/>
      <c r="E58" s="939"/>
      <c r="F58" s="177">
        <v>50000</v>
      </c>
      <c r="G58" s="177">
        <v>0</v>
      </c>
      <c r="H58" s="177">
        <v>0</v>
      </c>
      <c r="I58" s="177">
        <v>0</v>
      </c>
      <c r="J58" s="178">
        <f t="shared" si="0"/>
        <v>50000</v>
      </c>
      <c r="K58" s="585"/>
    </row>
    <row r="59" spans="1:11" ht="12.75">
      <c r="A59" s="176"/>
      <c r="B59" s="176" t="s">
        <v>246</v>
      </c>
      <c r="C59" s="939" t="s">
        <v>247</v>
      </c>
      <c r="D59" s="939"/>
      <c r="E59" s="939"/>
      <c r="F59" s="177">
        <v>0</v>
      </c>
      <c r="G59" s="177">
        <v>0</v>
      </c>
      <c r="H59" s="177">
        <v>0</v>
      </c>
      <c r="I59" s="177">
        <v>0</v>
      </c>
      <c r="J59" s="178">
        <f t="shared" si="0"/>
        <v>0</v>
      </c>
      <c r="K59" s="585"/>
    </row>
    <row r="60" spans="1:11" ht="12.75">
      <c r="A60" s="176"/>
      <c r="B60" s="176" t="s">
        <v>248</v>
      </c>
      <c r="C60" s="939" t="s">
        <v>249</v>
      </c>
      <c r="D60" s="939"/>
      <c r="E60" s="939"/>
      <c r="F60" s="177">
        <v>0</v>
      </c>
      <c r="G60" s="177">
        <v>0</v>
      </c>
      <c r="H60" s="177">
        <v>0</v>
      </c>
      <c r="I60" s="177">
        <v>0</v>
      </c>
      <c r="J60" s="178">
        <f t="shared" si="0"/>
        <v>0</v>
      </c>
      <c r="K60" s="585"/>
    </row>
    <row r="61" spans="1:11" ht="12.75">
      <c r="A61" s="176"/>
      <c r="B61" s="176" t="s">
        <v>250</v>
      </c>
      <c r="C61" s="939" t="s">
        <v>251</v>
      </c>
      <c r="D61" s="939"/>
      <c r="E61" s="939"/>
      <c r="F61" s="177">
        <f>SUM(F62:F63)</f>
        <v>36900000</v>
      </c>
      <c r="G61" s="177">
        <f>SUM(G62:G63)</f>
        <v>0</v>
      </c>
      <c r="H61" s="177">
        <v>0</v>
      </c>
      <c r="I61" s="177">
        <v>0</v>
      </c>
      <c r="J61" s="178">
        <f t="shared" si="0"/>
        <v>36900000</v>
      </c>
      <c r="K61" s="585"/>
    </row>
    <row r="62" spans="1:11" ht="12.75">
      <c r="A62" s="184"/>
      <c r="B62" s="184"/>
      <c r="C62" s="185"/>
      <c r="D62" s="185"/>
      <c r="E62" s="185" t="s">
        <v>252</v>
      </c>
      <c r="F62" s="186">
        <v>36000000</v>
      </c>
      <c r="G62" s="186">
        <v>0</v>
      </c>
      <c r="H62" s="186">
        <v>0</v>
      </c>
      <c r="I62" s="186">
        <v>0</v>
      </c>
      <c r="J62" s="187">
        <f t="shared" si="0"/>
        <v>36000000</v>
      </c>
      <c r="K62" s="587"/>
    </row>
    <row r="63" spans="1:11" ht="12.75">
      <c r="A63" s="184"/>
      <c r="B63" s="184"/>
      <c r="C63" s="185"/>
      <c r="D63" s="185"/>
      <c r="E63" s="185" t="s">
        <v>253</v>
      </c>
      <c r="F63" s="186">
        <v>900000</v>
      </c>
      <c r="G63" s="186">
        <v>0</v>
      </c>
      <c r="H63" s="186">
        <v>0</v>
      </c>
      <c r="I63" s="186">
        <v>0</v>
      </c>
      <c r="J63" s="187">
        <f t="shared" si="0"/>
        <v>900000</v>
      </c>
      <c r="K63" s="587"/>
    </row>
    <row r="64" spans="1:11" ht="12.75">
      <c r="A64" s="176"/>
      <c r="B64" s="176" t="s">
        <v>254</v>
      </c>
      <c r="C64" s="939" t="s">
        <v>255</v>
      </c>
      <c r="D64" s="939"/>
      <c r="E64" s="939"/>
      <c r="F64" s="177">
        <f>SUM(F65+F68+F70+F71+F73)</f>
        <v>189500000</v>
      </c>
      <c r="G64" s="177">
        <f>SUM(G65+G68+G70+G71+G73)</f>
        <v>0</v>
      </c>
      <c r="H64" s="177">
        <v>0</v>
      </c>
      <c r="I64" s="177">
        <v>0</v>
      </c>
      <c r="J64" s="178">
        <f t="shared" si="0"/>
        <v>189500000</v>
      </c>
      <c r="K64" s="585"/>
    </row>
    <row r="65" spans="1:11" ht="12.75">
      <c r="A65" s="179"/>
      <c r="B65" s="179"/>
      <c r="C65" s="179" t="s">
        <v>256</v>
      </c>
      <c r="D65" s="179" t="s">
        <v>257</v>
      </c>
      <c r="E65" s="179"/>
      <c r="F65" s="180">
        <f>SUM(F66:F67)</f>
        <v>165500000</v>
      </c>
      <c r="G65" s="180">
        <f>SUM(G66:G67)</f>
        <v>0</v>
      </c>
      <c r="H65" s="180">
        <v>0</v>
      </c>
      <c r="I65" s="180">
        <v>0</v>
      </c>
      <c r="J65" s="181">
        <f t="shared" si="0"/>
        <v>165500000</v>
      </c>
      <c r="K65" s="586"/>
    </row>
    <row r="66" spans="1:11" ht="12.75">
      <c r="A66" s="184"/>
      <c r="B66" s="184"/>
      <c r="C66" s="185"/>
      <c r="D66" s="185"/>
      <c r="E66" s="185" t="s">
        <v>668</v>
      </c>
      <c r="F66" s="186">
        <v>165000000</v>
      </c>
      <c r="G66" s="186">
        <v>0</v>
      </c>
      <c r="H66" s="186">
        <v>0</v>
      </c>
      <c r="I66" s="186">
        <v>0</v>
      </c>
      <c r="J66" s="187">
        <f t="shared" si="0"/>
        <v>165000000</v>
      </c>
      <c r="K66" s="587"/>
    </row>
    <row r="67" spans="1:11" ht="12.75">
      <c r="A67" s="184"/>
      <c r="B67" s="184"/>
      <c r="C67" s="185"/>
      <c r="D67" s="185"/>
      <c r="E67" s="185" t="s">
        <v>669</v>
      </c>
      <c r="F67" s="186">
        <v>500000</v>
      </c>
      <c r="G67" s="186">
        <v>0</v>
      </c>
      <c r="H67" s="186">
        <v>0</v>
      </c>
      <c r="I67" s="186">
        <v>0</v>
      </c>
      <c r="J67" s="187">
        <f t="shared" si="0"/>
        <v>500000</v>
      </c>
      <c r="K67" s="587"/>
    </row>
    <row r="68" spans="1:11" ht="11.25" customHeight="1">
      <c r="A68" s="179"/>
      <c r="B68" s="179"/>
      <c r="C68" s="179" t="s">
        <v>258</v>
      </c>
      <c r="D68" s="179" t="s">
        <v>590</v>
      </c>
      <c r="E68" s="179"/>
      <c r="F68" s="180">
        <f>SUM(F69)</f>
        <v>0</v>
      </c>
      <c r="G68" s="180">
        <f>SUM(G69)</f>
        <v>0</v>
      </c>
      <c r="H68" s="180">
        <f>SUM(H69)</f>
        <v>0</v>
      </c>
      <c r="I68" s="180">
        <f>SUM(I69)</f>
        <v>0</v>
      </c>
      <c r="J68" s="181">
        <f t="shared" si="0"/>
        <v>0</v>
      </c>
      <c r="K68" s="586"/>
    </row>
    <row r="69" spans="1:11" ht="12.75" hidden="1">
      <c r="A69" s="179"/>
      <c r="B69" s="179"/>
      <c r="C69" s="179"/>
      <c r="D69" s="179"/>
      <c r="E69" s="185" t="s">
        <v>591</v>
      </c>
      <c r="F69" s="180">
        <v>0</v>
      </c>
      <c r="G69" s="180">
        <v>0</v>
      </c>
      <c r="H69" s="180">
        <v>0</v>
      </c>
      <c r="I69" s="180">
        <v>0</v>
      </c>
      <c r="J69" s="181">
        <f t="shared" si="0"/>
        <v>0</v>
      </c>
      <c r="K69" s="586"/>
    </row>
    <row r="70" spans="1:11" ht="12.75">
      <c r="A70" s="179"/>
      <c r="B70" s="179"/>
      <c r="C70" s="179" t="s">
        <v>259</v>
      </c>
      <c r="D70" s="179" t="s">
        <v>260</v>
      </c>
      <c r="E70" s="179"/>
      <c r="F70" s="180">
        <v>0</v>
      </c>
      <c r="G70" s="180">
        <v>0</v>
      </c>
      <c r="H70" s="180">
        <v>0</v>
      </c>
      <c r="I70" s="180">
        <v>0</v>
      </c>
      <c r="J70" s="181">
        <f t="shared" si="0"/>
        <v>0</v>
      </c>
      <c r="K70" s="586"/>
    </row>
    <row r="71" spans="1:11" ht="12.75">
      <c r="A71" s="179"/>
      <c r="B71" s="179"/>
      <c r="C71" s="179" t="s">
        <v>261</v>
      </c>
      <c r="D71" s="179" t="s">
        <v>262</v>
      </c>
      <c r="E71" s="179"/>
      <c r="F71" s="180">
        <f>SUM(F72)</f>
        <v>24000000</v>
      </c>
      <c r="G71" s="180">
        <f>SUM(G72:G72)</f>
        <v>0</v>
      </c>
      <c r="H71" s="180">
        <v>0</v>
      </c>
      <c r="I71" s="180">
        <v>0</v>
      </c>
      <c r="J71" s="181">
        <f t="shared" si="0"/>
        <v>24000000</v>
      </c>
      <c r="K71" s="586"/>
    </row>
    <row r="72" spans="1:11" ht="11.25" customHeight="1">
      <c r="A72" s="184"/>
      <c r="B72" s="184"/>
      <c r="C72" s="184"/>
      <c r="D72" s="185"/>
      <c r="E72" s="185" t="s">
        <v>670</v>
      </c>
      <c r="F72" s="186">
        <v>24000000</v>
      </c>
      <c r="G72" s="186">
        <v>0</v>
      </c>
      <c r="H72" s="186">
        <v>0</v>
      </c>
      <c r="I72" s="186">
        <v>0</v>
      </c>
      <c r="J72" s="187">
        <f t="shared" si="0"/>
        <v>24000000</v>
      </c>
      <c r="K72" s="587"/>
    </row>
    <row r="73" spans="1:11" ht="12.75" hidden="1">
      <c r="A73" s="179"/>
      <c r="B73" s="179"/>
      <c r="C73" s="179" t="s">
        <v>263</v>
      </c>
      <c r="D73" s="179" t="s">
        <v>264</v>
      </c>
      <c r="E73" s="179"/>
      <c r="F73" s="180">
        <f>SUM(F74:F74)</f>
        <v>0</v>
      </c>
      <c r="G73" s="180">
        <v>0</v>
      </c>
      <c r="H73" s="180">
        <v>0</v>
      </c>
      <c r="I73" s="180">
        <v>0</v>
      </c>
      <c r="J73" s="181">
        <f aca="true" t="shared" si="1" ref="J73:J137">SUM(F73:I73)</f>
        <v>0</v>
      </c>
      <c r="K73" s="586"/>
    </row>
    <row r="74" spans="1:11" ht="12.75" hidden="1">
      <c r="A74" s="184"/>
      <c r="B74" s="184"/>
      <c r="C74" s="184"/>
      <c r="D74" s="185"/>
      <c r="E74" s="185" t="s">
        <v>266</v>
      </c>
      <c r="F74" s="186">
        <v>0</v>
      </c>
      <c r="G74" s="186">
        <v>0</v>
      </c>
      <c r="H74" s="186">
        <v>0</v>
      </c>
      <c r="I74" s="186">
        <v>0</v>
      </c>
      <c r="J74" s="187">
        <f t="shared" si="1"/>
        <v>0</v>
      </c>
      <c r="K74" s="587"/>
    </row>
    <row r="75" spans="1:11" ht="12.75">
      <c r="A75" s="176"/>
      <c r="B75" s="176" t="s">
        <v>267</v>
      </c>
      <c r="C75" s="939" t="s">
        <v>268</v>
      </c>
      <c r="D75" s="939"/>
      <c r="E75" s="939"/>
      <c r="F75" s="177">
        <f>SUM(F76:F85)</f>
        <v>1145000</v>
      </c>
      <c r="G75" s="177">
        <f>SUM(G76:G85)</f>
        <v>0</v>
      </c>
      <c r="H75" s="177">
        <f>SUM(H76:H85)</f>
        <v>0</v>
      </c>
      <c r="I75" s="177">
        <f>SUM(I76:I85)</f>
        <v>0</v>
      </c>
      <c r="J75" s="178">
        <f t="shared" si="1"/>
        <v>1145000</v>
      </c>
      <c r="K75" s="585"/>
    </row>
    <row r="76" spans="1:11" ht="12.75" hidden="1">
      <c r="A76" s="190"/>
      <c r="B76" s="190"/>
      <c r="C76" s="190"/>
      <c r="D76" s="185"/>
      <c r="E76" s="185" t="s">
        <v>269</v>
      </c>
      <c r="F76" s="186">
        <v>0</v>
      </c>
      <c r="G76" s="186">
        <v>0</v>
      </c>
      <c r="H76" s="186">
        <v>0</v>
      </c>
      <c r="I76" s="186">
        <v>0</v>
      </c>
      <c r="J76" s="187">
        <f t="shared" si="1"/>
        <v>0</v>
      </c>
      <c r="K76" s="587"/>
    </row>
    <row r="77" spans="1:11" ht="12.75" hidden="1">
      <c r="A77" s="184"/>
      <c r="B77" s="184"/>
      <c r="C77" s="184"/>
      <c r="D77" s="185"/>
      <c r="E77" s="185" t="s">
        <v>270</v>
      </c>
      <c r="F77" s="186">
        <v>0</v>
      </c>
      <c r="G77" s="186"/>
      <c r="H77" s="186">
        <v>0</v>
      </c>
      <c r="I77" s="186">
        <v>0</v>
      </c>
      <c r="J77" s="187">
        <f t="shared" si="1"/>
        <v>0</v>
      </c>
      <c r="K77" s="587"/>
    </row>
    <row r="78" spans="1:11" ht="12.75" hidden="1">
      <c r="A78" s="190"/>
      <c r="B78" s="190"/>
      <c r="C78" s="190"/>
      <c r="D78" s="185"/>
      <c r="E78" s="185" t="s">
        <v>271</v>
      </c>
      <c r="F78" s="186">
        <v>0</v>
      </c>
      <c r="G78" s="186">
        <v>0</v>
      </c>
      <c r="H78" s="186">
        <v>0</v>
      </c>
      <c r="I78" s="186">
        <v>0</v>
      </c>
      <c r="J78" s="187">
        <f t="shared" si="1"/>
        <v>0</v>
      </c>
      <c r="K78" s="587"/>
    </row>
    <row r="79" spans="1:11" ht="12.75" customHeight="1">
      <c r="A79" s="190"/>
      <c r="B79" s="190"/>
      <c r="C79" s="190"/>
      <c r="D79" s="185"/>
      <c r="E79" s="185" t="s">
        <v>265</v>
      </c>
      <c r="F79" s="186">
        <v>495000</v>
      </c>
      <c r="G79" s="186">
        <v>0</v>
      </c>
      <c r="H79" s="186">
        <v>0</v>
      </c>
      <c r="I79" s="186">
        <v>0</v>
      </c>
      <c r="J79" s="187">
        <f t="shared" si="1"/>
        <v>495000</v>
      </c>
      <c r="K79" s="587"/>
    </row>
    <row r="80" spans="1:11" ht="0.75" customHeight="1" hidden="1">
      <c r="A80" s="190"/>
      <c r="B80" s="190"/>
      <c r="C80" s="190"/>
      <c r="D80" s="185"/>
      <c r="E80" s="185" t="s">
        <v>272</v>
      </c>
      <c r="F80" s="186">
        <v>0</v>
      </c>
      <c r="G80" s="186">
        <v>0</v>
      </c>
      <c r="H80" s="186">
        <v>0</v>
      </c>
      <c r="I80" s="186">
        <v>0</v>
      </c>
      <c r="J80" s="187">
        <f t="shared" si="1"/>
        <v>0</v>
      </c>
      <c r="K80" s="587"/>
    </row>
    <row r="81" spans="1:11" ht="12.75" hidden="1">
      <c r="A81" s="190"/>
      <c r="B81" s="190"/>
      <c r="C81" s="190"/>
      <c r="D81" s="185"/>
      <c r="E81" s="185" t="s">
        <v>273</v>
      </c>
      <c r="F81" s="186">
        <v>0</v>
      </c>
      <c r="G81" s="186">
        <v>0</v>
      </c>
      <c r="H81" s="186">
        <v>0</v>
      </c>
      <c r="I81" s="186">
        <v>0</v>
      </c>
      <c r="J81" s="187">
        <f t="shared" si="1"/>
        <v>0</v>
      </c>
      <c r="K81" s="587"/>
    </row>
    <row r="82" spans="1:11" ht="12.75" hidden="1">
      <c r="A82" s="190"/>
      <c r="B82" s="190"/>
      <c r="C82" s="190"/>
      <c r="D82" s="185"/>
      <c r="E82" s="185" t="s">
        <v>631</v>
      </c>
      <c r="F82" s="186"/>
      <c r="G82" s="186">
        <v>0</v>
      </c>
      <c r="H82" s="186">
        <v>0</v>
      </c>
      <c r="I82" s="186">
        <v>0</v>
      </c>
      <c r="J82" s="187">
        <f t="shared" si="1"/>
        <v>0</v>
      </c>
      <c r="K82" s="587"/>
    </row>
    <row r="83" spans="1:11" ht="30" customHeight="1" hidden="1">
      <c r="A83" s="184"/>
      <c r="B83" s="184"/>
      <c r="C83" s="184"/>
      <c r="D83" s="184"/>
      <c r="E83" s="191" t="s">
        <v>671</v>
      </c>
      <c r="F83" s="186">
        <v>0</v>
      </c>
      <c r="G83" s="186">
        <v>0</v>
      </c>
      <c r="H83" s="186">
        <v>0</v>
      </c>
      <c r="I83" s="186">
        <v>0</v>
      </c>
      <c r="J83" s="187">
        <f t="shared" si="1"/>
        <v>0</v>
      </c>
      <c r="K83" s="587"/>
    </row>
    <row r="84" spans="1:11" ht="12.75" hidden="1">
      <c r="A84" s="190"/>
      <c r="B84" s="190"/>
      <c r="C84" s="190"/>
      <c r="D84" s="190"/>
      <c r="E84" s="185" t="s">
        <v>274</v>
      </c>
      <c r="F84" s="186">
        <v>0</v>
      </c>
      <c r="G84" s="186">
        <v>0</v>
      </c>
      <c r="H84" s="186">
        <v>0</v>
      </c>
      <c r="I84" s="186">
        <v>0</v>
      </c>
      <c r="J84" s="187">
        <f t="shared" si="1"/>
        <v>0</v>
      </c>
      <c r="K84" s="587"/>
    </row>
    <row r="85" spans="1:11" ht="12.75">
      <c r="A85" s="184"/>
      <c r="B85" s="184"/>
      <c r="C85" s="184"/>
      <c r="D85" s="184"/>
      <c r="E85" s="189" t="s">
        <v>275</v>
      </c>
      <c r="F85" s="186">
        <v>650000</v>
      </c>
      <c r="G85" s="186">
        <v>0</v>
      </c>
      <c r="H85" s="186">
        <v>0</v>
      </c>
      <c r="I85" s="186">
        <v>0</v>
      </c>
      <c r="J85" s="187">
        <f t="shared" si="1"/>
        <v>650000</v>
      </c>
      <c r="K85" s="587"/>
    </row>
    <row r="86" spans="1:11" s="175" customFormat="1" ht="12.75">
      <c r="A86" s="173" t="s">
        <v>276</v>
      </c>
      <c r="B86" s="947" t="s">
        <v>277</v>
      </c>
      <c r="C86" s="947"/>
      <c r="D86" s="947"/>
      <c r="E86" s="947"/>
      <c r="F86" s="174">
        <f>SUM(F87+F88+F91+F93+F100+F101+F102+F103+F110+F118+F119)</f>
        <v>43031273</v>
      </c>
      <c r="G86" s="174">
        <f>SUM(G87+G88+G91+G93+G100+G101+G102+G103+G110+G118+G119)</f>
        <v>5176466</v>
      </c>
      <c r="H86" s="174">
        <f>SUM(H87+H88+H91+H93+H100+H101+H102+H103+H110+H118+H119)</f>
        <v>1223067</v>
      </c>
      <c r="I86" s="174">
        <f>SUM(I87+I88+I91+I93+I100+I101+I102+I103+I110+I118+I119)</f>
        <v>4044435</v>
      </c>
      <c r="J86" s="174">
        <f t="shared" si="1"/>
        <v>53475241</v>
      </c>
      <c r="K86" s="584"/>
    </row>
    <row r="87" spans="1:11" ht="12.75">
      <c r="A87" s="179"/>
      <c r="B87" s="179"/>
      <c r="C87" s="179" t="s">
        <v>278</v>
      </c>
      <c r="D87" s="179" t="s">
        <v>547</v>
      </c>
      <c r="E87" s="179"/>
      <c r="F87" s="180">
        <f>400000+5848600</f>
        <v>6248600</v>
      </c>
      <c r="G87" s="180">
        <v>0</v>
      </c>
      <c r="H87" s="180">
        <v>0</v>
      </c>
      <c r="I87" s="180">
        <v>0</v>
      </c>
      <c r="J87" s="181">
        <f t="shared" si="1"/>
        <v>6248600</v>
      </c>
      <c r="K87" s="586"/>
    </row>
    <row r="88" spans="1:11" ht="11.25" customHeight="1">
      <c r="A88" s="179"/>
      <c r="B88" s="179"/>
      <c r="C88" s="179" t="s">
        <v>279</v>
      </c>
      <c r="D88" s="179" t="s">
        <v>351</v>
      </c>
      <c r="E88" s="179"/>
      <c r="F88" s="180">
        <f>14236474+4500000+48819</f>
        <v>18785293</v>
      </c>
      <c r="G88" s="180">
        <v>250000</v>
      </c>
      <c r="H88" s="180">
        <v>0</v>
      </c>
      <c r="I88" s="180">
        <f>100559+2851094</f>
        <v>2951653</v>
      </c>
      <c r="J88" s="181">
        <f t="shared" si="1"/>
        <v>21986946</v>
      </c>
      <c r="K88" s="586"/>
    </row>
    <row r="89" spans="1:11" ht="12.75" hidden="1">
      <c r="A89" s="184"/>
      <c r="B89" s="184"/>
      <c r="C89" s="185" t="s">
        <v>2</v>
      </c>
      <c r="D89" s="185"/>
      <c r="E89" s="185" t="s">
        <v>280</v>
      </c>
      <c r="F89" s="192">
        <f>13202074+194400+840000</f>
        <v>14236474</v>
      </c>
      <c r="G89" s="192">
        <v>0</v>
      </c>
      <c r="H89" s="186">
        <v>0</v>
      </c>
      <c r="I89" s="186">
        <f>50000+600000</f>
        <v>650000</v>
      </c>
      <c r="J89" s="187">
        <f t="shared" si="1"/>
        <v>14886474</v>
      </c>
      <c r="K89" s="587"/>
    </row>
    <row r="90" spans="1:11" ht="12.75" hidden="1">
      <c r="A90" s="184"/>
      <c r="B90" s="184"/>
      <c r="C90" s="185"/>
      <c r="D90" s="185"/>
      <c r="E90" s="185" t="s">
        <v>672</v>
      </c>
      <c r="F90" s="186">
        <v>0</v>
      </c>
      <c r="G90" s="186">
        <v>0</v>
      </c>
      <c r="H90" s="186">
        <v>0</v>
      </c>
      <c r="I90" s="186">
        <v>0</v>
      </c>
      <c r="J90" s="187">
        <f t="shared" si="1"/>
        <v>0</v>
      </c>
      <c r="K90" s="587"/>
    </row>
    <row r="91" spans="1:11" ht="12.75">
      <c r="A91" s="179"/>
      <c r="B91" s="179"/>
      <c r="C91" s="179" t="s">
        <v>281</v>
      </c>
      <c r="D91" s="179" t="s">
        <v>282</v>
      </c>
      <c r="E91" s="179"/>
      <c r="F91" s="180">
        <f>2486532+652000+101556+36960</f>
        <v>3277048</v>
      </c>
      <c r="G91" s="180">
        <v>3949049</v>
      </c>
      <c r="H91" s="180">
        <v>0</v>
      </c>
      <c r="I91" s="180">
        <v>360500</v>
      </c>
      <c r="J91" s="181">
        <f t="shared" si="1"/>
        <v>7586597</v>
      </c>
      <c r="K91" s="586"/>
    </row>
    <row r="92" spans="1:11" ht="12.75" hidden="1">
      <c r="A92" s="184"/>
      <c r="B92" s="184"/>
      <c r="C92" s="185" t="s">
        <v>2</v>
      </c>
      <c r="D92" s="185"/>
      <c r="E92" s="185" t="s">
        <v>7</v>
      </c>
      <c r="F92" s="186">
        <f>1707176+250000+101556</f>
        <v>2058732</v>
      </c>
      <c r="G92" s="186">
        <v>1604136</v>
      </c>
      <c r="H92" s="186">
        <v>0</v>
      </c>
      <c r="I92" s="186">
        <v>0</v>
      </c>
      <c r="J92" s="187">
        <f t="shared" si="1"/>
        <v>3662868</v>
      </c>
      <c r="K92" s="587"/>
    </row>
    <row r="93" spans="1:11" ht="12" customHeight="1">
      <c r="A93" s="179"/>
      <c r="B93" s="179"/>
      <c r="C93" s="179" t="s">
        <v>283</v>
      </c>
      <c r="D93" s="179" t="s">
        <v>284</v>
      </c>
      <c r="E93" s="179"/>
      <c r="F93" s="180">
        <v>639000</v>
      </c>
      <c r="G93" s="180">
        <v>0</v>
      </c>
      <c r="H93" s="180">
        <v>0</v>
      </c>
      <c r="I93" s="180">
        <v>0</v>
      </c>
      <c r="J93" s="181">
        <f t="shared" si="1"/>
        <v>639000</v>
      </c>
      <c r="K93" s="586"/>
    </row>
    <row r="94" spans="1:11" ht="12.75" hidden="1">
      <c r="A94" s="184"/>
      <c r="B94" s="184"/>
      <c r="C94" s="185" t="s">
        <v>2</v>
      </c>
      <c r="D94" s="185"/>
      <c r="E94" s="185" t="s">
        <v>285</v>
      </c>
      <c r="F94" s="186">
        <v>0</v>
      </c>
      <c r="G94" s="186">
        <v>0</v>
      </c>
      <c r="H94" s="186">
        <v>0</v>
      </c>
      <c r="I94" s="186">
        <v>0</v>
      </c>
      <c r="J94" s="187">
        <f t="shared" si="1"/>
        <v>0</v>
      </c>
      <c r="K94" s="587"/>
    </row>
    <row r="95" spans="1:11" ht="12.75" hidden="1">
      <c r="A95" s="184"/>
      <c r="B95" s="184"/>
      <c r="C95" s="185"/>
      <c r="D95" s="185"/>
      <c r="E95" s="185" t="s">
        <v>673</v>
      </c>
      <c r="F95" s="186">
        <v>0</v>
      </c>
      <c r="G95" s="186">
        <v>0</v>
      </c>
      <c r="H95" s="186">
        <v>0</v>
      </c>
      <c r="I95" s="186">
        <v>0</v>
      </c>
      <c r="J95" s="187">
        <f t="shared" si="1"/>
        <v>0</v>
      </c>
      <c r="K95" s="587"/>
    </row>
    <row r="96" spans="1:11" ht="12" customHeight="1" hidden="1">
      <c r="A96" s="184"/>
      <c r="B96" s="184"/>
      <c r="C96" s="185" t="s">
        <v>2</v>
      </c>
      <c r="D96" s="185"/>
      <c r="E96" s="185" t="s">
        <v>674</v>
      </c>
      <c r="F96" s="186">
        <v>639000</v>
      </c>
      <c r="G96" s="186">
        <v>0</v>
      </c>
      <c r="H96" s="186">
        <v>0</v>
      </c>
      <c r="I96" s="186">
        <v>0</v>
      </c>
      <c r="J96" s="187">
        <f t="shared" si="1"/>
        <v>639000</v>
      </c>
      <c r="K96" s="587"/>
    </row>
    <row r="97" spans="1:11" ht="12.75" hidden="1">
      <c r="A97" s="184"/>
      <c r="B97" s="184"/>
      <c r="C97" s="185"/>
      <c r="D97" s="185"/>
      <c r="E97" s="185" t="s">
        <v>675</v>
      </c>
      <c r="F97" s="186">
        <v>0</v>
      </c>
      <c r="G97" s="186">
        <v>0</v>
      </c>
      <c r="H97" s="186">
        <v>0</v>
      </c>
      <c r="I97" s="186">
        <v>0</v>
      </c>
      <c r="J97" s="187">
        <f t="shared" si="1"/>
        <v>0</v>
      </c>
      <c r="K97" s="587"/>
    </row>
    <row r="98" spans="1:11" ht="12.75" hidden="1">
      <c r="A98" s="184"/>
      <c r="B98" s="184"/>
      <c r="C98" s="185"/>
      <c r="D98" s="185"/>
      <c r="E98" s="185" t="s">
        <v>676</v>
      </c>
      <c r="F98" s="186">
        <v>0</v>
      </c>
      <c r="G98" s="186">
        <v>0</v>
      </c>
      <c r="H98" s="186">
        <v>0</v>
      </c>
      <c r="I98" s="186">
        <v>0</v>
      </c>
      <c r="J98" s="187">
        <f t="shared" si="1"/>
        <v>0</v>
      </c>
      <c r="K98" s="587"/>
    </row>
    <row r="99" spans="1:11" ht="12.75" hidden="1">
      <c r="A99" s="184"/>
      <c r="B99" s="184"/>
      <c r="C99" s="185"/>
      <c r="D99" s="185"/>
      <c r="E99" s="185" t="s">
        <v>548</v>
      </c>
      <c r="F99" s="186">
        <v>0</v>
      </c>
      <c r="G99" s="186">
        <v>0</v>
      </c>
      <c r="H99" s="186">
        <v>0</v>
      </c>
      <c r="I99" s="186">
        <v>0</v>
      </c>
      <c r="J99" s="187">
        <f t="shared" si="1"/>
        <v>0</v>
      </c>
      <c r="K99" s="587"/>
    </row>
    <row r="100" spans="1:11" ht="12.75">
      <c r="A100" s="179"/>
      <c r="B100" s="179"/>
      <c r="C100" s="179" t="s">
        <v>286</v>
      </c>
      <c r="D100" s="179" t="s">
        <v>287</v>
      </c>
      <c r="E100" s="179"/>
      <c r="F100" s="180">
        <v>5498780</v>
      </c>
      <c r="G100" s="180">
        <v>0</v>
      </c>
      <c r="H100" s="180">
        <f>713200+250155</f>
        <v>963355</v>
      </c>
      <c r="I100" s="180">
        <v>0</v>
      </c>
      <c r="J100" s="181">
        <f t="shared" si="1"/>
        <v>6462135</v>
      </c>
      <c r="K100" s="586"/>
    </row>
    <row r="101" spans="1:11" ht="12.75">
      <c r="A101" s="179"/>
      <c r="B101" s="179"/>
      <c r="C101" s="179" t="s">
        <v>288</v>
      </c>
      <c r="D101" s="179" t="s">
        <v>289</v>
      </c>
      <c r="E101" s="179"/>
      <c r="F101" s="180">
        <f>551266+176040+1323000+1484671+15638+13181+9979</f>
        <v>3573775</v>
      </c>
      <c r="G101" s="180">
        <v>977417</v>
      </c>
      <c r="H101" s="180">
        <f>192170+67542</f>
        <v>259712</v>
      </c>
      <c r="I101" s="180">
        <f>27151+705130+1</f>
        <v>732282</v>
      </c>
      <c r="J101" s="181">
        <f t="shared" si="1"/>
        <v>5543186</v>
      </c>
      <c r="K101" s="586"/>
    </row>
    <row r="102" spans="1:11" ht="12.75">
      <c r="A102" s="179"/>
      <c r="B102" s="179"/>
      <c r="C102" s="179" t="s">
        <v>290</v>
      </c>
      <c r="D102" s="179" t="s">
        <v>291</v>
      </c>
      <c r="E102" s="179"/>
      <c r="F102" s="180">
        <f>0+3863162+809838</f>
        <v>4673000</v>
      </c>
      <c r="G102" s="180">
        <v>0</v>
      </c>
      <c r="H102" s="180">
        <v>0</v>
      </c>
      <c r="I102" s="180">
        <v>0</v>
      </c>
      <c r="J102" s="181">
        <f t="shared" si="1"/>
        <v>4673000</v>
      </c>
      <c r="K102" s="586"/>
    </row>
    <row r="103" spans="1:11" ht="11.25" customHeight="1">
      <c r="A103" s="179"/>
      <c r="B103" s="179"/>
      <c r="C103" s="179" t="s">
        <v>292</v>
      </c>
      <c r="D103" s="179" t="s">
        <v>592</v>
      </c>
      <c r="E103" s="179"/>
      <c r="F103" s="180">
        <f>SUM(F104,F107)</f>
        <v>3000</v>
      </c>
      <c r="G103" s="180">
        <f>SUM(G104+G107)</f>
        <v>0</v>
      </c>
      <c r="H103" s="180">
        <f>SUM(H104+H107)</f>
        <v>0</v>
      </c>
      <c r="I103" s="180">
        <f>SUM(I104+I107)</f>
        <v>0</v>
      </c>
      <c r="J103" s="181">
        <f t="shared" si="1"/>
        <v>3000</v>
      </c>
      <c r="K103" s="586"/>
    </row>
    <row r="104" spans="1:11" ht="12.75" hidden="1">
      <c r="A104" s="179"/>
      <c r="B104" s="179"/>
      <c r="C104" s="185"/>
      <c r="D104" s="949" t="s">
        <v>677</v>
      </c>
      <c r="E104" s="950"/>
      <c r="F104" s="186">
        <v>0</v>
      </c>
      <c r="G104" s="186">
        <v>0</v>
      </c>
      <c r="H104" s="186">
        <v>0</v>
      </c>
      <c r="I104" s="186">
        <v>0</v>
      </c>
      <c r="J104" s="187">
        <f t="shared" si="1"/>
        <v>0</v>
      </c>
      <c r="K104" s="587"/>
    </row>
    <row r="105" spans="1:11" ht="12.75" hidden="1">
      <c r="A105" s="179"/>
      <c r="B105" s="179"/>
      <c r="C105" s="179" t="s">
        <v>2</v>
      </c>
      <c r="D105" s="179"/>
      <c r="E105" s="185" t="s">
        <v>7</v>
      </c>
      <c r="F105" s="186">
        <v>0</v>
      </c>
      <c r="G105" s="186">
        <v>0</v>
      </c>
      <c r="H105" s="186">
        <v>0</v>
      </c>
      <c r="I105" s="186">
        <v>0</v>
      </c>
      <c r="J105" s="187">
        <f t="shared" si="1"/>
        <v>0</v>
      </c>
      <c r="K105" s="587"/>
    </row>
    <row r="106" spans="1:11" ht="12.75" hidden="1">
      <c r="A106" s="179"/>
      <c r="B106" s="179"/>
      <c r="C106" s="179"/>
      <c r="D106" s="179"/>
      <c r="E106" s="185" t="s">
        <v>678</v>
      </c>
      <c r="F106" s="186">
        <v>0</v>
      </c>
      <c r="G106" s="186">
        <v>0</v>
      </c>
      <c r="H106" s="186">
        <v>0</v>
      </c>
      <c r="I106" s="186">
        <v>0</v>
      </c>
      <c r="J106" s="187">
        <f t="shared" si="1"/>
        <v>0</v>
      </c>
      <c r="K106" s="587"/>
    </row>
    <row r="107" spans="1:11" ht="12.75" hidden="1">
      <c r="A107" s="179"/>
      <c r="B107" s="179"/>
      <c r="C107" s="179" t="s">
        <v>2</v>
      </c>
      <c r="D107" s="949" t="s">
        <v>594</v>
      </c>
      <c r="E107" s="950"/>
      <c r="F107" s="186">
        <v>3000</v>
      </c>
      <c r="G107" s="186">
        <v>0</v>
      </c>
      <c r="H107" s="186">
        <v>0</v>
      </c>
      <c r="I107" s="186">
        <v>0</v>
      </c>
      <c r="J107" s="187">
        <f t="shared" si="1"/>
        <v>3000</v>
      </c>
      <c r="K107" s="587"/>
    </row>
    <row r="108" spans="1:11" ht="12.75" hidden="1">
      <c r="A108" s="179"/>
      <c r="B108" s="179"/>
      <c r="C108" s="179"/>
      <c r="D108" s="179"/>
      <c r="E108" s="185" t="s">
        <v>7</v>
      </c>
      <c r="F108" s="186">
        <v>0</v>
      </c>
      <c r="G108" s="186">
        <v>0</v>
      </c>
      <c r="H108" s="186">
        <v>0</v>
      </c>
      <c r="I108" s="186">
        <v>0</v>
      </c>
      <c r="J108" s="187">
        <f t="shared" si="1"/>
        <v>0</v>
      </c>
      <c r="K108" s="587"/>
    </row>
    <row r="109" spans="1:11" ht="12.75" hidden="1">
      <c r="A109" s="179"/>
      <c r="B109" s="179"/>
      <c r="C109" s="179"/>
      <c r="D109" s="179"/>
      <c r="E109" s="185" t="s">
        <v>549</v>
      </c>
      <c r="F109" s="186">
        <v>0</v>
      </c>
      <c r="G109" s="186">
        <v>0</v>
      </c>
      <c r="H109" s="186">
        <v>0</v>
      </c>
      <c r="I109" s="186">
        <v>0</v>
      </c>
      <c r="J109" s="187">
        <f t="shared" si="1"/>
        <v>0</v>
      </c>
      <c r="K109" s="587"/>
    </row>
    <row r="110" spans="1:11" ht="12.75">
      <c r="A110" s="179"/>
      <c r="B110" s="179"/>
      <c r="C110" s="179" t="s">
        <v>293</v>
      </c>
      <c r="D110" s="179" t="s">
        <v>597</v>
      </c>
      <c r="E110" s="179"/>
      <c r="F110" s="180">
        <f>SUM(F111:F112)</f>
        <v>0</v>
      </c>
      <c r="G110" s="180">
        <f>SUM(G111:G112)</f>
        <v>0</v>
      </c>
      <c r="H110" s="180">
        <f>SUM(H111:H112)</f>
        <v>0</v>
      </c>
      <c r="I110" s="180">
        <f>SUM(I111:I112)</f>
        <v>0</v>
      </c>
      <c r="J110" s="181">
        <f t="shared" si="1"/>
        <v>0</v>
      </c>
      <c r="K110" s="586"/>
    </row>
    <row r="111" spans="1:11" ht="12.75" hidden="1">
      <c r="A111" s="179"/>
      <c r="B111" s="179"/>
      <c r="C111" s="179"/>
      <c r="D111" s="949" t="s">
        <v>595</v>
      </c>
      <c r="E111" s="950"/>
      <c r="F111" s="180">
        <v>0</v>
      </c>
      <c r="G111" s="180">
        <v>0</v>
      </c>
      <c r="H111" s="180">
        <v>0</v>
      </c>
      <c r="I111" s="180">
        <v>0</v>
      </c>
      <c r="J111" s="181">
        <f t="shared" si="1"/>
        <v>0</v>
      </c>
      <c r="K111" s="586"/>
    </row>
    <row r="112" spans="1:11" ht="12.75" hidden="1">
      <c r="A112" s="179"/>
      <c r="B112" s="179"/>
      <c r="C112" s="179"/>
      <c r="D112" s="949" t="s">
        <v>596</v>
      </c>
      <c r="E112" s="950"/>
      <c r="F112" s="180">
        <v>0</v>
      </c>
      <c r="G112" s="180">
        <v>0</v>
      </c>
      <c r="H112" s="180">
        <v>0</v>
      </c>
      <c r="I112" s="180">
        <v>0</v>
      </c>
      <c r="J112" s="181">
        <f t="shared" si="1"/>
        <v>0</v>
      </c>
      <c r="K112" s="586"/>
    </row>
    <row r="113" spans="1:11" ht="12.75" hidden="1">
      <c r="A113" s="179"/>
      <c r="B113" s="179"/>
      <c r="C113" s="179" t="s">
        <v>2</v>
      </c>
      <c r="D113" s="179"/>
      <c r="E113" s="185" t="s">
        <v>598</v>
      </c>
      <c r="F113" s="180">
        <v>0</v>
      </c>
      <c r="G113" s="180">
        <v>0</v>
      </c>
      <c r="H113" s="180">
        <v>0</v>
      </c>
      <c r="I113" s="180">
        <v>0</v>
      </c>
      <c r="J113" s="181">
        <f t="shared" si="1"/>
        <v>0</v>
      </c>
      <c r="K113" s="586"/>
    </row>
    <row r="114" spans="1:11" ht="12.75" hidden="1">
      <c r="A114" s="179"/>
      <c r="B114" s="179"/>
      <c r="C114" s="179"/>
      <c r="D114" s="179"/>
      <c r="E114" s="185" t="s">
        <v>593</v>
      </c>
      <c r="F114" s="180">
        <v>0</v>
      </c>
      <c r="G114" s="180">
        <v>0</v>
      </c>
      <c r="H114" s="180">
        <v>0</v>
      </c>
      <c r="I114" s="180">
        <v>0</v>
      </c>
      <c r="J114" s="181">
        <f t="shared" si="1"/>
        <v>0</v>
      </c>
      <c r="K114" s="586"/>
    </row>
    <row r="115" spans="1:11" ht="12.75" hidden="1">
      <c r="A115" s="179"/>
      <c r="B115" s="179"/>
      <c r="C115" s="179"/>
      <c r="D115" s="179"/>
      <c r="E115" s="185" t="s">
        <v>599</v>
      </c>
      <c r="F115" s="180">
        <v>0</v>
      </c>
      <c r="G115" s="180">
        <v>0</v>
      </c>
      <c r="H115" s="180">
        <v>0</v>
      </c>
      <c r="I115" s="180">
        <v>0</v>
      </c>
      <c r="J115" s="181">
        <f t="shared" si="1"/>
        <v>0</v>
      </c>
      <c r="K115" s="586"/>
    </row>
    <row r="116" spans="1:11" ht="12.75" hidden="1">
      <c r="A116" s="179"/>
      <c r="B116" s="179"/>
      <c r="C116" s="179"/>
      <c r="D116" s="179"/>
      <c r="E116" s="185" t="s">
        <v>600</v>
      </c>
      <c r="F116" s="180">
        <v>0</v>
      </c>
      <c r="G116" s="180">
        <v>0</v>
      </c>
      <c r="H116" s="180">
        <v>0</v>
      </c>
      <c r="I116" s="180">
        <v>0</v>
      </c>
      <c r="J116" s="181">
        <f t="shared" si="1"/>
        <v>0</v>
      </c>
      <c r="K116" s="586"/>
    </row>
    <row r="117" spans="1:11" ht="12.75" hidden="1">
      <c r="A117" s="179"/>
      <c r="B117" s="179"/>
      <c r="C117" s="179"/>
      <c r="D117" s="179"/>
      <c r="E117" s="185" t="s">
        <v>601</v>
      </c>
      <c r="F117" s="180">
        <v>0</v>
      </c>
      <c r="G117" s="180">
        <v>0</v>
      </c>
      <c r="H117" s="180">
        <v>0</v>
      </c>
      <c r="I117" s="180">
        <v>0</v>
      </c>
      <c r="J117" s="181">
        <f t="shared" si="1"/>
        <v>0</v>
      </c>
      <c r="K117" s="586"/>
    </row>
    <row r="118" spans="1:11" ht="12.75">
      <c r="A118" s="179"/>
      <c r="B118" s="179"/>
      <c r="C118" s="179" t="s">
        <v>294</v>
      </c>
      <c r="D118" s="179" t="s">
        <v>550</v>
      </c>
      <c r="E118" s="179"/>
      <c r="F118" s="180">
        <v>0</v>
      </c>
      <c r="G118" s="180">
        <v>0</v>
      </c>
      <c r="H118" s="180">
        <v>0</v>
      </c>
      <c r="I118" s="180">
        <v>0</v>
      </c>
      <c r="J118" s="181">
        <f t="shared" si="1"/>
        <v>0</v>
      </c>
      <c r="K118" s="586"/>
    </row>
    <row r="119" spans="1:11" s="437" customFormat="1" ht="22.5" customHeight="1">
      <c r="A119" s="1339"/>
      <c r="B119" s="1339"/>
      <c r="C119" s="1339" t="s">
        <v>551</v>
      </c>
      <c r="D119" s="1340" t="s">
        <v>552</v>
      </c>
      <c r="E119" s="1340"/>
      <c r="F119" s="1341">
        <f>10801933+60128-10529284</f>
        <v>332777</v>
      </c>
      <c r="G119" s="1341">
        <v>0</v>
      </c>
      <c r="H119" s="1341">
        <v>0</v>
      </c>
      <c r="I119" s="1341">
        <v>0</v>
      </c>
      <c r="J119" s="1342">
        <f t="shared" si="1"/>
        <v>332777</v>
      </c>
      <c r="K119" s="1343"/>
    </row>
    <row r="120" spans="1:11" ht="45.75" customHeight="1" hidden="1">
      <c r="A120" s="183"/>
      <c r="B120" s="183"/>
      <c r="C120" s="193" t="s">
        <v>2</v>
      </c>
      <c r="D120" s="191" t="s">
        <v>434</v>
      </c>
      <c r="E120" s="191" t="s">
        <v>574</v>
      </c>
      <c r="F120" s="186">
        <v>0</v>
      </c>
      <c r="G120" s="186">
        <v>0</v>
      </c>
      <c r="H120" s="186">
        <v>0</v>
      </c>
      <c r="I120" s="186">
        <v>0</v>
      </c>
      <c r="J120" s="187">
        <f t="shared" si="1"/>
        <v>0</v>
      </c>
      <c r="K120" s="587"/>
    </row>
    <row r="121" spans="1:11" ht="13.5" customHeight="1" hidden="1">
      <c r="A121" s="184"/>
      <c r="B121" s="184"/>
      <c r="C121" s="184"/>
      <c r="D121" s="185" t="s">
        <v>434</v>
      </c>
      <c r="E121" s="194" t="s">
        <v>602</v>
      </c>
      <c r="F121" s="186"/>
      <c r="G121" s="186">
        <v>0</v>
      </c>
      <c r="H121" s="186">
        <v>0</v>
      </c>
      <c r="I121" s="186">
        <v>0</v>
      </c>
      <c r="J121" s="187">
        <f t="shared" si="1"/>
        <v>0</v>
      </c>
      <c r="K121" s="587"/>
    </row>
    <row r="122" spans="1:11" s="175" customFormat="1" ht="12" customHeight="1">
      <c r="A122" s="173" t="s">
        <v>295</v>
      </c>
      <c r="B122" s="947" t="s">
        <v>296</v>
      </c>
      <c r="C122" s="947"/>
      <c r="D122" s="947"/>
      <c r="E122" s="947"/>
      <c r="F122" s="174">
        <f>SUM(F123+F125+F127+F128+F129+F130)</f>
        <v>41012809</v>
      </c>
      <c r="G122" s="174">
        <f>SUM(G123+G125+G127+G128+G129)</f>
        <v>0</v>
      </c>
      <c r="H122" s="174">
        <f>SUM(H123+H125+H127+H128+H129)</f>
        <v>0</v>
      </c>
      <c r="I122" s="174">
        <f>SUM(I123+I125+I127+I128+I129)</f>
        <v>0</v>
      </c>
      <c r="J122" s="174">
        <f t="shared" si="1"/>
        <v>41012809</v>
      </c>
      <c r="K122" s="584"/>
    </row>
    <row r="123" spans="1:11" ht="11.25" customHeight="1" hidden="1">
      <c r="A123" s="176"/>
      <c r="B123" s="176" t="s">
        <v>297</v>
      </c>
      <c r="C123" s="939" t="s">
        <v>352</v>
      </c>
      <c r="D123" s="939"/>
      <c r="E123" s="939"/>
      <c r="F123" s="177">
        <v>0</v>
      </c>
      <c r="G123" s="177">
        <v>0</v>
      </c>
      <c r="H123" s="177">
        <v>0</v>
      </c>
      <c r="I123" s="177">
        <v>0</v>
      </c>
      <c r="J123" s="178">
        <f t="shared" si="1"/>
        <v>0</v>
      </c>
      <c r="K123" s="585"/>
    </row>
    <row r="124" spans="1:11" ht="12.75" hidden="1">
      <c r="A124" s="184"/>
      <c r="B124" s="184"/>
      <c r="C124" s="185" t="s">
        <v>2</v>
      </c>
      <c r="D124" s="185" t="s">
        <v>434</v>
      </c>
      <c r="E124" s="185" t="s">
        <v>649</v>
      </c>
      <c r="F124" s="186">
        <v>0</v>
      </c>
      <c r="G124" s="186">
        <v>0</v>
      </c>
      <c r="H124" s="186">
        <v>0</v>
      </c>
      <c r="I124" s="186">
        <v>0</v>
      </c>
      <c r="J124" s="187">
        <f t="shared" si="1"/>
        <v>0</v>
      </c>
      <c r="K124" s="587"/>
    </row>
    <row r="125" spans="1:11" ht="11.25" customHeight="1">
      <c r="A125" s="176"/>
      <c r="B125" s="176" t="s">
        <v>298</v>
      </c>
      <c r="C125" s="939" t="s">
        <v>299</v>
      </c>
      <c r="D125" s="939"/>
      <c r="E125" s="939"/>
      <c r="F125" s="177">
        <f>62747330-3831623-848360+15172896+672563+3300476-30000000+1066203+500000-6753000+1032600+15000-1150000-1011276</f>
        <v>40912809</v>
      </c>
      <c r="G125" s="177">
        <v>0</v>
      </c>
      <c r="H125" s="177">
        <v>0</v>
      </c>
      <c r="I125" s="177">
        <v>0</v>
      </c>
      <c r="J125" s="178">
        <f t="shared" si="1"/>
        <v>40912809</v>
      </c>
      <c r="K125" s="585"/>
    </row>
    <row r="126" spans="1:11" ht="12.75" hidden="1">
      <c r="A126" s="184"/>
      <c r="B126" s="184"/>
      <c r="C126" s="185" t="s">
        <v>2</v>
      </c>
      <c r="D126" s="185" t="s">
        <v>434</v>
      </c>
      <c r="E126" s="185" t="s">
        <v>300</v>
      </c>
      <c r="F126" s="186">
        <v>0</v>
      </c>
      <c r="G126" s="186">
        <v>0</v>
      </c>
      <c r="H126" s="186">
        <v>0</v>
      </c>
      <c r="I126" s="186">
        <v>0</v>
      </c>
      <c r="J126" s="187">
        <f t="shared" si="1"/>
        <v>0</v>
      </c>
      <c r="K126" s="587"/>
    </row>
    <row r="127" spans="1:11" ht="12.75" hidden="1">
      <c r="A127" s="176"/>
      <c r="B127" s="176" t="s">
        <v>301</v>
      </c>
      <c r="C127" s="939" t="s">
        <v>302</v>
      </c>
      <c r="D127" s="939"/>
      <c r="E127" s="939"/>
      <c r="F127" s="177">
        <v>0</v>
      </c>
      <c r="G127" s="177">
        <v>0</v>
      </c>
      <c r="H127" s="177">
        <v>0</v>
      </c>
      <c r="I127" s="177">
        <v>0</v>
      </c>
      <c r="J127" s="178">
        <f t="shared" si="1"/>
        <v>0</v>
      </c>
      <c r="K127" s="585"/>
    </row>
    <row r="128" spans="1:11" ht="12.75" hidden="1">
      <c r="A128" s="176"/>
      <c r="B128" s="176" t="s">
        <v>303</v>
      </c>
      <c r="C128" s="939" t="s">
        <v>304</v>
      </c>
      <c r="D128" s="939"/>
      <c r="E128" s="939"/>
      <c r="F128" s="177">
        <v>0</v>
      </c>
      <c r="G128" s="177">
        <v>0</v>
      </c>
      <c r="H128" s="177">
        <v>0</v>
      </c>
      <c r="I128" s="177">
        <v>0</v>
      </c>
      <c r="J128" s="178">
        <f t="shared" si="1"/>
        <v>0</v>
      </c>
      <c r="K128" s="585"/>
    </row>
    <row r="129" spans="1:11" ht="12.75" hidden="1">
      <c r="A129" s="176"/>
      <c r="B129" s="176" t="s">
        <v>305</v>
      </c>
      <c r="C129" s="939" t="s">
        <v>306</v>
      </c>
      <c r="D129" s="939"/>
      <c r="E129" s="939"/>
      <c r="F129" s="177">
        <v>0</v>
      </c>
      <c r="G129" s="177">
        <v>0</v>
      </c>
      <c r="H129" s="177">
        <v>0</v>
      </c>
      <c r="I129" s="177">
        <v>0</v>
      </c>
      <c r="J129" s="178">
        <f t="shared" si="1"/>
        <v>0</v>
      </c>
      <c r="K129" s="585"/>
    </row>
    <row r="130" spans="1:11" ht="11.25" customHeight="1">
      <c r="A130" s="176"/>
      <c r="B130" s="176" t="s">
        <v>301</v>
      </c>
      <c r="C130" s="939" t="s">
        <v>302</v>
      </c>
      <c r="D130" s="939"/>
      <c r="E130" s="939"/>
      <c r="F130" s="177">
        <v>100000</v>
      </c>
      <c r="G130" s="177">
        <v>0</v>
      </c>
      <c r="H130" s="177">
        <v>0</v>
      </c>
      <c r="I130" s="177">
        <v>0</v>
      </c>
      <c r="J130" s="178">
        <f>SUM(F130:I130)</f>
        <v>100000</v>
      </c>
      <c r="K130" s="585"/>
    </row>
    <row r="131" spans="1:11" s="175" customFormat="1" ht="12" customHeight="1">
      <c r="A131" s="173" t="s">
        <v>307</v>
      </c>
      <c r="B131" s="947" t="s">
        <v>308</v>
      </c>
      <c r="C131" s="947"/>
      <c r="D131" s="947"/>
      <c r="E131" s="947"/>
      <c r="F131" s="174">
        <f>SUM(F132+F133+F134+F135+F145)</f>
        <v>369571</v>
      </c>
      <c r="G131" s="174">
        <f>SUM(G132+G133+G134+G135+G145)</f>
        <v>0</v>
      </c>
      <c r="H131" s="174">
        <f>SUM(H132+H133+H134+H135+H145)</f>
        <v>0</v>
      </c>
      <c r="I131" s="174">
        <f>SUM(I132+I133+I134+I135+I145)</f>
        <v>0</v>
      </c>
      <c r="J131" s="174">
        <f t="shared" si="1"/>
        <v>369571</v>
      </c>
      <c r="K131" s="584"/>
    </row>
    <row r="132" spans="1:11" ht="12.75" hidden="1">
      <c r="A132" s="176"/>
      <c r="B132" s="176" t="s">
        <v>309</v>
      </c>
      <c r="C132" s="939" t="s">
        <v>679</v>
      </c>
      <c r="D132" s="939"/>
      <c r="E132" s="939"/>
      <c r="F132" s="177">
        <v>0</v>
      </c>
      <c r="G132" s="177">
        <v>0</v>
      </c>
      <c r="H132" s="177">
        <v>0</v>
      </c>
      <c r="I132" s="177">
        <v>0</v>
      </c>
      <c r="J132" s="178">
        <f t="shared" si="1"/>
        <v>0</v>
      </c>
      <c r="K132" s="585"/>
    </row>
    <row r="133" spans="1:11" ht="12.75" hidden="1">
      <c r="A133" s="176"/>
      <c r="B133" s="176" t="s">
        <v>310</v>
      </c>
      <c r="C133" s="939" t="s">
        <v>680</v>
      </c>
      <c r="D133" s="939"/>
      <c r="E133" s="939"/>
      <c r="F133" s="177">
        <v>0</v>
      </c>
      <c r="G133" s="177">
        <v>0</v>
      </c>
      <c r="H133" s="177">
        <v>0</v>
      </c>
      <c r="I133" s="177">
        <v>0</v>
      </c>
      <c r="J133" s="178">
        <f t="shared" si="1"/>
        <v>0</v>
      </c>
      <c r="K133" s="585"/>
    </row>
    <row r="134" spans="1:11" ht="26.25" customHeight="1" hidden="1">
      <c r="A134" s="176"/>
      <c r="B134" s="176" t="s">
        <v>312</v>
      </c>
      <c r="C134" s="948" t="s">
        <v>681</v>
      </c>
      <c r="D134" s="948"/>
      <c r="E134" s="948"/>
      <c r="F134" s="177">
        <v>0</v>
      </c>
      <c r="G134" s="177">
        <v>0</v>
      </c>
      <c r="H134" s="177">
        <v>0</v>
      </c>
      <c r="I134" s="177">
        <v>0</v>
      </c>
      <c r="J134" s="178">
        <f t="shared" si="1"/>
        <v>0</v>
      </c>
      <c r="K134" s="585"/>
    </row>
    <row r="135" spans="1:11" ht="12.75" hidden="1">
      <c r="A135" s="176"/>
      <c r="B135" s="176" t="s">
        <v>553</v>
      </c>
      <c r="C135" s="939" t="s">
        <v>682</v>
      </c>
      <c r="D135" s="939"/>
      <c r="E135" s="939"/>
      <c r="F135" s="177">
        <f>SUM(F136:F144)</f>
        <v>0</v>
      </c>
      <c r="G135" s="177">
        <v>0</v>
      </c>
      <c r="H135" s="177">
        <v>0</v>
      </c>
      <c r="I135" s="177">
        <v>0</v>
      </c>
      <c r="J135" s="178">
        <f t="shared" si="1"/>
        <v>0</v>
      </c>
      <c r="K135" s="585"/>
    </row>
    <row r="136" spans="1:11" ht="12.75" hidden="1">
      <c r="A136" s="183"/>
      <c r="B136" s="183"/>
      <c r="C136" s="185" t="s">
        <v>2</v>
      </c>
      <c r="D136" s="185" t="s">
        <v>157</v>
      </c>
      <c r="E136" s="185" t="s">
        <v>184</v>
      </c>
      <c r="F136" s="186">
        <v>0</v>
      </c>
      <c r="G136" s="186">
        <v>0</v>
      </c>
      <c r="H136" s="186">
        <v>0</v>
      </c>
      <c r="I136" s="186">
        <v>0</v>
      </c>
      <c r="J136" s="187">
        <f t="shared" si="1"/>
        <v>0</v>
      </c>
      <c r="K136" s="587"/>
    </row>
    <row r="137" spans="1:11" ht="12.75" hidden="1">
      <c r="A137" s="183"/>
      <c r="B137" s="183"/>
      <c r="C137" s="185"/>
      <c r="D137" s="185" t="s">
        <v>159</v>
      </c>
      <c r="E137" s="185" t="s">
        <v>575</v>
      </c>
      <c r="F137" s="186">
        <v>0</v>
      </c>
      <c r="G137" s="186">
        <v>0</v>
      </c>
      <c r="H137" s="186">
        <v>0</v>
      </c>
      <c r="I137" s="186">
        <v>0</v>
      </c>
      <c r="J137" s="187">
        <f t="shared" si="1"/>
        <v>0</v>
      </c>
      <c r="K137" s="587"/>
    </row>
    <row r="138" spans="1:11" ht="12.75" hidden="1">
      <c r="A138" s="183"/>
      <c r="B138" s="183"/>
      <c r="C138" s="185"/>
      <c r="D138" s="185" t="s">
        <v>161</v>
      </c>
      <c r="E138" s="185" t="s">
        <v>185</v>
      </c>
      <c r="F138" s="186">
        <v>0</v>
      </c>
      <c r="G138" s="186">
        <v>0</v>
      </c>
      <c r="H138" s="186">
        <v>0</v>
      </c>
      <c r="I138" s="186">
        <v>0</v>
      </c>
      <c r="J138" s="187">
        <f aca="true" t="shared" si="2" ref="J138:J201">SUM(F138:I138)</f>
        <v>0</v>
      </c>
      <c r="K138" s="587"/>
    </row>
    <row r="139" spans="1:11" ht="12.75" hidden="1">
      <c r="A139" s="183"/>
      <c r="B139" s="183"/>
      <c r="C139" s="185"/>
      <c r="D139" s="185" t="s">
        <v>163</v>
      </c>
      <c r="E139" s="185" t="s">
        <v>186</v>
      </c>
      <c r="F139" s="186">
        <v>0</v>
      </c>
      <c r="G139" s="186">
        <v>0</v>
      </c>
      <c r="H139" s="186">
        <v>0</v>
      </c>
      <c r="I139" s="186">
        <v>0</v>
      </c>
      <c r="J139" s="187">
        <f t="shared" si="2"/>
        <v>0</v>
      </c>
      <c r="K139" s="587"/>
    </row>
    <row r="140" spans="1:11" ht="12.75" hidden="1">
      <c r="A140" s="183"/>
      <c r="B140" s="183"/>
      <c r="C140" s="185"/>
      <c r="D140" s="185" t="s">
        <v>165</v>
      </c>
      <c r="E140" s="185" t="s">
        <v>187</v>
      </c>
      <c r="F140" s="186">
        <v>0</v>
      </c>
      <c r="G140" s="186">
        <v>0</v>
      </c>
      <c r="H140" s="186">
        <v>0</v>
      </c>
      <c r="I140" s="186">
        <v>0</v>
      </c>
      <c r="J140" s="187">
        <f t="shared" si="2"/>
        <v>0</v>
      </c>
      <c r="K140" s="587"/>
    </row>
    <row r="141" spans="1:11" ht="12.75" hidden="1">
      <c r="A141" s="183"/>
      <c r="B141" s="183"/>
      <c r="C141" s="185"/>
      <c r="D141" s="185" t="s">
        <v>167</v>
      </c>
      <c r="E141" s="185" t="s">
        <v>535</v>
      </c>
      <c r="F141" s="186">
        <v>0</v>
      </c>
      <c r="G141" s="186">
        <v>0</v>
      </c>
      <c r="H141" s="186">
        <v>0</v>
      </c>
      <c r="I141" s="186">
        <v>0</v>
      </c>
      <c r="J141" s="187">
        <f t="shared" si="2"/>
        <v>0</v>
      </c>
      <c r="K141" s="587"/>
    </row>
    <row r="142" spans="1:11" ht="12.75" hidden="1">
      <c r="A142" s="183"/>
      <c r="B142" s="183"/>
      <c r="C142" s="185"/>
      <c r="D142" s="185" t="s">
        <v>169</v>
      </c>
      <c r="E142" s="185" t="s">
        <v>534</v>
      </c>
      <c r="F142" s="195">
        <v>0</v>
      </c>
      <c r="G142" s="186">
        <v>0</v>
      </c>
      <c r="H142" s="186">
        <v>0</v>
      </c>
      <c r="I142" s="186">
        <v>0</v>
      </c>
      <c r="J142" s="187">
        <f t="shared" si="2"/>
        <v>0</v>
      </c>
      <c r="K142" s="587"/>
    </row>
    <row r="143" spans="1:11" ht="12.75" hidden="1">
      <c r="A143" s="183"/>
      <c r="B143" s="183"/>
      <c r="C143" s="185"/>
      <c r="D143" s="185" t="s">
        <v>171</v>
      </c>
      <c r="E143" s="185" t="s">
        <v>190</v>
      </c>
      <c r="F143" s="186"/>
      <c r="G143" s="186">
        <v>0</v>
      </c>
      <c r="H143" s="186">
        <v>0</v>
      </c>
      <c r="I143" s="186">
        <v>0</v>
      </c>
      <c r="J143" s="187">
        <f t="shared" si="2"/>
        <v>0</v>
      </c>
      <c r="K143" s="587"/>
    </row>
    <row r="144" spans="1:11" ht="12.75" hidden="1">
      <c r="A144" s="183"/>
      <c r="B144" s="183"/>
      <c r="C144" s="185"/>
      <c r="D144" s="185" t="s">
        <v>173</v>
      </c>
      <c r="E144" s="185" t="s">
        <v>576</v>
      </c>
      <c r="F144" s="186">
        <v>0</v>
      </c>
      <c r="G144" s="186">
        <v>0</v>
      </c>
      <c r="H144" s="186">
        <v>0</v>
      </c>
      <c r="I144" s="186">
        <v>0</v>
      </c>
      <c r="J144" s="187">
        <f t="shared" si="2"/>
        <v>0</v>
      </c>
      <c r="K144" s="587"/>
    </row>
    <row r="145" spans="1:11" ht="12" customHeight="1">
      <c r="A145" s="176"/>
      <c r="B145" s="176" t="s">
        <v>554</v>
      </c>
      <c r="C145" s="939" t="s">
        <v>650</v>
      </c>
      <c r="D145" s="939"/>
      <c r="E145" s="939"/>
      <c r="F145" s="177">
        <f>302525+67046</f>
        <v>369571</v>
      </c>
      <c r="G145" s="177">
        <v>0</v>
      </c>
      <c r="H145" s="177">
        <v>0</v>
      </c>
      <c r="I145" s="177">
        <v>0</v>
      </c>
      <c r="J145" s="178">
        <f t="shared" si="2"/>
        <v>369571</v>
      </c>
      <c r="K145" s="585"/>
    </row>
    <row r="146" spans="1:11" ht="12.75" hidden="1">
      <c r="A146" s="176"/>
      <c r="B146" s="176"/>
      <c r="C146" s="185" t="s">
        <v>2</v>
      </c>
      <c r="D146" s="582"/>
      <c r="E146" s="185" t="s">
        <v>190</v>
      </c>
      <c r="F146" s="186">
        <f>302525+67046</f>
        <v>369571</v>
      </c>
      <c r="G146" s="186">
        <v>0</v>
      </c>
      <c r="H146" s="186">
        <v>0</v>
      </c>
      <c r="I146" s="186">
        <v>0</v>
      </c>
      <c r="J146" s="187">
        <f>SUM(F146:I146)</f>
        <v>369571</v>
      </c>
      <c r="K146" s="585"/>
    </row>
    <row r="147" spans="1:11" s="175" customFormat="1" ht="12" customHeight="1">
      <c r="A147" s="173" t="s">
        <v>313</v>
      </c>
      <c r="B147" s="947" t="s">
        <v>314</v>
      </c>
      <c r="C147" s="947"/>
      <c r="D147" s="947"/>
      <c r="E147" s="947"/>
      <c r="F147" s="174">
        <f>SUM(F148+F149+F150+F151+F161)</f>
        <v>33081467</v>
      </c>
      <c r="G147" s="174">
        <f>SUM(G148+G149+G150+G151+G161)</f>
        <v>0</v>
      </c>
      <c r="H147" s="174">
        <f>SUM(H148+H149+H150+H151+H161)</f>
        <v>0</v>
      </c>
      <c r="I147" s="174">
        <f>SUM(I148+I149+I150+I151+I161)</f>
        <v>0</v>
      </c>
      <c r="J147" s="174">
        <f t="shared" si="2"/>
        <v>33081467</v>
      </c>
      <c r="K147" s="584"/>
    </row>
    <row r="148" spans="1:11" ht="12.75" hidden="1">
      <c r="A148" s="176"/>
      <c r="B148" s="176" t="s">
        <v>315</v>
      </c>
      <c r="C148" s="939" t="s">
        <v>683</v>
      </c>
      <c r="D148" s="939"/>
      <c r="E148" s="939"/>
      <c r="F148" s="177">
        <v>0</v>
      </c>
      <c r="G148" s="177">
        <v>0</v>
      </c>
      <c r="H148" s="177">
        <v>0</v>
      </c>
      <c r="I148" s="177">
        <v>0</v>
      </c>
      <c r="J148" s="178">
        <f t="shared" si="2"/>
        <v>0</v>
      </c>
      <c r="K148" s="585"/>
    </row>
    <row r="149" spans="1:11" ht="12.75" hidden="1">
      <c r="A149" s="176"/>
      <c r="B149" s="176" t="s">
        <v>316</v>
      </c>
      <c r="C149" s="939" t="s">
        <v>684</v>
      </c>
      <c r="D149" s="939"/>
      <c r="E149" s="939"/>
      <c r="F149" s="177">
        <v>0</v>
      </c>
      <c r="G149" s="177">
        <v>0</v>
      </c>
      <c r="H149" s="177">
        <v>0</v>
      </c>
      <c r="I149" s="177">
        <v>0</v>
      </c>
      <c r="J149" s="178">
        <f t="shared" si="2"/>
        <v>0</v>
      </c>
      <c r="K149" s="585"/>
    </row>
    <row r="150" spans="1:11" ht="25.5" customHeight="1" hidden="1">
      <c r="A150" s="176"/>
      <c r="B150" s="176" t="s">
        <v>317</v>
      </c>
      <c r="C150" s="948" t="s">
        <v>685</v>
      </c>
      <c r="D150" s="948"/>
      <c r="E150" s="948"/>
      <c r="F150" s="177">
        <v>0</v>
      </c>
      <c r="G150" s="177">
        <v>0</v>
      </c>
      <c r="H150" s="177">
        <v>0</v>
      </c>
      <c r="I150" s="177">
        <v>0</v>
      </c>
      <c r="J150" s="178">
        <f t="shared" si="2"/>
        <v>0</v>
      </c>
      <c r="K150" s="585"/>
    </row>
    <row r="151" spans="1:11" ht="12.75" hidden="1">
      <c r="A151" s="183"/>
      <c r="B151" s="176" t="s">
        <v>555</v>
      </c>
      <c r="C151" s="939" t="s">
        <v>686</v>
      </c>
      <c r="D151" s="939"/>
      <c r="E151" s="939"/>
      <c r="F151" s="177">
        <f>SUM(F152:F160)</f>
        <v>0</v>
      </c>
      <c r="G151" s="177">
        <f>SUM(G152:G160)</f>
        <v>0</v>
      </c>
      <c r="H151" s="177">
        <f>SUM(H152:H160)</f>
        <v>0</v>
      </c>
      <c r="I151" s="177">
        <f>SUM(I152:I160)</f>
        <v>0</v>
      </c>
      <c r="J151" s="178">
        <f t="shared" si="2"/>
        <v>0</v>
      </c>
      <c r="K151" s="585"/>
    </row>
    <row r="152" spans="1:11" ht="12.75" hidden="1">
      <c r="A152" s="183"/>
      <c r="B152" s="183"/>
      <c r="C152" s="185" t="s">
        <v>2</v>
      </c>
      <c r="D152" s="185" t="s">
        <v>157</v>
      </c>
      <c r="E152" s="185" t="s">
        <v>184</v>
      </c>
      <c r="F152" s="186">
        <v>0</v>
      </c>
      <c r="G152" s="186">
        <v>0</v>
      </c>
      <c r="H152" s="186">
        <v>0</v>
      </c>
      <c r="I152" s="186">
        <v>0</v>
      </c>
      <c r="J152" s="187">
        <f t="shared" si="2"/>
        <v>0</v>
      </c>
      <c r="K152" s="587"/>
    </row>
    <row r="153" spans="1:11" ht="12.75" hidden="1">
      <c r="A153" s="183"/>
      <c r="B153" s="183"/>
      <c r="C153" s="185"/>
      <c r="D153" s="185" t="s">
        <v>159</v>
      </c>
      <c r="E153" s="185" t="s">
        <v>575</v>
      </c>
      <c r="F153" s="186">
        <v>0</v>
      </c>
      <c r="G153" s="186">
        <v>0</v>
      </c>
      <c r="H153" s="186">
        <v>0</v>
      </c>
      <c r="I153" s="186">
        <v>0</v>
      </c>
      <c r="J153" s="187">
        <f t="shared" si="2"/>
        <v>0</v>
      </c>
      <c r="K153" s="587"/>
    </row>
    <row r="154" spans="1:11" ht="12.75" hidden="1">
      <c r="A154" s="183"/>
      <c r="B154" s="183"/>
      <c r="C154" s="185"/>
      <c r="D154" s="185" t="s">
        <v>161</v>
      </c>
      <c r="E154" s="185" t="s">
        <v>185</v>
      </c>
      <c r="F154" s="186">
        <v>0</v>
      </c>
      <c r="G154" s="186">
        <v>0</v>
      </c>
      <c r="H154" s="186">
        <v>0</v>
      </c>
      <c r="I154" s="186">
        <v>0</v>
      </c>
      <c r="J154" s="187">
        <f t="shared" si="2"/>
        <v>0</v>
      </c>
      <c r="K154" s="587"/>
    </row>
    <row r="155" spans="1:11" ht="12.75" hidden="1">
      <c r="A155" s="183"/>
      <c r="B155" s="183"/>
      <c r="C155" s="185"/>
      <c r="D155" s="185" t="s">
        <v>163</v>
      </c>
      <c r="E155" s="185" t="s">
        <v>186</v>
      </c>
      <c r="F155" s="186">
        <v>0</v>
      </c>
      <c r="G155" s="186">
        <v>0</v>
      </c>
      <c r="H155" s="186">
        <v>0</v>
      </c>
      <c r="I155" s="186">
        <v>0</v>
      </c>
      <c r="J155" s="187">
        <f t="shared" si="2"/>
        <v>0</v>
      </c>
      <c r="K155" s="587"/>
    </row>
    <row r="156" spans="1:11" ht="12.75" hidden="1">
      <c r="A156" s="183"/>
      <c r="B156" s="183"/>
      <c r="C156" s="185"/>
      <c r="D156" s="185" t="s">
        <v>165</v>
      </c>
      <c r="E156" s="185" t="s">
        <v>187</v>
      </c>
      <c r="F156" s="186">
        <v>0</v>
      </c>
      <c r="G156" s="186">
        <v>0</v>
      </c>
      <c r="H156" s="186">
        <v>0</v>
      </c>
      <c r="I156" s="186">
        <v>0</v>
      </c>
      <c r="J156" s="187">
        <f t="shared" si="2"/>
        <v>0</v>
      </c>
      <c r="K156" s="587"/>
    </row>
    <row r="157" spans="1:11" ht="12.75" hidden="1">
      <c r="A157" s="183"/>
      <c r="B157" s="183"/>
      <c r="C157" s="185"/>
      <c r="D157" s="185" t="s">
        <v>167</v>
      </c>
      <c r="E157" s="185" t="s">
        <v>535</v>
      </c>
      <c r="F157" s="186">
        <v>0</v>
      </c>
      <c r="G157" s="186">
        <v>0</v>
      </c>
      <c r="H157" s="186">
        <v>0</v>
      </c>
      <c r="I157" s="186">
        <v>0</v>
      </c>
      <c r="J157" s="187">
        <f t="shared" si="2"/>
        <v>0</v>
      </c>
      <c r="K157" s="587"/>
    </row>
    <row r="158" spans="1:11" ht="12.75" hidden="1">
      <c r="A158" s="183"/>
      <c r="B158" s="183"/>
      <c r="C158" s="185"/>
      <c r="D158" s="185" t="s">
        <v>169</v>
      </c>
      <c r="E158" s="185" t="s">
        <v>534</v>
      </c>
      <c r="F158" s="195">
        <v>0</v>
      </c>
      <c r="G158" s="186">
        <v>0</v>
      </c>
      <c r="H158" s="186">
        <v>0</v>
      </c>
      <c r="I158" s="186">
        <v>0</v>
      </c>
      <c r="J158" s="187">
        <f t="shared" si="2"/>
        <v>0</v>
      </c>
      <c r="K158" s="587"/>
    </row>
    <row r="159" spans="1:11" ht="12.75" hidden="1">
      <c r="A159" s="183"/>
      <c r="B159" s="183"/>
      <c r="C159" s="185"/>
      <c r="D159" s="185" t="s">
        <v>171</v>
      </c>
      <c r="E159" s="185" t="s">
        <v>190</v>
      </c>
      <c r="F159" s="186">
        <v>0</v>
      </c>
      <c r="G159" s="186">
        <v>0</v>
      </c>
      <c r="H159" s="186">
        <v>0</v>
      </c>
      <c r="I159" s="186">
        <v>0</v>
      </c>
      <c r="J159" s="187">
        <f t="shared" si="2"/>
        <v>0</v>
      </c>
      <c r="K159" s="587"/>
    </row>
    <row r="160" spans="1:11" ht="12.75" hidden="1">
      <c r="A160" s="183"/>
      <c r="B160" s="183"/>
      <c r="C160" s="185"/>
      <c r="D160" s="185" t="s">
        <v>173</v>
      </c>
      <c r="E160" s="185" t="s">
        <v>576</v>
      </c>
      <c r="F160" s="186">
        <v>0</v>
      </c>
      <c r="G160" s="186">
        <v>0</v>
      </c>
      <c r="H160" s="186">
        <v>0</v>
      </c>
      <c r="I160" s="186">
        <v>0</v>
      </c>
      <c r="J160" s="187">
        <f t="shared" si="2"/>
        <v>0</v>
      </c>
      <c r="K160" s="587"/>
    </row>
    <row r="161" spans="1:11" ht="12" customHeight="1">
      <c r="A161" s="183"/>
      <c r="B161" s="176" t="s">
        <v>556</v>
      </c>
      <c r="C161" s="939" t="s">
        <v>632</v>
      </c>
      <c r="D161" s="939"/>
      <c r="E161" s="939"/>
      <c r="F161" s="177">
        <f>SUM(F162:F172)+33081467</f>
        <v>33081467</v>
      </c>
      <c r="G161" s="177">
        <f>SUM(G162:G172)</f>
        <v>0</v>
      </c>
      <c r="H161" s="177">
        <f>SUM(H162:H172)</f>
        <v>0</v>
      </c>
      <c r="I161" s="177">
        <f>SUM(I162:I172)</f>
        <v>0</v>
      </c>
      <c r="J161" s="178">
        <f t="shared" si="2"/>
        <v>33081467</v>
      </c>
      <c r="K161" s="585"/>
    </row>
    <row r="162" spans="1:11" ht="12" customHeight="1" hidden="1">
      <c r="A162" s="183"/>
      <c r="B162" s="183"/>
      <c r="C162" s="185" t="s">
        <v>2</v>
      </c>
      <c r="D162" s="185" t="s">
        <v>157</v>
      </c>
      <c r="E162" s="185" t="s">
        <v>184</v>
      </c>
      <c r="F162" s="186">
        <v>0</v>
      </c>
      <c r="G162" s="186">
        <v>0</v>
      </c>
      <c r="H162" s="186">
        <v>0</v>
      </c>
      <c r="I162" s="186">
        <v>0</v>
      </c>
      <c r="J162" s="187">
        <f t="shared" si="2"/>
        <v>0</v>
      </c>
      <c r="K162" s="587"/>
    </row>
    <row r="163" spans="1:11" ht="12.75" hidden="1">
      <c r="A163" s="183"/>
      <c r="B163" s="183"/>
      <c r="C163" s="185"/>
      <c r="D163" s="185" t="s">
        <v>159</v>
      </c>
      <c r="E163" s="185" t="s">
        <v>575</v>
      </c>
      <c r="F163" s="186">
        <v>0</v>
      </c>
      <c r="G163" s="186">
        <v>0</v>
      </c>
      <c r="H163" s="186">
        <v>0</v>
      </c>
      <c r="I163" s="186">
        <v>0</v>
      </c>
      <c r="J163" s="187">
        <f t="shared" si="2"/>
        <v>0</v>
      </c>
      <c r="K163" s="587"/>
    </row>
    <row r="164" spans="1:11" ht="12.75" hidden="1">
      <c r="A164" s="183"/>
      <c r="B164" s="183"/>
      <c r="C164" s="185"/>
      <c r="D164" s="185" t="s">
        <v>161</v>
      </c>
      <c r="E164" s="185" t="s">
        <v>185</v>
      </c>
      <c r="F164" s="186">
        <v>0</v>
      </c>
      <c r="G164" s="186">
        <v>0</v>
      </c>
      <c r="H164" s="186">
        <v>0</v>
      </c>
      <c r="I164" s="186">
        <v>0</v>
      </c>
      <c r="J164" s="187">
        <f t="shared" si="2"/>
        <v>0</v>
      </c>
      <c r="K164" s="587"/>
    </row>
    <row r="165" spans="1:11" ht="12.75" hidden="1">
      <c r="A165" s="183"/>
      <c r="B165" s="183"/>
      <c r="C165" s="185"/>
      <c r="D165" s="185" t="s">
        <v>163</v>
      </c>
      <c r="E165" s="185" t="s">
        <v>186</v>
      </c>
      <c r="F165" s="186">
        <v>0</v>
      </c>
      <c r="G165" s="186">
        <v>0</v>
      </c>
      <c r="H165" s="186">
        <v>0</v>
      </c>
      <c r="I165" s="186">
        <v>0</v>
      </c>
      <c r="J165" s="187">
        <f t="shared" si="2"/>
        <v>0</v>
      </c>
      <c r="K165" s="587"/>
    </row>
    <row r="166" spans="1:11" ht="12.75" hidden="1">
      <c r="A166" s="183"/>
      <c r="B166" s="183"/>
      <c r="C166" s="185"/>
      <c r="D166" s="185" t="s">
        <v>165</v>
      </c>
      <c r="E166" s="185" t="s">
        <v>187</v>
      </c>
      <c r="F166" s="186">
        <v>0</v>
      </c>
      <c r="G166" s="186">
        <v>0</v>
      </c>
      <c r="H166" s="186">
        <v>0</v>
      </c>
      <c r="I166" s="186">
        <v>0</v>
      </c>
      <c r="J166" s="187">
        <f t="shared" si="2"/>
        <v>0</v>
      </c>
      <c r="K166" s="587"/>
    </row>
    <row r="167" spans="1:11" ht="12.75" hidden="1">
      <c r="A167" s="183"/>
      <c r="B167" s="183"/>
      <c r="C167" s="185"/>
      <c r="D167" s="185" t="s">
        <v>167</v>
      </c>
      <c r="E167" s="185" t="s">
        <v>535</v>
      </c>
      <c r="F167" s="186">
        <v>0</v>
      </c>
      <c r="G167" s="186">
        <v>0</v>
      </c>
      <c r="H167" s="186">
        <v>0</v>
      </c>
      <c r="I167" s="186">
        <v>0</v>
      </c>
      <c r="J167" s="187">
        <f t="shared" si="2"/>
        <v>0</v>
      </c>
      <c r="K167" s="587"/>
    </row>
    <row r="168" spans="1:11" ht="12.75" hidden="1">
      <c r="A168" s="183"/>
      <c r="B168" s="183"/>
      <c r="C168" s="185"/>
      <c r="D168" s="185" t="s">
        <v>169</v>
      </c>
      <c r="E168" s="185" t="s">
        <v>534</v>
      </c>
      <c r="F168" s="195">
        <v>0</v>
      </c>
      <c r="G168" s="186">
        <v>0</v>
      </c>
      <c r="H168" s="186">
        <v>0</v>
      </c>
      <c r="I168" s="186">
        <v>0</v>
      </c>
      <c r="J168" s="187">
        <f t="shared" si="2"/>
        <v>0</v>
      </c>
      <c r="K168" s="587"/>
    </row>
    <row r="169" spans="1:11" ht="12.75" hidden="1">
      <c r="A169" s="183"/>
      <c r="B169" s="183"/>
      <c r="C169" s="185"/>
      <c r="D169" s="185" t="s">
        <v>171</v>
      </c>
      <c r="E169" s="185" t="s">
        <v>190</v>
      </c>
      <c r="F169" s="186">
        <v>0</v>
      </c>
      <c r="G169" s="186">
        <v>0</v>
      </c>
      <c r="H169" s="186">
        <v>0</v>
      </c>
      <c r="I169" s="186">
        <v>0</v>
      </c>
      <c r="J169" s="187">
        <f t="shared" si="2"/>
        <v>0</v>
      </c>
      <c r="K169" s="587"/>
    </row>
    <row r="170" spans="1:11" ht="12.75" hidden="1">
      <c r="A170" s="183"/>
      <c r="B170" s="183"/>
      <c r="C170" s="185"/>
      <c r="D170" s="185" t="s">
        <v>173</v>
      </c>
      <c r="E170" s="185" t="s">
        <v>191</v>
      </c>
      <c r="F170" s="186">
        <v>0</v>
      </c>
      <c r="G170" s="186">
        <v>0</v>
      </c>
      <c r="H170" s="186">
        <v>0</v>
      </c>
      <c r="I170" s="186">
        <v>0</v>
      </c>
      <c r="J170" s="187">
        <f t="shared" si="2"/>
        <v>0</v>
      </c>
      <c r="K170" s="587"/>
    </row>
    <row r="171" spans="1:11" ht="12.75" hidden="1">
      <c r="A171" s="183"/>
      <c r="B171" s="183"/>
      <c r="C171" s="185"/>
      <c r="D171" s="185" t="s">
        <v>175</v>
      </c>
      <c r="E171" s="185" t="s">
        <v>192</v>
      </c>
      <c r="F171" s="186">
        <v>0</v>
      </c>
      <c r="G171" s="186">
        <v>0</v>
      </c>
      <c r="H171" s="186">
        <v>0</v>
      </c>
      <c r="I171" s="186">
        <v>0</v>
      </c>
      <c r="J171" s="187">
        <f t="shared" si="2"/>
        <v>0</v>
      </c>
      <c r="K171" s="587"/>
    </row>
    <row r="172" spans="1:11" ht="12.75" hidden="1">
      <c r="A172" s="183"/>
      <c r="B172" s="183"/>
      <c r="C172" s="185"/>
      <c r="D172" s="185" t="s">
        <v>577</v>
      </c>
      <c r="E172" s="185" t="s">
        <v>193</v>
      </c>
      <c r="F172" s="186">
        <v>0</v>
      </c>
      <c r="G172" s="186">
        <v>0</v>
      </c>
      <c r="H172" s="186">
        <v>0</v>
      </c>
      <c r="I172" s="186">
        <v>0</v>
      </c>
      <c r="J172" s="187">
        <f t="shared" si="2"/>
        <v>0</v>
      </c>
      <c r="K172" s="587"/>
    </row>
    <row r="173" spans="1:11" s="175" customFormat="1" ht="12.75">
      <c r="A173" s="173" t="s">
        <v>318</v>
      </c>
      <c r="B173" s="947" t="s">
        <v>319</v>
      </c>
      <c r="C173" s="947"/>
      <c r="D173" s="947"/>
      <c r="E173" s="947"/>
      <c r="F173" s="174">
        <f>SUM(F174+F197+F198+F199)</f>
        <v>382182681</v>
      </c>
      <c r="G173" s="174">
        <f>SUM(G174+G197+G198+G199)</f>
        <v>439819</v>
      </c>
      <c r="H173" s="174">
        <f>SUM(H174+H197+H198+H199)</f>
        <v>34138565</v>
      </c>
      <c r="I173" s="174">
        <f>SUM(I174+I197+I198+I199)</f>
        <v>0</v>
      </c>
      <c r="J173" s="174">
        <f t="shared" si="2"/>
        <v>416761065</v>
      </c>
      <c r="K173" s="584"/>
    </row>
    <row r="174" spans="1:11" ht="12.75">
      <c r="A174" s="183"/>
      <c r="B174" s="176" t="s">
        <v>320</v>
      </c>
      <c r="C174" s="939" t="s">
        <v>321</v>
      </c>
      <c r="D174" s="939"/>
      <c r="E174" s="939"/>
      <c r="F174" s="177">
        <f>SUM(F175+F179+F184+F189+F190+F191+F192+F193+F194)</f>
        <v>382182681</v>
      </c>
      <c r="G174" s="177">
        <f>SUM(G175+G179+G184+G189+G190+G191+G192+G193+G194)</f>
        <v>439819</v>
      </c>
      <c r="H174" s="177">
        <f>SUM(H175+H179+H184+H189+H190+H191+H192+H193+H194)</f>
        <v>34138565</v>
      </c>
      <c r="I174" s="177">
        <f>SUM(I175+I179+I184+I189+I190+I191+I192+I193+I194)</f>
        <v>0</v>
      </c>
      <c r="J174" s="178">
        <f t="shared" si="2"/>
        <v>416761065</v>
      </c>
      <c r="K174" s="585"/>
    </row>
    <row r="175" spans="1:11" ht="11.25" customHeight="1">
      <c r="A175" s="179"/>
      <c r="B175" s="179"/>
      <c r="C175" s="179" t="s">
        <v>322</v>
      </c>
      <c r="D175" s="179" t="s">
        <v>603</v>
      </c>
      <c r="E175" s="179"/>
      <c r="F175" s="180">
        <f>SUM(F176:F178)</f>
        <v>0</v>
      </c>
      <c r="G175" s="180">
        <f>SUM(G176:G178)</f>
        <v>0</v>
      </c>
      <c r="H175" s="180">
        <f>SUM(H176:H178)</f>
        <v>0</v>
      </c>
      <c r="I175" s="180">
        <f>SUM(I176:I178)</f>
        <v>0</v>
      </c>
      <c r="J175" s="181">
        <f t="shared" si="2"/>
        <v>0</v>
      </c>
      <c r="K175" s="586"/>
    </row>
    <row r="176" spans="1:11" ht="12.75" hidden="1">
      <c r="A176" s="196"/>
      <c r="B176" s="196"/>
      <c r="C176" s="196"/>
      <c r="D176" s="196" t="s">
        <v>323</v>
      </c>
      <c r="E176" s="196" t="s">
        <v>687</v>
      </c>
      <c r="F176" s="197">
        <v>0</v>
      </c>
      <c r="G176" s="197">
        <v>0</v>
      </c>
      <c r="H176" s="197">
        <v>0</v>
      </c>
      <c r="I176" s="197">
        <v>0</v>
      </c>
      <c r="J176" s="198">
        <f t="shared" si="2"/>
        <v>0</v>
      </c>
      <c r="K176" s="588"/>
    </row>
    <row r="177" spans="1:11" ht="12.75" hidden="1">
      <c r="A177" s="196"/>
      <c r="B177" s="196"/>
      <c r="C177" s="196"/>
      <c r="D177" s="196" t="s">
        <v>324</v>
      </c>
      <c r="E177" s="196" t="s">
        <v>688</v>
      </c>
      <c r="F177" s="197">
        <v>0</v>
      </c>
      <c r="G177" s="197">
        <v>0</v>
      </c>
      <c r="H177" s="197">
        <v>0</v>
      </c>
      <c r="I177" s="197">
        <v>0</v>
      </c>
      <c r="J177" s="198">
        <f t="shared" si="2"/>
        <v>0</v>
      </c>
      <c r="K177" s="588"/>
    </row>
    <row r="178" spans="1:11" ht="12.75" hidden="1">
      <c r="A178" s="196"/>
      <c r="B178" s="196"/>
      <c r="C178" s="196"/>
      <c r="D178" s="196" t="s">
        <v>325</v>
      </c>
      <c r="E178" s="196" t="s">
        <v>689</v>
      </c>
      <c r="F178" s="197">
        <v>0</v>
      </c>
      <c r="G178" s="197">
        <v>0</v>
      </c>
      <c r="H178" s="197">
        <v>0</v>
      </c>
      <c r="I178" s="197">
        <v>0</v>
      </c>
      <c r="J178" s="198">
        <f t="shared" si="2"/>
        <v>0</v>
      </c>
      <c r="K178" s="588"/>
    </row>
    <row r="179" spans="1:11" ht="12.75">
      <c r="A179" s="179"/>
      <c r="B179" s="179"/>
      <c r="C179" s="179" t="s">
        <v>326</v>
      </c>
      <c r="D179" s="179" t="s">
        <v>327</v>
      </c>
      <c r="E179" s="179"/>
      <c r="F179" s="180">
        <f>SUM(F180:F183)</f>
        <v>0</v>
      </c>
      <c r="G179" s="180">
        <f>SUM(G180:G183)</f>
        <v>0</v>
      </c>
      <c r="H179" s="180">
        <f>SUM(H180:H183)</f>
        <v>0</v>
      </c>
      <c r="I179" s="180">
        <f>SUM(I180:I183)</f>
        <v>0</v>
      </c>
      <c r="J179" s="181">
        <f t="shared" si="2"/>
        <v>0</v>
      </c>
      <c r="K179" s="586"/>
    </row>
    <row r="180" spans="1:11" ht="12.75" hidden="1">
      <c r="A180" s="179"/>
      <c r="B180" s="179"/>
      <c r="C180" s="179"/>
      <c r="D180" s="196" t="s">
        <v>557</v>
      </c>
      <c r="E180" s="196" t="s">
        <v>558</v>
      </c>
      <c r="F180" s="180">
        <v>0</v>
      </c>
      <c r="G180" s="180">
        <v>0</v>
      </c>
      <c r="H180" s="180">
        <v>0</v>
      </c>
      <c r="I180" s="180">
        <v>0</v>
      </c>
      <c r="J180" s="181">
        <f t="shared" si="2"/>
        <v>0</v>
      </c>
      <c r="K180" s="586"/>
    </row>
    <row r="181" spans="1:11" ht="12.75" hidden="1">
      <c r="A181" s="179"/>
      <c r="B181" s="179"/>
      <c r="C181" s="179"/>
      <c r="D181" s="196" t="s">
        <v>559</v>
      </c>
      <c r="E181" s="196" t="s">
        <v>560</v>
      </c>
      <c r="F181" s="180">
        <v>0</v>
      </c>
      <c r="G181" s="180">
        <v>0</v>
      </c>
      <c r="H181" s="180">
        <v>0</v>
      </c>
      <c r="I181" s="180">
        <v>0</v>
      </c>
      <c r="J181" s="181">
        <f t="shared" si="2"/>
        <v>0</v>
      </c>
      <c r="K181" s="586"/>
    </row>
    <row r="182" spans="1:11" ht="12.75" hidden="1">
      <c r="A182" s="179"/>
      <c r="B182" s="179"/>
      <c r="C182" s="179"/>
      <c r="D182" s="196" t="s">
        <v>561</v>
      </c>
      <c r="E182" s="196" t="s">
        <v>562</v>
      </c>
      <c r="F182" s="180">
        <v>0</v>
      </c>
      <c r="G182" s="180">
        <v>0</v>
      </c>
      <c r="H182" s="180">
        <v>0</v>
      </c>
      <c r="I182" s="180">
        <v>0</v>
      </c>
      <c r="J182" s="181">
        <f t="shared" si="2"/>
        <v>0</v>
      </c>
      <c r="K182" s="586"/>
    </row>
    <row r="183" spans="1:11" ht="12.75" hidden="1">
      <c r="A183" s="179"/>
      <c r="B183" s="179"/>
      <c r="C183" s="179"/>
      <c r="D183" s="196" t="s">
        <v>563</v>
      </c>
      <c r="E183" s="196" t="s">
        <v>564</v>
      </c>
      <c r="F183" s="180">
        <v>0</v>
      </c>
      <c r="G183" s="180">
        <v>0</v>
      </c>
      <c r="H183" s="180">
        <v>0</v>
      </c>
      <c r="I183" s="180">
        <v>0</v>
      </c>
      <c r="J183" s="181">
        <f t="shared" si="2"/>
        <v>0</v>
      </c>
      <c r="K183" s="586"/>
    </row>
    <row r="184" spans="1:11" ht="12.75">
      <c r="A184" s="179"/>
      <c r="B184" s="179"/>
      <c r="C184" s="179" t="s">
        <v>328</v>
      </c>
      <c r="D184" s="179" t="s">
        <v>329</v>
      </c>
      <c r="E184" s="179"/>
      <c r="F184" s="180">
        <f>SUM(F185,F188)</f>
        <v>382182681</v>
      </c>
      <c r="G184" s="180">
        <f>SUM(G185,G188)</f>
        <v>439819</v>
      </c>
      <c r="H184" s="180">
        <f>SUM(H185,H188)</f>
        <v>34138565</v>
      </c>
      <c r="I184" s="180">
        <f>SUM(I185,I188)</f>
        <v>0</v>
      </c>
      <c r="J184" s="181">
        <f t="shared" si="2"/>
        <v>416761065</v>
      </c>
      <c r="K184" s="586"/>
    </row>
    <row r="185" spans="1:11" ht="12.75">
      <c r="A185" s="196"/>
      <c r="B185" s="196"/>
      <c r="C185" s="196"/>
      <c r="D185" s="196" t="s">
        <v>330</v>
      </c>
      <c r="E185" s="196" t="s">
        <v>331</v>
      </c>
      <c r="F185" s="197">
        <f>SUM(F186:F187)</f>
        <v>372400032</v>
      </c>
      <c r="G185" s="197">
        <f>SUM(G186:G187)</f>
        <v>439819</v>
      </c>
      <c r="H185" s="197">
        <f>SUM(H186:H187)</f>
        <v>34138565</v>
      </c>
      <c r="I185" s="197">
        <f>SUM(I186:I187)</f>
        <v>0</v>
      </c>
      <c r="J185" s="198">
        <f t="shared" si="2"/>
        <v>406978416</v>
      </c>
      <c r="K185" s="588"/>
    </row>
    <row r="186" spans="1:11" s="203" customFormat="1" ht="12.75">
      <c r="A186" s="199"/>
      <c r="B186" s="199"/>
      <c r="C186" s="199"/>
      <c r="D186" s="199"/>
      <c r="E186" s="200" t="s">
        <v>36</v>
      </c>
      <c r="F186" s="201">
        <f>22840902+55632238</f>
        <v>78473140</v>
      </c>
      <c r="G186" s="201">
        <v>439819</v>
      </c>
      <c r="H186" s="201">
        <f>626145+31099867</f>
        <v>31726012</v>
      </c>
      <c r="I186" s="201"/>
      <c r="J186" s="202">
        <f t="shared" si="2"/>
        <v>110638971</v>
      </c>
      <c r="K186" s="589"/>
    </row>
    <row r="187" spans="1:11" s="203" customFormat="1" ht="12.75">
      <c r="A187" s="199"/>
      <c r="B187" s="199"/>
      <c r="C187" s="199"/>
      <c r="D187" s="199"/>
      <c r="E187" s="200" t="s">
        <v>37</v>
      </c>
      <c r="F187" s="201">
        <f>297951773-8201400+4176519</f>
        <v>293926892</v>
      </c>
      <c r="G187" s="201">
        <v>0</v>
      </c>
      <c r="H187" s="201">
        <v>2412553</v>
      </c>
      <c r="I187" s="201">
        <v>0</v>
      </c>
      <c r="J187" s="202">
        <f t="shared" si="2"/>
        <v>296339445</v>
      </c>
      <c r="K187" s="589"/>
    </row>
    <row r="188" spans="1:11" ht="12.75">
      <c r="A188" s="196"/>
      <c r="B188" s="196"/>
      <c r="C188" s="196"/>
      <c r="D188" s="196" t="s">
        <v>332</v>
      </c>
      <c r="E188" s="196" t="s">
        <v>333</v>
      </c>
      <c r="F188" s="197">
        <v>9782649</v>
      </c>
      <c r="G188" s="197">
        <v>0</v>
      </c>
      <c r="H188" s="197">
        <v>0</v>
      </c>
      <c r="I188" s="197">
        <v>0</v>
      </c>
      <c r="J188" s="198">
        <f t="shared" si="2"/>
        <v>9782649</v>
      </c>
      <c r="K188" s="588"/>
    </row>
    <row r="189" spans="1:11" ht="11.25" customHeight="1">
      <c r="A189" s="179"/>
      <c r="B189" s="179"/>
      <c r="C189" s="179" t="s">
        <v>334</v>
      </c>
      <c r="D189" s="179" t="s">
        <v>896</v>
      </c>
      <c r="E189" s="179"/>
      <c r="F189" s="180">
        <v>0</v>
      </c>
      <c r="G189" s="180">
        <v>0</v>
      </c>
      <c r="H189" s="180">
        <v>0</v>
      </c>
      <c r="I189" s="180">
        <v>0</v>
      </c>
      <c r="J189" s="181">
        <f t="shared" si="2"/>
        <v>0</v>
      </c>
      <c r="K189" s="586"/>
    </row>
    <row r="190" spans="1:11" ht="12.75" hidden="1">
      <c r="A190" s="179"/>
      <c r="B190" s="179"/>
      <c r="C190" s="179" t="s">
        <v>335</v>
      </c>
      <c r="D190" s="179" t="s">
        <v>604</v>
      </c>
      <c r="E190" s="179"/>
      <c r="F190" s="180">
        <v>0</v>
      </c>
      <c r="G190" s="180">
        <v>0</v>
      </c>
      <c r="H190" s="180">
        <v>0</v>
      </c>
      <c r="I190" s="180">
        <v>0</v>
      </c>
      <c r="J190" s="181">
        <f t="shared" si="2"/>
        <v>0</v>
      </c>
      <c r="K190" s="586"/>
    </row>
    <row r="191" spans="1:11" ht="12.75" hidden="1">
      <c r="A191" s="179"/>
      <c r="B191" s="179"/>
      <c r="C191" s="179" t="s">
        <v>336</v>
      </c>
      <c r="D191" s="179" t="s">
        <v>337</v>
      </c>
      <c r="E191" s="179"/>
      <c r="F191" s="180">
        <v>0</v>
      </c>
      <c r="G191" s="180">
        <v>0</v>
      </c>
      <c r="H191" s="180">
        <v>0</v>
      </c>
      <c r="I191" s="180">
        <v>0</v>
      </c>
      <c r="J191" s="181">
        <f t="shared" si="2"/>
        <v>0</v>
      </c>
      <c r="K191" s="586"/>
    </row>
    <row r="192" spans="1:11" ht="12.75" hidden="1">
      <c r="A192" s="179"/>
      <c r="B192" s="179"/>
      <c r="C192" s="179" t="s">
        <v>338</v>
      </c>
      <c r="D192" s="179" t="s">
        <v>565</v>
      </c>
      <c r="E192" s="179"/>
      <c r="F192" s="180">
        <v>0</v>
      </c>
      <c r="G192" s="180">
        <v>0</v>
      </c>
      <c r="H192" s="180">
        <v>0</v>
      </c>
      <c r="I192" s="180">
        <v>0</v>
      </c>
      <c r="J192" s="181">
        <f t="shared" si="2"/>
        <v>0</v>
      </c>
      <c r="K192" s="586"/>
    </row>
    <row r="193" spans="1:11" ht="12.75" hidden="1">
      <c r="A193" s="179"/>
      <c r="B193" s="179"/>
      <c r="C193" s="179" t="s">
        <v>339</v>
      </c>
      <c r="D193" s="179" t="s">
        <v>340</v>
      </c>
      <c r="E193" s="179"/>
      <c r="F193" s="180">
        <v>0</v>
      </c>
      <c r="G193" s="180">
        <v>0</v>
      </c>
      <c r="H193" s="180">
        <v>0</v>
      </c>
      <c r="I193" s="180">
        <v>0</v>
      </c>
      <c r="J193" s="181">
        <f t="shared" si="2"/>
        <v>0</v>
      </c>
      <c r="K193" s="586"/>
    </row>
    <row r="194" spans="1:11" ht="12.75" hidden="1">
      <c r="A194" s="179"/>
      <c r="B194" s="179"/>
      <c r="C194" s="179" t="s">
        <v>566</v>
      </c>
      <c r="D194" s="179" t="s">
        <v>567</v>
      </c>
      <c r="E194" s="179"/>
      <c r="F194" s="180">
        <v>0</v>
      </c>
      <c r="G194" s="180">
        <v>0</v>
      </c>
      <c r="H194" s="180">
        <v>0</v>
      </c>
      <c r="I194" s="180">
        <v>0</v>
      </c>
      <c r="J194" s="181">
        <f t="shared" si="2"/>
        <v>0</v>
      </c>
      <c r="K194" s="586"/>
    </row>
    <row r="195" spans="1:11" ht="12.75" hidden="1">
      <c r="A195" s="179"/>
      <c r="B195" s="179"/>
      <c r="C195" s="179"/>
      <c r="D195" s="196" t="s">
        <v>568</v>
      </c>
      <c r="E195" s="196" t="s">
        <v>569</v>
      </c>
      <c r="F195" s="201">
        <v>0</v>
      </c>
      <c r="G195" s="201">
        <v>0</v>
      </c>
      <c r="H195" s="201">
        <v>0</v>
      </c>
      <c r="I195" s="201">
        <v>0</v>
      </c>
      <c r="J195" s="181">
        <f t="shared" si="2"/>
        <v>0</v>
      </c>
      <c r="K195" s="586"/>
    </row>
    <row r="196" spans="1:11" ht="12.75" hidden="1">
      <c r="A196" s="179"/>
      <c r="B196" s="179"/>
      <c r="C196" s="179"/>
      <c r="D196" s="196" t="s">
        <v>570</v>
      </c>
      <c r="E196" s="196" t="s">
        <v>571</v>
      </c>
      <c r="F196" s="201">
        <v>0</v>
      </c>
      <c r="G196" s="201">
        <v>0</v>
      </c>
      <c r="H196" s="201">
        <v>0</v>
      </c>
      <c r="I196" s="201">
        <v>0</v>
      </c>
      <c r="J196" s="181">
        <f t="shared" si="2"/>
        <v>0</v>
      </c>
      <c r="K196" s="586"/>
    </row>
    <row r="197" spans="1:11" ht="12.75" hidden="1">
      <c r="A197" s="183"/>
      <c r="B197" s="176" t="s">
        <v>341</v>
      </c>
      <c r="C197" s="939" t="s">
        <v>342</v>
      </c>
      <c r="D197" s="939"/>
      <c r="E197" s="939"/>
      <c r="F197" s="177">
        <v>0</v>
      </c>
      <c r="G197" s="177">
        <v>0</v>
      </c>
      <c r="H197" s="177">
        <v>0</v>
      </c>
      <c r="I197" s="177">
        <v>0</v>
      </c>
      <c r="J197" s="178">
        <f t="shared" si="2"/>
        <v>0</v>
      </c>
      <c r="K197" s="585"/>
    </row>
    <row r="198" spans="1:11" ht="12.75" hidden="1">
      <c r="A198" s="183"/>
      <c r="B198" s="176" t="s">
        <v>343</v>
      </c>
      <c r="C198" s="939" t="s">
        <v>344</v>
      </c>
      <c r="D198" s="939"/>
      <c r="E198" s="939"/>
      <c r="F198" s="177">
        <v>0</v>
      </c>
      <c r="G198" s="177">
        <v>0</v>
      </c>
      <c r="H198" s="177">
        <v>0</v>
      </c>
      <c r="I198" s="177">
        <v>0</v>
      </c>
      <c r="J198" s="178">
        <f t="shared" si="2"/>
        <v>0</v>
      </c>
      <c r="K198" s="585"/>
    </row>
    <row r="199" spans="1:11" ht="12.75" hidden="1">
      <c r="A199" s="183"/>
      <c r="B199" s="176" t="s">
        <v>572</v>
      </c>
      <c r="C199" s="939" t="s">
        <v>573</v>
      </c>
      <c r="D199" s="939"/>
      <c r="E199" s="939"/>
      <c r="F199" s="177">
        <v>0</v>
      </c>
      <c r="G199" s="177">
        <v>0</v>
      </c>
      <c r="H199" s="177">
        <v>0</v>
      </c>
      <c r="I199" s="177">
        <v>0</v>
      </c>
      <c r="J199" s="178">
        <f t="shared" si="2"/>
        <v>0</v>
      </c>
      <c r="K199" s="585"/>
    </row>
    <row r="200" spans="1:11" ht="12.75" hidden="1">
      <c r="A200" s="183"/>
      <c r="B200" s="183"/>
      <c r="C200" s="183"/>
      <c r="D200" s="183"/>
      <c r="E200" s="183"/>
      <c r="F200" s="204"/>
      <c r="G200" s="205"/>
      <c r="H200" s="205"/>
      <c r="I200" s="205"/>
      <c r="J200" s="204">
        <f t="shared" si="2"/>
        <v>0</v>
      </c>
      <c r="K200" s="590"/>
    </row>
    <row r="201" spans="1:11" s="207" customFormat="1" ht="15.75">
      <c r="A201" s="946" t="s">
        <v>433</v>
      </c>
      <c r="B201" s="946"/>
      <c r="C201" s="946"/>
      <c r="D201" s="946"/>
      <c r="E201" s="946"/>
      <c r="F201" s="206">
        <f>SUM(F173+F147+F131+F122+F86+F57+F40+F7)</f>
        <v>1981359130</v>
      </c>
      <c r="G201" s="206">
        <f>SUM(G173+G147+G131+G122+G86+G57+G40+G7)</f>
        <v>9498597</v>
      </c>
      <c r="H201" s="206">
        <f>SUM(H173+H147+H131+H122+H86+H57+H40+H7)</f>
        <v>81198181</v>
      </c>
      <c r="I201" s="206">
        <f>SUM(I173+I147+I131+I122+I86+I57+I40+I7)</f>
        <v>4044435</v>
      </c>
      <c r="J201" s="206">
        <f t="shared" si="2"/>
        <v>2076100343</v>
      </c>
      <c r="K201" s="591"/>
    </row>
  </sheetData>
  <sheetProtection/>
  <mergeCells count="55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1:E131"/>
    <mergeCell ref="C125:E125"/>
    <mergeCell ref="C127:E127"/>
    <mergeCell ref="D111:E111"/>
    <mergeCell ref="C129:E129"/>
    <mergeCell ref="C123:E123"/>
    <mergeCell ref="C130:E130"/>
    <mergeCell ref="B57:E57"/>
    <mergeCell ref="D107:E107"/>
    <mergeCell ref="C60:E60"/>
    <mergeCell ref="D104:E104"/>
    <mergeCell ref="C58:E58"/>
    <mergeCell ref="C75:E75"/>
    <mergeCell ref="B86:E86"/>
    <mergeCell ref="C59:E59"/>
    <mergeCell ref="C148:E148"/>
    <mergeCell ref="C197:E197"/>
    <mergeCell ref="C133:E133"/>
    <mergeCell ref="C134:E134"/>
    <mergeCell ref="C43:E43"/>
    <mergeCell ref="C41:E41"/>
    <mergeCell ref="D119:E119"/>
    <mergeCell ref="B122:E122"/>
    <mergeCell ref="C44:E44"/>
    <mergeCell ref="D112:E112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98:E198"/>
    <mergeCell ref="C174:E174"/>
    <mergeCell ref="F1:J1"/>
    <mergeCell ref="B6:E6"/>
    <mergeCell ref="A2:J2"/>
    <mergeCell ref="C128:E128"/>
    <mergeCell ref="C42:E42"/>
    <mergeCell ref="C61:E61"/>
    <mergeCell ref="C64:E64"/>
    <mergeCell ref="C161:E161"/>
  </mergeCells>
  <printOptions horizontalCentered="1"/>
  <pageMargins left="0.5118110236220472" right="0.5118110236220472" top="1.062992125984252" bottom="1.062992125984252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zoomScalePageLayoutView="0" workbookViewId="0" topLeftCell="A34">
      <selection activeCell="A22" sqref="A22:IV22"/>
    </sheetView>
  </sheetViews>
  <sheetFormatPr defaultColWidth="9.00390625" defaultRowHeight="12.75"/>
  <cols>
    <col min="1" max="1" width="4.125" style="82" bestFit="1" customWidth="1"/>
    <col min="2" max="2" width="2.375" style="836" customWidth="1"/>
    <col min="3" max="3" width="81.25390625" style="836" customWidth="1"/>
    <col min="4" max="4" width="14.75390625" style="836" bestFit="1" customWidth="1"/>
  </cols>
  <sheetData>
    <row r="1" spans="3:4" ht="15">
      <c r="C1" s="982" t="s">
        <v>1169</v>
      </c>
      <c r="D1" s="1245"/>
    </row>
    <row r="2" spans="3:4" ht="15">
      <c r="C2" s="1"/>
      <c r="D2" s="77"/>
    </row>
    <row r="3" spans="2:4" ht="14.25">
      <c r="B3" s="1249" t="s">
        <v>947</v>
      </c>
      <c r="C3" s="1249"/>
      <c r="D3" s="1249"/>
    </row>
    <row r="4" spans="2:4" ht="14.25">
      <c r="B4" s="1249" t="s">
        <v>437</v>
      </c>
      <c r="C4" s="1249"/>
      <c r="D4" s="1249"/>
    </row>
    <row r="5" spans="2:4" ht="14.25">
      <c r="B5" s="837"/>
      <c r="C5" s="837"/>
      <c r="D5" s="837"/>
    </row>
    <row r="6" ht="15">
      <c r="D6" s="838"/>
    </row>
    <row r="7" spans="1:4" ht="14.25">
      <c r="A7" s="1250" t="s">
        <v>426</v>
      </c>
      <c r="B7" s="1252" t="s">
        <v>357</v>
      </c>
      <c r="C7" s="1252"/>
      <c r="D7" s="839" t="s">
        <v>369</v>
      </c>
    </row>
    <row r="8" spans="1:4" ht="12.75">
      <c r="A8" s="1251"/>
      <c r="B8" s="1253" t="s">
        <v>420</v>
      </c>
      <c r="C8" s="1254"/>
      <c r="D8" s="840" t="s">
        <v>421</v>
      </c>
    </row>
    <row r="9" spans="1:4" ht="14.25">
      <c r="A9" s="840">
        <v>1</v>
      </c>
      <c r="B9" s="841" t="s">
        <v>948</v>
      </c>
      <c r="C9" s="842"/>
      <c r="D9" s="843"/>
    </row>
    <row r="10" spans="1:4" ht="15">
      <c r="A10" s="840">
        <v>2</v>
      </c>
      <c r="B10" s="844"/>
      <c r="C10" s="81" t="s">
        <v>419</v>
      </c>
      <c r="D10" s="845">
        <v>1000000</v>
      </c>
    </row>
    <row r="11" spans="1:4" ht="14.25">
      <c r="A11" s="840">
        <v>3</v>
      </c>
      <c r="B11" s="841" t="s">
        <v>360</v>
      </c>
      <c r="C11" s="841"/>
      <c r="D11" s="846">
        <f>SUM(D10:D10)</f>
        <v>1000000</v>
      </c>
    </row>
    <row r="12" spans="1:4" ht="7.5" customHeight="1">
      <c r="A12" s="847"/>
      <c r="B12" s="848"/>
      <c r="C12" s="848"/>
      <c r="D12" s="843"/>
    </row>
    <row r="13" spans="1:4" ht="14.25">
      <c r="A13" s="840">
        <v>4</v>
      </c>
      <c r="B13" s="1255" t="s">
        <v>949</v>
      </c>
      <c r="C13" s="1255"/>
      <c r="D13" s="1255"/>
    </row>
    <row r="14" spans="1:4" ht="15">
      <c r="A14" s="840">
        <v>5</v>
      </c>
      <c r="B14" s="844"/>
      <c r="C14" s="81" t="s">
        <v>950</v>
      </c>
      <c r="D14" s="845">
        <v>495000</v>
      </c>
    </row>
    <row r="15" spans="1:4" ht="15">
      <c r="A15" s="840">
        <v>6</v>
      </c>
      <c r="B15" s="844"/>
      <c r="C15" s="81" t="s">
        <v>983</v>
      </c>
      <c r="D15" s="845">
        <v>553029</v>
      </c>
    </row>
    <row r="16" spans="1:4" s="877" customFormat="1" ht="15">
      <c r="A16" s="840">
        <v>7</v>
      </c>
      <c r="B16" s="874"/>
      <c r="C16" s="875" t="s">
        <v>984</v>
      </c>
      <c r="D16" s="876">
        <f>SUM(D14:D15)</f>
        <v>1048029</v>
      </c>
    </row>
    <row r="17" spans="1:4" ht="15">
      <c r="A17" s="840">
        <v>8</v>
      </c>
      <c r="B17" s="844"/>
      <c r="C17" s="81" t="s">
        <v>951</v>
      </c>
      <c r="D17" s="845">
        <f>23433000-20000000</f>
        <v>3433000</v>
      </c>
    </row>
    <row r="18" spans="1:4" ht="30">
      <c r="A18" s="840">
        <v>9</v>
      </c>
      <c r="B18" s="844"/>
      <c r="C18" s="81" t="s">
        <v>973</v>
      </c>
      <c r="D18" s="873">
        <v>-1576197</v>
      </c>
    </row>
    <row r="19" spans="1:4" ht="30">
      <c r="A19" s="840">
        <v>10</v>
      </c>
      <c r="B19" s="844"/>
      <c r="C19" s="81" t="s">
        <v>976</v>
      </c>
      <c r="D19" s="873">
        <v>-1055350</v>
      </c>
    </row>
    <row r="20" spans="1:4" ht="15">
      <c r="A20" s="840">
        <v>11</v>
      </c>
      <c r="B20" s="844"/>
      <c r="C20" s="81" t="s">
        <v>977</v>
      </c>
      <c r="D20" s="845">
        <v>-288050</v>
      </c>
    </row>
    <row r="21" spans="1:4" ht="15">
      <c r="A21" s="840">
        <v>12</v>
      </c>
      <c r="B21" s="844"/>
      <c r="C21" s="81" t="s">
        <v>1154</v>
      </c>
      <c r="D21" s="873">
        <v>-513403</v>
      </c>
    </row>
    <row r="22" spans="1:4" s="877" customFormat="1" ht="15">
      <c r="A22" s="840">
        <v>13</v>
      </c>
      <c r="B22" s="874"/>
      <c r="C22" s="875" t="s">
        <v>985</v>
      </c>
      <c r="D22" s="876">
        <f>SUM(D17:D21)</f>
        <v>0</v>
      </c>
    </row>
    <row r="23" spans="1:4" ht="14.25">
      <c r="A23" s="840">
        <v>14</v>
      </c>
      <c r="B23" s="841" t="s">
        <v>986</v>
      </c>
      <c r="C23" s="841"/>
      <c r="D23" s="846">
        <f>SUM(D16+D22)</f>
        <v>1048029</v>
      </c>
    </row>
    <row r="24" spans="1:4" ht="7.5" customHeight="1">
      <c r="A24" s="847"/>
      <c r="B24" s="848"/>
      <c r="C24" s="848"/>
      <c r="D24" s="843"/>
    </row>
    <row r="25" spans="1:4" ht="14.25">
      <c r="A25" s="840">
        <v>15</v>
      </c>
      <c r="B25" s="841" t="s">
        <v>952</v>
      </c>
      <c r="C25" s="842"/>
      <c r="D25" s="843"/>
    </row>
    <row r="26" spans="1:4" ht="15">
      <c r="A26" s="840">
        <v>16</v>
      </c>
      <c r="B26" s="844"/>
      <c r="C26" s="81" t="s">
        <v>953</v>
      </c>
      <c r="D26" s="845">
        <v>1000000</v>
      </c>
    </row>
    <row r="27" spans="1:4" ht="33.75" customHeight="1">
      <c r="A27" s="840">
        <v>17</v>
      </c>
      <c r="B27" s="844"/>
      <c r="C27" s="81" t="s">
        <v>968</v>
      </c>
      <c r="D27" s="873">
        <v>-63500</v>
      </c>
    </row>
    <row r="28" spans="1:4" ht="15">
      <c r="A28" s="840">
        <v>18</v>
      </c>
      <c r="B28" s="844"/>
      <c r="C28" s="81" t="s">
        <v>969</v>
      </c>
      <c r="D28" s="845">
        <v>-68000</v>
      </c>
    </row>
    <row r="29" spans="1:4" ht="15">
      <c r="A29" s="840">
        <v>19</v>
      </c>
      <c r="B29" s="844"/>
      <c r="C29" s="81" t="s">
        <v>970</v>
      </c>
      <c r="D29" s="873">
        <v>-30000</v>
      </c>
    </row>
    <row r="30" spans="1:4" ht="15">
      <c r="A30" s="840">
        <v>20</v>
      </c>
      <c r="B30" s="844"/>
      <c r="C30" s="81" t="s">
        <v>971</v>
      </c>
      <c r="D30" s="873">
        <v>-90000</v>
      </c>
    </row>
    <row r="31" spans="1:4" ht="15">
      <c r="A31" s="840">
        <v>21</v>
      </c>
      <c r="B31" s="844"/>
      <c r="C31" s="81" t="s">
        <v>972</v>
      </c>
      <c r="D31" s="873">
        <v>-146050</v>
      </c>
    </row>
    <row r="32" spans="1:4" ht="15">
      <c r="A32" s="840">
        <v>22</v>
      </c>
      <c r="B32" s="844"/>
      <c r="C32" s="81" t="s">
        <v>974</v>
      </c>
      <c r="D32" s="873">
        <v>-190500</v>
      </c>
    </row>
    <row r="33" spans="1:4" ht="15">
      <c r="A33" s="840">
        <v>23</v>
      </c>
      <c r="B33" s="844"/>
      <c r="C33" s="81" t="s">
        <v>975</v>
      </c>
      <c r="D33" s="845">
        <v>-150000</v>
      </c>
    </row>
    <row r="34" spans="1:4" ht="15">
      <c r="A34" s="840">
        <v>24</v>
      </c>
      <c r="B34" s="844"/>
      <c r="C34" s="81" t="s">
        <v>977</v>
      </c>
      <c r="D34" s="845">
        <v>-261950</v>
      </c>
    </row>
    <row r="35" spans="1:4" ht="14.25">
      <c r="A35" s="840">
        <v>25</v>
      </c>
      <c r="B35" s="841" t="s">
        <v>360</v>
      </c>
      <c r="C35" s="841"/>
      <c r="D35" s="846">
        <f>SUM(D26:D34)</f>
        <v>0</v>
      </c>
    </row>
    <row r="36" spans="1:4" ht="8.25" customHeight="1">
      <c r="A36" s="840"/>
      <c r="B36" s="841"/>
      <c r="C36" s="841"/>
      <c r="D36" s="846"/>
    </row>
    <row r="37" spans="1:4" ht="14.25">
      <c r="A37" s="840">
        <v>26</v>
      </c>
      <c r="B37" s="1255" t="s">
        <v>978</v>
      </c>
      <c r="C37" s="1255"/>
      <c r="D37" s="1255"/>
    </row>
    <row r="38" spans="1:4" ht="15">
      <c r="A38" s="840">
        <v>27</v>
      </c>
      <c r="B38" s="844"/>
      <c r="C38" s="81" t="s">
        <v>979</v>
      </c>
      <c r="D38" s="845">
        <v>59808757</v>
      </c>
    </row>
    <row r="39" spans="1:4" ht="15">
      <c r="A39" s="840">
        <v>28</v>
      </c>
      <c r="B39" s="844"/>
      <c r="C39" s="81" t="s">
        <v>980</v>
      </c>
      <c r="D39" s="873">
        <v>-59808757</v>
      </c>
    </row>
    <row r="40" spans="1:4" ht="14.25">
      <c r="A40" s="840">
        <v>29</v>
      </c>
      <c r="B40" s="841" t="s">
        <v>360</v>
      </c>
      <c r="C40" s="841"/>
      <c r="D40" s="846">
        <f>SUM(D38:D39)</f>
        <v>0</v>
      </c>
    </row>
    <row r="41" spans="1:4" ht="7.5" customHeight="1">
      <c r="A41" s="840"/>
      <c r="B41" s="841"/>
      <c r="C41" s="841"/>
      <c r="D41" s="846"/>
    </row>
    <row r="42" spans="1:4" ht="14.25">
      <c r="A42" s="840">
        <v>30</v>
      </c>
      <c r="B42" s="1255" t="s">
        <v>981</v>
      </c>
      <c r="C42" s="1255"/>
      <c r="D42" s="1255"/>
    </row>
    <row r="43" spans="1:4" ht="15">
      <c r="A43" s="840">
        <v>31</v>
      </c>
      <c r="B43" s="844"/>
      <c r="C43" s="81" t="s">
        <v>982</v>
      </c>
      <c r="D43" s="845">
        <v>9782649</v>
      </c>
    </row>
    <row r="44" spans="1:4" ht="15">
      <c r="A44" s="840">
        <v>32</v>
      </c>
      <c r="B44" s="844"/>
      <c r="C44" s="81" t="s">
        <v>980</v>
      </c>
      <c r="D44" s="873">
        <v>-9782649</v>
      </c>
    </row>
    <row r="45" spans="1:4" ht="14.25">
      <c r="A45" s="840">
        <v>33</v>
      </c>
      <c r="B45" s="841" t="s">
        <v>360</v>
      </c>
      <c r="C45" s="841"/>
      <c r="D45" s="846">
        <f>SUM(D43:D44)</f>
        <v>0</v>
      </c>
    </row>
    <row r="46" spans="1:4" ht="7.5" customHeight="1">
      <c r="A46" s="840"/>
      <c r="B46" s="841"/>
      <c r="C46" s="841"/>
      <c r="D46" s="841"/>
    </row>
    <row r="47" spans="1:4" ht="14.25">
      <c r="A47" s="840">
        <v>34</v>
      </c>
      <c r="B47" s="841" t="s">
        <v>954</v>
      </c>
      <c r="C47" s="841"/>
      <c r="D47" s="846">
        <f>SUM(D11,D23,D40,D45,D35)</f>
        <v>2048029</v>
      </c>
    </row>
    <row r="48" spans="1:4" ht="7.5" customHeight="1">
      <c r="A48" s="840"/>
      <c r="B48" s="841"/>
      <c r="C48" s="841"/>
      <c r="D48" s="841"/>
    </row>
    <row r="49" spans="1:4" ht="14.25">
      <c r="A49" s="840">
        <v>35</v>
      </c>
      <c r="B49" s="1255" t="s">
        <v>955</v>
      </c>
      <c r="C49" s="1255"/>
      <c r="D49" s="1255"/>
    </row>
    <row r="50" spans="1:4" ht="30">
      <c r="A50" s="840">
        <v>36</v>
      </c>
      <c r="B50" s="849"/>
      <c r="C50" s="81" t="s">
        <v>956</v>
      </c>
      <c r="D50" s="845">
        <v>5000000</v>
      </c>
    </row>
    <row r="51" spans="1:4" ht="15">
      <c r="A51" s="840">
        <v>37</v>
      </c>
      <c r="B51" s="849"/>
      <c r="C51" s="81" t="s">
        <v>1144</v>
      </c>
      <c r="D51" s="873">
        <v>-1269600</v>
      </c>
    </row>
    <row r="52" spans="1:4" ht="30">
      <c r="A52" s="840">
        <v>38</v>
      </c>
      <c r="B52" s="849"/>
      <c r="C52" s="931" t="s">
        <v>1145</v>
      </c>
      <c r="D52" s="876">
        <f>SUM(D50:D51)</f>
        <v>3730400</v>
      </c>
    </row>
    <row r="53" spans="1:4" ht="23.25" customHeight="1">
      <c r="A53" s="840">
        <v>39</v>
      </c>
      <c r="B53" s="849"/>
      <c r="C53" s="931" t="s">
        <v>987</v>
      </c>
      <c r="D53" s="876">
        <v>4176519</v>
      </c>
    </row>
    <row r="54" spans="1:4" ht="6.75" customHeight="1">
      <c r="A54" s="840"/>
      <c r="B54" s="844"/>
      <c r="C54" s="81"/>
      <c r="D54" s="850"/>
    </row>
    <row r="55" spans="1:4" ht="14.25">
      <c r="A55" s="840">
        <v>40</v>
      </c>
      <c r="B55" s="841" t="s">
        <v>957</v>
      </c>
      <c r="C55" s="841"/>
      <c r="D55" s="846">
        <f>SUM(D52:D53)</f>
        <v>7906919</v>
      </c>
    </row>
    <row r="56" spans="1:4" ht="8.25" customHeight="1">
      <c r="A56" s="847"/>
      <c r="B56" s="848"/>
      <c r="C56" s="848"/>
      <c r="D56" s="843"/>
    </row>
    <row r="57" spans="1:4" ht="14.25">
      <c r="A57" s="840">
        <v>41</v>
      </c>
      <c r="B57" s="841" t="s">
        <v>958</v>
      </c>
      <c r="C57" s="841"/>
      <c r="D57" s="846">
        <f>SUM(D55,D47)</f>
        <v>9954948</v>
      </c>
    </row>
  </sheetData>
  <sheetProtection/>
  <mergeCells count="10">
    <mergeCell ref="B13:D13"/>
    <mergeCell ref="B49:D49"/>
    <mergeCell ref="B37:D37"/>
    <mergeCell ref="B42:D42"/>
    <mergeCell ref="C1:D1"/>
    <mergeCell ref="B3:D3"/>
    <mergeCell ref="B4:D4"/>
    <mergeCell ref="A7:A8"/>
    <mergeCell ref="B7:C7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851" bestFit="1" customWidth="1"/>
    <col min="2" max="2" width="14.625" style="852" customWidth="1"/>
    <col min="3" max="9" width="16.75390625" style="852" customWidth="1"/>
  </cols>
  <sheetData>
    <row r="1" ht="15.75">
      <c r="I1" s="853" t="s">
        <v>1170</v>
      </c>
    </row>
    <row r="3" spans="1:9" ht="29.25" customHeight="1">
      <c r="A3" s="1256" t="s">
        <v>959</v>
      </c>
      <c r="B3" s="1257"/>
      <c r="C3" s="1257"/>
      <c r="D3" s="1257"/>
      <c r="E3" s="1257"/>
      <c r="F3" s="1257"/>
      <c r="G3" s="1257"/>
      <c r="H3" s="1257"/>
      <c r="I3" s="1257"/>
    </row>
    <row r="4" spans="2:9" ht="16.5" thickBot="1">
      <c r="B4" s="854"/>
      <c r="C4" s="854"/>
      <c r="D4" s="854"/>
      <c r="E4" s="854"/>
      <c r="F4" s="854"/>
      <c r="G4" s="854"/>
      <c r="H4" s="854"/>
      <c r="I4" s="854"/>
    </row>
    <row r="5" spans="1:9" ht="15.75">
      <c r="A5" s="1258" t="s">
        <v>426</v>
      </c>
      <c r="B5" s="1260" t="s">
        <v>960</v>
      </c>
      <c r="C5" s="1260" t="s">
        <v>961</v>
      </c>
      <c r="D5" s="1260"/>
      <c r="E5" s="1260"/>
      <c r="F5" s="1260"/>
      <c r="G5" s="1260"/>
      <c r="H5" s="1260"/>
      <c r="I5" s="1262" t="s">
        <v>415</v>
      </c>
    </row>
    <row r="6" spans="1:9" ht="102">
      <c r="A6" s="1259"/>
      <c r="B6" s="1261"/>
      <c r="C6" s="856" t="s">
        <v>962</v>
      </c>
      <c r="D6" s="856" t="s">
        <v>963</v>
      </c>
      <c r="E6" s="856" t="s">
        <v>964</v>
      </c>
      <c r="F6" s="856" t="s">
        <v>965</v>
      </c>
      <c r="G6" s="856" t="s">
        <v>966</v>
      </c>
      <c r="H6" s="856" t="s">
        <v>967</v>
      </c>
      <c r="I6" s="1263"/>
    </row>
    <row r="7" spans="1:9" ht="12.75">
      <c r="A7" s="1259"/>
      <c r="B7" s="857" t="s">
        <v>420</v>
      </c>
      <c r="C7" s="858" t="s">
        <v>421</v>
      </c>
      <c r="D7" s="858" t="s">
        <v>422</v>
      </c>
      <c r="E7" s="858" t="s">
        <v>423</v>
      </c>
      <c r="F7" s="858" t="s">
        <v>424</v>
      </c>
      <c r="G7" s="858" t="s">
        <v>425</v>
      </c>
      <c r="H7" s="858" t="s">
        <v>427</v>
      </c>
      <c r="I7" s="859" t="s">
        <v>428</v>
      </c>
    </row>
    <row r="8" spans="1:9" ht="15.75">
      <c r="A8" s="855">
        <v>1</v>
      </c>
      <c r="B8" s="860" t="s">
        <v>437</v>
      </c>
      <c r="C8" s="861">
        <v>202400000</v>
      </c>
      <c r="D8" s="862">
        <f>42563085+100000-1011276</f>
        <v>41651809</v>
      </c>
      <c r="E8" s="862">
        <v>3000</v>
      </c>
      <c r="F8" s="862"/>
      <c r="G8" s="861">
        <v>1145000</v>
      </c>
      <c r="H8" s="862"/>
      <c r="I8" s="863">
        <f>SUM(C8:H8)</f>
        <v>245199809</v>
      </c>
    </row>
    <row r="9" spans="1:9" ht="15.75">
      <c r="A9" s="855">
        <v>2</v>
      </c>
      <c r="B9" s="860" t="s">
        <v>438</v>
      </c>
      <c r="C9" s="864">
        <v>202000000</v>
      </c>
      <c r="D9" s="865">
        <v>10000000</v>
      </c>
      <c r="E9" s="862">
        <v>3000</v>
      </c>
      <c r="F9" s="865"/>
      <c r="G9" s="864">
        <v>800000</v>
      </c>
      <c r="H9" s="862"/>
      <c r="I9" s="863">
        <f>SUM(C9:H9)</f>
        <v>212803000</v>
      </c>
    </row>
    <row r="10" spans="1:9" ht="15.75">
      <c r="A10" s="855">
        <v>3</v>
      </c>
      <c r="B10" s="860" t="s">
        <v>439</v>
      </c>
      <c r="C10" s="864">
        <v>204000000</v>
      </c>
      <c r="D10" s="865">
        <v>8000000</v>
      </c>
      <c r="E10" s="862">
        <v>3000</v>
      </c>
      <c r="F10" s="865"/>
      <c r="G10" s="864">
        <v>700000</v>
      </c>
      <c r="H10" s="862"/>
      <c r="I10" s="863">
        <f>SUM(C10:H10)</f>
        <v>212703000</v>
      </c>
    </row>
    <row r="11" spans="1:9" ht="15.75">
      <c r="A11" s="855">
        <v>4</v>
      </c>
      <c r="B11" s="860" t="s">
        <v>440</v>
      </c>
      <c r="C11" s="864">
        <v>208000000</v>
      </c>
      <c r="D11" s="865">
        <v>6000000</v>
      </c>
      <c r="E11" s="862">
        <v>3000</v>
      </c>
      <c r="F11" s="865">
        <v>100000</v>
      </c>
      <c r="G11" s="864">
        <v>350000</v>
      </c>
      <c r="H11" s="862"/>
      <c r="I11" s="863">
        <f>SUM(C11:H11)</f>
        <v>214453000</v>
      </c>
    </row>
    <row r="12" spans="1:9" ht="16.5" thickBot="1">
      <c r="A12" s="866">
        <v>5</v>
      </c>
      <c r="B12" s="867" t="s">
        <v>441</v>
      </c>
      <c r="C12" s="868">
        <v>210000000</v>
      </c>
      <c r="D12" s="869">
        <v>6000000</v>
      </c>
      <c r="E12" s="869">
        <v>3000</v>
      </c>
      <c r="F12" s="869">
        <v>100000</v>
      </c>
      <c r="G12" s="868">
        <v>340000</v>
      </c>
      <c r="H12" s="870"/>
      <c r="I12" s="871">
        <f>SUM(C12:H12)</f>
        <v>216443000</v>
      </c>
    </row>
    <row r="14" ht="15.75">
      <c r="E14" s="872"/>
    </row>
  </sheetData>
  <sheetProtection/>
  <mergeCells count="5">
    <mergeCell ref="A3:I3"/>
    <mergeCell ref="A5:A7"/>
    <mergeCell ref="B5:B6"/>
    <mergeCell ref="C5:H5"/>
    <mergeCell ref="I5:I6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8"/>
  <sheetViews>
    <sheetView zoomScalePageLayoutView="0" workbookViewId="0" topLeftCell="A1">
      <selection activeCell="A42" sqref="A42:IV42"/>
    </sheetView>
  </sheetViews>
  <sheetFormatPr defaultColWidth="9.00390625" defaultRowHeight="12.75"/>
  <cols>
    <col min="1" max="1" width="5.125" style="35" bestFit="1" customWidth="1"/>
    <col min="2" max="2" width="8.875" style="31" customWidth="1"/>
    <col min="3" max="3" width="80.37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38" t="s">
        <v>1171</v>
      </c>
      <c r="J1" s="135"/>
      <c r="K1" s="135"/>
      <c r="L1" s="537"/>
      <c r="M1" s="135"/>
    </row>
    <row r="2" spans="1:256" ht="15.75">
      <c r="A2" s="1273" t="s">
        <v>753</v>
      </c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1274" t="s">
        <v>937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ht="13.5" thickBot="1"/>
    <row r="5" spans="1:256" ht="12.75">
      <c r="A5" s="1275" t="s">
        <v>442</v>
      </c>
      <c r="B5" s="1275"/>
      <c r="C5" s="1276"/>
      <c r="D5" s="1277" t="s">
        <v>435</v>
      </c>
      <c r="E5" s="1275"/>
      <c r="F5" s="1278"/>
      <c r="G5" s="1279" t="s">
        <v>583</v>
      </c>
      <c r="H5" s="1280"/>
      <c r="I5" s="1280"/>
      <c r="J5" s="1281"/>
      <c r="K5" s="1282"/>
      <c r="L5" s="1268" t="s">
        <v>362</v>
      </c>
      <c r="M5" s="28"/>
      <c r="N5" s="28" t="s">
        <v>478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25.5">
      <c r="A6" s="1270" t="s">
        <v>443</v>
      </c>
      <c r="B6" s="1271"/>
      <c r="C6" s="23" t="s">
        <v>444</v>
      </c>
      <c r="D6" s="24" t="s">
        <v>445</v>
      </c>
      <c r="E6" s="26" t="s">
        <v>446</v>
      </c>
      <c r="F6" s="27" t="s">
        <v>477</v>
      </c>
      <c r="G6" s="24" t="s">
        <v>447</v>
      </c>
      <c r="H6" s="25" t="s">
        <v>458</v>
      </c>
      <c r="I6" s="25" t="s">
        <v>448</v>
      </c>
      <c r="J6" s="25" t="s">
        <v>458</v>
      </c>
      <c r="K6" s="27" t="s">
        <v>623</v>
      </c>
      <c r="L6" s="126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2.75">
      <c r="A7" s="1272" t="s">
        <v>420</v>
      </c>
      <c r="B7" s="1272"/>
      <c r="C7" s="98" t="s">
        <v>421</v>
      </c>
      <c r="D7" s="99" t="s">
        <v>422</v>
      </c>
      <c r="E7" s="100" t="s">
        <v>423</v>
      </c>
      <c r="F7" s="101" t="s">
        <v>424</v>
      </c>
      <c r="G7" s="99" t="s">
        <v>425</v>
      </c>
      <c r="H7" s="102" t="s">
        <v>427</v>
      </c>
      <c r="I7" s="102" t="s">
        <v>428</v>
      </c>
      <c r="J7" s="102" t="s">
        <v>381</v>
      </c>
      <c r="K7" s="101" t="s">
        <v>382</v>
      </c>
      <c r="L7" s="128" t="s">
        <v>383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2.75">
      <c r="A8" s="116" t="s">
        <v>465</v>
      </c>
      <c r="B8" s="117"/>
      <c r="C8" s="118" t="s">
        <v>475</v>
      </c>
      <c r="D8" s="119"/>
      <c r="E8" s="120"/>
      <c r="F8" s="121">
        <f>F9+F10+F15+F16+F17+F18</f>
        <v>200194231</v>
      </c>
      <c r="G8" s="119"/>
      <c r="H8" s="122"/>
      <c r="I8" s="122"/>
      <c r="J8" s="120"/>
      <c r="K8" s="121"/>
      <c r="L8" s="129">
        <f aca="true" t="shared" si="0" ref="L8:L14">F8+K8</f>
        <v>200194231</v>
      </c>
      <c r="M8" s="113"/>
      <c r="N8" s="131">
        <f>SUM(N9:N18)</f>
        <v>200194231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2.75">
      <c r="A9" s="107"/>
      <c r="B9" s="108" t="s">
        <v>518</v>
      </c>
      <c r="C9" s="109" t="s">
        <v>459</v>
      </c>
      <c r="D9" s="540">
        <v>26.34</v>
      </c>
      <c r="E9" s="541">
        <v>4580000</v>
      </c>
      <c r="F9" s="542">
        <f>D9*E9</f>
        <v>120637200</v>
      </c>
      <c r="G9" s="543"/>
      <c r="H9" s="544"/>
      <c r="I9" s="544"/>
      <c r="J9" s="541"/>
      <c r="K9" s="542"/>
      <c r="L9" s="545">
        <f t="shared" si="0"/>
        <v>120637200</v>
      </c>
      <c r="M9" s="110"/>
      <c r="N9" s="134">
        <f>SUM(L9)</f>
        <v>120637200</v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2.75">
      <c r="A10" s="107"/>
      <c r="B10" s="108" t="s">
        <v>519</v>
      </c>
      <c r="C10" s="109" t="s">
        <v>118</v>
      </c>
      <c r="D10" s="543"/>
      <c r="E10" s="541"/>
      <c r="F10" s="542">
        <f>SUM(F11:F14)</f>
        <v>63436320</v>
      </c>
      <c r="G10" s="543"/>
      <c r="H10" s="544"/>
      <c r="I10" s="544"/>
      <c r="J10" s="541"/>
      <c r="K10" s="542"/>
      <c r="L10" s="545">
        <f t="shared" si="0"/>
        <v>63436320</v>
      </c>
      <c r="M10" s="110"/>
      <c r="N10" s="134">
        <f>SUM(L11:L14)</f>
        <v>63436320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14" ht="12.75">
      <c r="A11" s="29"/>
      <c r="B11" s="105" t="s">
        <v>520</v>
      </c>
      <c r="C11" s="106" t="s">
        <v>460</v>
      </c>
      <c r="D11" s="546"/>
      <c r="E11" s="547"/>
      <c r="F11" s="548">
        <v>18207950</v>
      </c>
      <c r="G11" s="546"/>
      <c r="H11" s="549"/>
      <c r="I11" s="549"/>
      <c r="J11" s="547"/>
      <c r="K11" s="548"/>
      <c r="L11" s="550">
        <f t="shared" si="0"/>
        <v>18207950</v>
      </c>
      <c r="M11" s="30"/>
      <c r="N11" s="134"/>
    </row>
    <row r="12" spans="1:14" ht="12.75">
      <c r="A12" s="29"/>
      <c r="B12" s="105" t="s">
        <v>521</v>
      </c>
      <c r="C12" s="106" t="s">
        <v>461</v>
      </c>
      <c r="D12" s="546"/>
      <c r="E12" s="547"/>
      <c r="F12" s="548">
        <v>30176000</v>
      </c>
      <c r="G12" s="546"/>
      <c r="H12" s="549"/>
      <c r="I12" s="549"/>
      <c r="J12" s="547"/>
      <c r="K12" s="548"/>
      <c r="L12" s="550">
        <f t="shared" si="0"/>
        <v>30176000</v>
      </c>
      <c r="M12" s="30"/>
      <c r="N12" s="134"/>
    </row>
    <row r="13" spans="1:14" ht="12.75">
      <c r="A13" s="29"/>
      <c r="B13" s="105" t="s">
        <v>522</v>
      </c>
      <c r="C13" s="106" t="s">
        <v>462</v>
      </c>
      <c r="D13" s="546"/>
      <c r="E13" s="547"/>
      <c r="F13" s="548">
        <v>0</v>
      </c>
      <c r="G13" s="546"/>
      <c r="H13" s="549"/>
      <c r="I13" s="549"/>
      <c r="J13" s="547"/>
      <c r="K13" s="548"/>
      <c r="L13" s="550">
        <f t="shared" si="0"/>
        <v>0</v>
      </c>
      <c r="M13" s="30"/>
      <c r="N13" s="134"/>
    </row>
    <row r="14" spans="1:14" ht="12.75">
      <c r="A14" s="29"/>
      <c r="B14" s="105" t="s">
        <v>523</v>
      </c>
      <c r="C14" s="106" t="s">
        <v>463</v>
      </c>
      <c r="D14" s="546"/>
      <c r="E14" s="547"/>
      <c r="F14" s="548">
        <v>15052370</v>
      </c>
      <c r="G14" s="546"/>
      <c r="H14" s="549"/>
      <c r="I14" s="549"/>
      <c r="J14" s="547"/>
      <c r="K14" s="548"/>
      <c r="L14" s="550">
        <f t="shared" si="0"/>
        <v>15052370</v>
      </c>
      <c r="M14" s="30"/>
      <c r="N14" s="134"/>
    </row>
    <row r="15" spans="1:256" ht="12.75">
      <c r="A15" s="107"/>
      <c r="B15" s="108" t="s">
        <v>524</v>
      </c>
      <c r="C15" s="112" t="s">
        <v>119</v>
      </c>
      <c r="D15" s="543"/>
      <c r="E15" s="541">
        <v>2700</v>
      </c>
      <c r="F15" s="542">
        <v>13441039</v>
      </c>
      <c r="G15" s="543"/>
      <c r="H15" s="544"/>
      <c r="I15" s="544"/>
      <c r="J15" s="541"/>
      <c r="K15" s="542"/>
      <c r="L15" s="545">
        <f>F15+K15</f>
        <v>13441039</v>
      </c>
      <c r="M15" s="110"/>
      <c r="N15" s="134">
        <f>SUM(L15)</f>
        <v>13441039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2.75">
      <c r="A16" s="107"/>
      <c r="B16" s="108" t="s">
        <v>525</v>
      </c>
      <c r="C16" s="112" t="s">
        <v>93</v>
      </c>
      <c r="D16" s="543">
        <v>307</v>
      </c>
      <c r="E16" s="541">
        <v>2550</v>
      </c>
      <c r="F16" s="542">
        <f>D16*E16</f>
        <v>782850</v>
      </c>
      <c r="G16" s="543"/>
      <c r="H16" s="544"/>
      <c r="I16" s="544"/>
      <c r="J16" s="541"/>
      <c r="K16" s="542"/>
      <c r="L16" s="545">
        <f>F16+K16</f>
        <v>782850</v>
      </c>
      <c r="M16" s="110"/>
      <c r="N16" s="134">
        <f>SUM(L16)</f>
        <v>782850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2.75">
      <c r="A17" s="107"/>
      <c r="B17" s="108" t="s">
        <v>751</v>
      </c>
      <c r="C17" s="112" t="s">
        <v>750</v>
      </c>
      <c r="D17" s="543"/>
      <c r="E17" s="541"/>
      <c r="F17" s="542">
        <v>140422</v>
      </c>
      <c r="G17" s="543"/>
      <c r="H17" s="544"/>
      <c r="I17" s="544"/>
      <c r="J17" s="541"/>
      <c r="K17" s="542"/>
      <c r="L17" s="545">
        <f>F17+K17</f>
        <v>140422</v>
      </c>
      <c r="M17" s="110"/>
      <c r="N17" s="134">
        <f>SUM(L17)</f>
        <v>140422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2.75">
      <c r="A18" s="107"/>
      <c r="B18" s="108" t="s">
        <v>526</v>
      </c>
      <c r="C18" s="112" t="s">
        <v>752</v>
      </c>
      <c r="D18" s="543"/>
      <c r="E18" s="541"/>
      <c r="F18" s="542">
        <v>1756400</v>
      </c>
      <c r="G18" s="543"/>
      <c r="H18" s="544"/>
      <c r="I18" s="544"/>
      <c r="J18" s="541"/>
      <c r="K18" s="542"/>
      <c r="L18" s="545">
        <f>F18+K18</f>
        <v>1756400</v>
      </c>
      <c r="M18" s="110"/>
      <c r="N18" s="134">
        <f>SUM(L18)</f>
        <v>1756400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14" ht="12.75">
      <c r="A19" s="116" t="s">
        <v>464</v>
      </c>
      <c r="B19" s="123"/>
      <c r="C19" s="118" t="s">
        <v>120</v>
      </c>
      <c r="D19" s="551"/>
      <c r="E19" s="552"/>
      <c r="F19" s="121"/>
      <c r="G19" s="551"/>
      <c r="H19" s="553"/>
      <c r="I19" s="553"/>
      <c r="J19" s="552"/>
      <c r="K19" s="121">
        <f>K20+K23+K24+K25</f>
        <v>114317568</v>
      </c>
      <c r="L19" s="129">
        <f>F19+K19</f>
        <v>114317568</v>
      </c>
      <c r="M19" s="30"/>
      <c r="N19" s="131">
        <f>SUM(N20:N29)</f>
        <v>114317568</v>
      </c>
    </row>
    <row r="20" spans="1:256" ht="25.5">
      <c r="A20" s="115"/>
      <c r="B20" s="1344" t="s">
        <v>466</v>
      </c>
      <c r="C20" s="109" t="s">
        <v>121</v>
      </c>
      <c r="D20" s="543"/>
      <c r="E20" s="541"/>
      <c r="F20" s="542"/>
      <c r="G20" s="543"/>
      <c r="H20" s="544"/>
      <c r="I20" s="544"/>
      <c r="J20" s="541"/>
      <c r="K20" s="542">
        <f>SUM(K21:K22)</f>
        <v>93484500</v>
      </c>
      <c r="L20" s="545">
        <f>SUM(K20,F20)</f>
        <v>93484500</v>
      </c>
      <c r="M20" s="110"/>
      <c r="N20" s="134">
        <f>SUM(L21:L22)</f>
        <v>93484500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14" ht="12.75">
      <c r="A21" s="29"/>
      <c r="B21" s="105" t="s">
        <v>754</v>
      </c>
      <c r="C21" s="106" t="s">
        <v>467</v>
      </c>
      <c r="D21" s="546"/>
      <c r="E21" s="547"/>
      <c r="F21" s="548"/>
      <c r="G21" s="554">
        <v>16.1</v>
      </c>
      <c r="H21" s="549">
        <v>4419000</v>
      </c>
      <c r="I21" s="555">
        <v>14.3</v>
      </c>
      <c r="J21" s="549">
        <v>4419000</v>
      </c>
      <c r="K21" s="548">
        <f>47430600+21063900</f>
        <v>68494500</v>
      </c>
      <c r="L21" s="550">
        <f aca="true" t="shared" si="1" ref="L21:L49">F21+K21</f>
        <v>68494500</v>
      </c>
      <c r="M21" s="30"/>
      <c r="N21" s="134"/>
    </row>
    <row r="22" spans="1:14" ht="25.5">
      <c r="A22" s="29"/>
      <c r="B22" s="1345" t="s">
        <v>755</v>
      </c>
      <c r="C22" s="133" t="s">
        <v>585</v>
      </c>
      <c r="D22" s="546"/>
      <c r="E22" s="547"/>
      <c r="F22" s="548"/>
      <c r="G22" s="546">
        <v>12</v>
      </c>
      <c r="H22" s="549">
        <v>2205000</v>
      </c>
      <c r="I22" s="549">
        <v>10</v>
      </c>
      <c r="J22" s="547">
        <v>2205000</v>
      </c>
      <c r="K22" s="548">
        <f>17640000+7350000</f>
        <v>24990000</v>
      </c>
      <c r="L22" s="550">
        <f t="shared" si="1"/>
        <v>24990000</v>
      </c>
      <c r="M22" s="30"/>
      <c r="N22" s="134"/>
    </row>
    <row r="23" spans="1:256" ht="12.75">
      <c r="A23" s="107"/>
      <c r="B23" s="108" t="s">
        <v>468</v>
      </c>
      <c r="C23" s="112" t="s">
        <v>469</v>
      </c>
      <c r="D23" s="556"/>
      <c r="E23" s="557"/>
      <c r="F23" s="542"/>
      <c r="G23" s="558">
        <v>178</v>
      </c>
      <c r="H23" s="544">
        <v>81700</v>
      </c>
      <c r="I23" s="559">
        <v>160</v>
      </c>
      <c r="J23" s="541">
        <v>81700</v>
      </c>
      <c r="K23" s="542">
        <f>9695067+4357333</f>
        <v>14052400</v>
      </c>
      <c r="L23" s="545">
        <f t="shared" si="1"/>
        <v>14052400</v>
      </c>
      <c r="M23" s="110"/>
      <c r="N23" s="134">
        <f>SUM(L23)</f>
        <v>14052400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2.75">
      <c r="A24" s="107"/>
      <c r="B24" s="108" t="s">
        <v>624</v>
      </c>
      <c r="C24" s="112" t="s">
        <v>625</v>
      </c>
      <c r="D24" s="560"/>
      <c r="E24" s="561"/>
      <c r="F24" s="542"/>
      <c r="G24" s="558"/>
      <c r="H24" s="544"/>
      <c r="I24" s="559"/>
      <c r="J24" s="541"/>
      <c r="K24" s="542">
        <v>0</v>
      </c>
      <c r="L24" s="545">
        <f>F24+K24</f>
        <v>0</v>
      </c>
      <c r="M24" s="110"/>
      <c r="N24" s="134">
        <f>SUM(L24)</f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2.75">
      <c r="A25" s="107"/>
      <c r="B25" s="108" t="s">
        <v>527</v>
      </c>
      <c r="C25" s="112" t="s">
        <v>528</v>
      </c>
      <c r="D25" s="560"/>
      <c r="E25" s="561"/>
      <c r="F25" s="542"/>
      <c r="G25" s="558"/>
      <c r="H25" s="544"/>
      <c r="I25" s="559"/>
      <c r="J25" s="541"/>
      <c r="K25" s="542">
        <f>SUM(K26:K29)</f>
        <v>6780668</v>
      </c>
      <c r="L25" s="545">
        <f>F25+K25</f>
        <v>6780668</v>
      </c>
      <c r="M25" s="110"/>
      <c r="N25" s="134">
        <f>SUM(L26:L29)</f>
        <v>6780668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14" ht="25.5">
      <c r="A26" s="29"/>
      <c r="B26" s="1345" t="s">
        <v>626</v>
      </c>
      <c r="C26" s="133" t="s">
        <v>756</v>
      </c>
      <c r="D26" s="546"/>
      <c r="E26" s="547"/>
      <c r="F26" s="548"/>
      <c r="G26" s="546">
        <v>9</v>
      </c>
      <c r="H26" s="549">
        <v>401000</v>
      </c>
      <c r="I26" s="549"/>
      <c r="J26" s="547"/>
      <c r="K26" s="548">
        <f>G26*H26</f>
        <v>3609000</v>
      </c>
      <c r="L26" s="550">
        <f>SUM(K26)</f>
        <v>3609000</v>
      </c>
      <c r="M26" s="30"/>
      <c r="N26" s="134"/>
    </row>
    <row r="27" spans="1:14" ht="29.25" customHeight="1">
      <c r="A27" s="29"/>
      <c r="B27" s="1345"/>
      <c r="C27" s="133" t="s">
        <v>824</v>
      </c>
      <c r="D27" s="546"/>
      <c r="E27" s="547"/>
      <c r="F27" s="548"/>
      <c r="G27" s="546">
        <v>1</v>
      </c>
      <c r="H27" s="549">
        <v>367584</v>
      </c>
      <c r="I27" s="549"/>
      <c r="J27" s="547"/>
      <c r="K27" s="548">
        <f>G27*H27</f>
        <v>367584</v>
      </c>
      <c r="L27" s="550">
        <f>SUM(K27)</f>
        <v>367584</v>
      </c>
      <c r="M27" s="30"/>
      <c r="N27" s="134"/>
    </row>
    <row r="28" spans="1:14" ht="25.5">
      <c r="A28" s="29"/>
      <c r="B28" s="1345" t="s">
        <v>627</v>
      </c>
      <c r="C28" s="133" t="s">
        <v>757</v>
      </c>
      <c r="D28" s="546"/>
      <c r="E28" s="547"/>
      <c r="F28" s="548"/>
      <c r="G28" s="546">
        <v>1</v>
      </c>
      <c r="H28" s="549">
        <v>1463000</v>
      </c>
      <c r="I28" s="549"/>
      <c r="J28" s="547"/>
      <c r="K28" s="548">
        <f>G28*H28</f>
        <v>1463000</v>
      </c>
      <c r="L28" s="550">
        <f>SUM(K28)</f>
        <v>1463000</v>
      </c>
      <c r="M28" s="30"/>
      <c r="N28" s="134"/>
    </row>
    <row r="29" spans="1:14" ht="27" customHeight="1">
      <c r="A29" s="29"/>
      <c r="B29" s="105"/>
      <c r="C29" s="133" t="s">
        <v>825</v>
      </c>
      <c r="D29" s="546"/>
      <c r="E29" s="547"/>
      <c r="F29" s="548"/>
      <c r="G29" s="546">
        <v>1</v>
      </c>
      <c r="H29" s="549">
        <v>1341084</v>
      </c>
      <c r="I29" s="549"/>
      <c r="J29" s="547"/>
      <c r="K29" s="548">
        <f>G29*H29</f>
        <v>1341084</v>
      </c>
      <c r="L29" s="550">
        <f>SUM(K29)</f>
        <v>1341084</v>
      </c>
      <c r="M29" s="30"/>
      <c r="N29" s="134"/>
    </row>
    <row r="30" spans="1:256" ht="25.5">
      <c r="A30" s="116" t="s">
        <v>470</v>
      </c>
      <c r="B30" s="124"/>
      <c r="C30" s="118" t="s">
        <v>122</v>
      </c>
      <c r="D30" s="119"/>
      <c r="E30" s="120"/>
      <c r="F30" s="121">
        <f>SUM(F31:F33,F36,F39,F40)</f>
        <v>135673125</v>
      </c>
      <c r="G30" s="562"/>
      <c r="H30" s="122"/>
      <c r="I30" s="563"/>
      <c r="J30" s="120"/>
      <c r="K30" s="121">
        <f>SUM(K31:K33,K36,K39,K40)</f>
        <v>39261584</v>
      </c>
      <c r="L30" s="121">
        <f>SUM(L31:L33,L36,L39,L40)</f>
        <v>174934709</v>
      </c>
      <c r="M30" s="110"/>
      <c r="N30" s="131">
        <f>SUM(N31:N33)+N36+N39+N40</f>
        <v>174934709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2.75">
      <c r="A31" s="107"/>
      <c r="B31" s="108" t="s">
        <v>471</v>
      </c>
      <c r="C31" s="112" t="s">
        <v>628</v>
      </c>
      <c r="D31" s="556"/>
      <c r="E31" s="557"/>
      <c r="F31" s="542"/>
      <c r="G31" s="558"/>
      <c r="H31" s="544"/>
      <c r="I31" s="559"/>
      <c r="J31" s="541"/>
      <c r="K31" s="542">
        <v>9189220</v>
      </c>
      <c r="L31" s="545">
        <f t="shared" si="1"/>
        <v>9189220</v>
      </c>
      <c r="M31" s="110"/>
      <c r="N31" s="134">
        <f>SUM(L31)</f>
        <v>9189220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2.75">
      <c r="A32" s="107"/>
      <c r="B32" s="108" t="s">
        <v>472</v>
      </c>
      <c r="C32" s="112" t="s">
        <v>529</v>
      </c>
      <c r="D32" s="556"/>
      <c r="E32" s="557"/>
      <c r="F32" s="542">
        <v>63778000</v>
      </c>
      <c r="G32" s="558"/>
      <c r="H32" s="544"/>
      <c r="I32" s="559"/>
      <c r="J32" s="541"/>
      <c r="K32" s="542"/>
      <c r="L32" s="545">
        <f t="shared" si="1"/>
        <v>63778000</v>
      </c>
      <c r="M32" s="110"/>
      <c r="N32" s="134">
        <f>SUM(L32)</f>
        <v>63778000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2.75">
      <c r="A33" s="107"/>
      <c r="B33" s="108" t="s">
        <v>473</v>
      </c>
      <c r="C33" s="112" t="s">
        <v>474</v>
      </c>
      <c r="D33" s="556"/>
      <c r="E33" s="557"/>
      <c r="F33" s="542">
        <f>SUM(F34:F35)</f>
        <v>0</v>
      </c>
      <c r="G33" s="558"/>
      <c r="H33" s="544"/>
      <c r="I33" s="559"/>
      <c r="J33" s="541"/>
      <c r="K33" s="542">
        <f>SUM(K34:K35)</f>
        <v>18590000</v>
      </c>
      <c r="L33" s="545">
        <f t="shared" si="1"/>
        <v>18590000</v>
      </c>
      <c r="M33" s="110"/>
      <c r="N33" s="134">
        <f>SUM(L34:L35)</f>
        <v>18590000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14" ht="12.75">
      <c r="A34" s="29"/>
      <c r="B34" s="105" t="s">
        <v>586</v>
      </c>
      <c r="C34" s="106" t="s">
        <v>587</v>
      </c>
      <c r="D34" s="546"/>
      <c r="E34" s="547"/>
      <c r="F34" s="548"/>
      <c r="G34" s="564"/>
      <c r="H34" s="549"/>
      <c r="I34" s="565"/>
      <c r="J34" s="547"/>
      <c r="K34" s="548">
        <v>3740000</v>
      </c>
      <c r="L34" s="550">
        <f t="shared" si="1"/>
        <v>3740000</v>
      </c>
      <c r="M34" s="30"/>
      <c r="N34" s="30"/>
    </row>
    <row r="35" spans="1:14" ht="12.75">
      <c r="A35" s="29"/>
      <c r="B35" s="105" t="s">
        <v>589</v>
      </c>
      <c r="C35" s="106" t="s">
        <v>588</v>
      </c>
      <c r="D35" s="546"/>
      <c r="E35" s="547"/>
      <c r="F35" s="548"/>
      <c r="G35" s="564"/>
      <c r="H35" s="549"/>
      <c r="I35" s="565"/>
      <c r="J35" s="547"/>
      <c r="K35" s="548">
        <v>14850000</v>
      </c>
      <c r="L35" s="550">
        <f t="shared" si="1"/>
        <v>14850000</v>
      </c>
      <c r="M35" s="30"/>
      <c r="N35" s="30"/>
    </row>
    <row r="36" spans="1:256" ht="12.75">
      <c r="A36" s="107"/>
      <c r="B36" s="108" t="s">
        <v>123</v>
      </c>
      <c r="C36" s="112" t="s">
        <v>767</v>
      </c>
      <c r="D36" s="556"/>
      <c r="E36" s="557"/>
      <c r="F36" s="542">
        <f>SUM(F37:F38)</f>
        <v>69780425</v>
      </c>
      <c r="G36" s="558"/>
      <c r="H36" s="544"/>
      <c r="I36" s="559"/>
      <c r="J36" s="541"/>
      <c r="K36" s="542">
        <f>SUM(K37:K39)</f>
        <v>0</v>
      </c>
      <c r="L36" s="545">
        <f t="shared" si="1"/>
        <v>69780425</v>
      </c>
      <c r="M36" s="110"/>
      <c r="N36" s="134">
        <f>SUM(L37:L38)</f>
        <v>69780425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14" ht="12.75">
      <c r="A37" s="29"/>
      <c r="B37" s="105" t="s">
        <v>530</v>
      </c>
      <c r="C37" s="133" t="s">
        <v>768</v>
      </c>
      <c r="D37" s="566">
        <v>12.6</v>
      </c>
      <c r="E37" s="567">
        <v>1900000</v>
      </c>
      <c r="F37" s="548">
        <f>E37*D37</f>
        <v>23940000</v>
      </c>
      <c r="G37" s="554"/>
      <c r="H37" s="549"/>
      <c r="I37" s="555"/>
      <c r="J37" s="547"/>
      <c r="K37" s="548"/>
      <c r="L37" s="568">
        <f t="shared" si="1"/>
        <v>23940000</v>
      </c>
      <c r="M37" s="30"/>
      <c r="N37" s="134"/>
    </row>
    <row r="38" spans="1:14" ht="12.75">
      <c r="A38" s="29"/>
      <c r="B38" s="105" t="s">
        <v>124</v>
      </c>
      <c r="C38" s="133" t="s">
        <v>125</v>
      </c>
      <c r="D38" s="566"/>
      <c r="E38" s="547"/>
      <c r="F38" s="548">
        <v>45840425</v>
      </c>
      <c r="G38" s="546"/>
      <c r="H38" s="549"/>
      <c r="I38" s="549"/>
      <c r="J38" s="547"/>
      <c r="K38" s="548"/>
      <c r="L38" s="568">
        <f>F38+K38</f>
        <v>45840425</v>
      </c>
      <c r="M38" s="30"/>
      <c r="N38" s="30"/>
    </row>
    <row r="39" spans="1:256" ht="12.75">
      <c r="A39" s="107"/>
      <c r="B39" s="108" t="s">
        <v>758</v>
      </c>
      <c r="C39" s="112" t="s">
        <v>769</v>
      </c>
      <c r="D39" s="556">
        <v>3710</v>
      </c>
      <c r="E39" s="557">
        <v>570</v>
      </c>
      <c r="F39" s="542">
        <f>D39*E39</f>
        <v>2114700</v>
      </c>
      <c r="G39" s="558"/>
      <c r="H39" s="544"/>
      <c r="I39" s="559"/>
      <c r="J39" s="541"/>
      <c r="K39" s="542"/>
      <c r="L39" s="545">
        <f t="shared" si="1"/>
        <v>2114700</v>
      </c>
      <c r="M39" s="110"/>
      <c r="N39" s="134">
        <f>SUM(L39)</f>
        <v>2114700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12.75">
      <c r="A40" s="107"/>
      <c r="B40" s="108" t="s">
        <v>759</v>
      </c>
      <c r="C40" s="112" t="s">
        <v>760</v>
      </c>
      <c r="D40" s="556"/>
      <c r="E40" s="557"/>
      <c r="F40" s="542"/>
      <c r="G40" s="558"/>
      <c r="H40" s="544"/>
      <c r="I40" s="559"/>
      <c r="J40" s="541"/>
      <c r="K40" s="542">
        <f>SUM(K41:K44)</f>
        <v>11482364</v>
      </c>
      <c r="L40" s="545">
        <f t="shared" si="1"/>
        <v>11482364</v>
      </c>
      <c r="M40" s="110"/>
      <c r="N40" s="134">
        <f>SUM(L40:M40)</f>
        <v>11482364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14" ht="12.75">
      <c r="A41" s="29"/>
      <c r="B41" s="105" t="s">
        <v>761</v>
      </c>
      <c r="C41" s="133" t="s">
        <v>762</v>
      </c>
      <c r="D41" s="566"/>
      <c r="E41" s="547"/>
      <c r="F41" s="548"/>
      <c r="G41" s="546">
        <v>1</v>
      </c>
      <c r="H41" s="549">
        <v>4419000</v>
      </c>
      <c r="I41" s="549"/>
      <c r="J41" s="547"/>
      <c r="K41" s="548">
        <f>G41*H41</f>
        <v>4419000</v>
      </c>
      <c r="L41" s="568">
        <f>SUM(K41,F41)</f>
        <v>4419000</v>
      </c>
      <c r="M41" s="30"/>
      <c r="N41" s="30"/>
    </row>
    <row r="42" spans="1:14" ht="15" customHeight="1">
      <c r="A42" s="29"/>
      <c r="B42" s="105" t="s">
        <v>763</v>
      </c>
      <c r="C42" s="133" t="s">
        <v>764</v>
      </c>
      <c r="D42" s="566"/>
      <c r="E42" s="547"/>
      <c r="F42" s="548"/>
      <c r="G42" s="546">
        <v>2</v>
      </c>
      <c r="H42" s="549">
        <v>2993000</v>
      </c>
      <c r="I42" s="549"/>
      <c r="J42" s="547"/>
      <c r="K42" s="548">
        <f>G42*H42</f>
        <v>5986000</v>
      </c>
      <c r="L42" s="568">
        <f t="shared" si="1"/>
        <v>5986000</v>
      </c>
      <c r="M42" s="30"/>
      <c r="N42" s="30"/>
    </row>
    <row r="43" spans="1:14" ht="12.75">
      <c r="A43" s="29"/>
      <c r="B43" s="105" t="s">
        <v>765</v>
      </c>
      <c r="C43" s="133" t="s">
        <v>766</v>
      </c>
      <c r="D43" s="566"/>
      <c r="E43" s="547"/>
      <c r="F43" s="548"/>
      <c r="G43" s="546"/>
      <c r="H43" s="549"/>
      <c r="I43" s="549"/>
      <c r="J43" s="547"/>
      <c r="K43" s="548">
        <v>882000</v>
      </c>
      <c r="L43" s="568">
        <f t="shared" si="1"/>
        <v>882000</v>
      </c>
      <c r="M43" s="30"/>
      <c r="N43" s="30"/>
    </row>
    <row r="44" spans="1:14" ht="25.5">
      <c r="A44" s="29"/>
      <c r="B44" s="105"/>
      <c r="C44" s="133" t="s">
        <v>935</v>
      </c>
      <c r="D44" s="566"/>
      <c r="E44" s="547"/>
      <c r="F44" s="548"/>
      <c r="G44" s="546"/>
      <c r="H44" s="549"/>
      <c r="I44" s="549"/>
      <c r="J44" s="547"/>
      <c r="K44" s="548">
        <v>195364</v>
      </c>
      <c r="L44" s="568">
        <f t="shared" si="1"/>
        <v>195364</v>
      </c>
      <c r="M44" s="30"/>
      <c r="N44" s="30"/>
    </row>
    <row r="45" spans="1:256" ht="12.75">
      <c r="A45" s="116" t="s">
        <v>476</v>
      </c>
      <c r="B45" s="124"/>
      <c r="C45" s="118" t="s">
        <v>457</v>
      </c>
      <c r="D45" s="119"/>
      <c r="E45" s="120"/>
      <c r="F45" s="121">
        <f>SUM(F47:F49)</f>
        <v>11761173</v>
      </c>
      <c r="G45" s="562"/>
      <c r="H45" s="122"/>
      <c r="I45" s="563"/>
      <c r="J45" s="120"/>
      <c r="K45" s="121"/>
      <c r="L45" s="129">
        <f t="shared" si="1"/>
        <v>11761173</v>
      </c>
      <c r="M45" s="110"/>
      <c r="N45" s="130">
        <f>SUM(L47:L49)</f>
        <v>11761173</v>
      </c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  <row r="46" spans="1:256" ht="12.75">
      <c r="A46" s="107"/>
      <c r="B46" s="108" t="s">
        <v>532</v>
      </c>
      <c r="C46" s="112" t="s">
        <v>533</v>
      </c>
      <c r="D46" s="556"/>
      <c r="E46" s="557"/>
      <c r="F46" s="542"/>
      <c r="G46" s="558"/>
      <c r="H46" s="544"/>
      <c r="I46" s="559"/>
      <c r="J46" s="541"/>
      <c r="K46" s="542"/>
      <c r="L46" s="545"/>
      <c r="M46" s="110"/>
      <c r="N46" s="134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14" ht="14.25" customHeight="1">
      <c r="A47" s="29"/>
      <c r="B47" s="105" t="s">
        <v>531</v>
      </c>
      <c r="C47" s="133" t="s">
        <v>126</v>
      </c>
      <c r="D47" s="546">
        <v>8811</v>
      </c>
      <c r="E47" s="547">
        <v>1210</v>
      </c>
      <c r="F47" s="548">
        <f>D47*E47</f>
        <v>10661310</v>
      </c>
      <c r="G47" s="569"/>
      <c r="H47" s="570"/>
      <c r="I47" s="565"/>
      <c r="J47" s="567"/>
      <c r="K47" s="548"/>
      <c r="L47" s="550">
        <f t="shared" si="1"/>
        <v>10661310</v>
      </c>
      <c r="M47" s="30"/>
      <c r="N47" s="30"/>
    </row>
    <row r="48" spans="1:14" ht="12.75">
      <c r="A48" s="29"/>
      <c r="B48" s="105" t="s">
        <v>1026</v>
      </c>
      <c r="C48" s="133" t="s">
        <v>1027</v>
      </c>
      <c r="D48" s="546"/>
      <c r="E48" s="547"/>
      <c r="F48" s="548">
        <v>95585</v>
      </c>
      <c r="G48" s="569"/>
      <c r="H48" s="570"/>
      <c r="I48" s="565"/>
      <c r="J48" s="567"/>
      <c r="K48" s="548"/>
      <c r="L48" s="550">
        <f t="shared" si="1"/>
        <v>95585</v>
      </c>
      <c r="M48" s="30"/>
      <c r="N48" s="30"/>
    </row>
    <row r="49" spans="1:14" ht="12.75">
      <c r="A49" s="29"/>
      <c r="B49" s="105" t="s">
        <v>933</v>
      </c>
      <c r="C49" s="133" t="s">
        <v>934</v>
      </c>
      <c r="D49" s="546"/>
      <c r="E49" s="547"/>
      <c r="F49" s="548">
        <v>1004278</v>
      </c>
      <c r="G49" s="569"/>
      <c r="H49" s="570"/>
      <c r="I49" s="565"/>
      <c r="J49" s="567"/>
      <c r="K49" s="548"/>
      <c r="L49" s="550">
        <f t="shared" si="1"/>
        <v>1004278</v>
      </c>
      <c r="M49" s="30"/>
      <c r="N49" s="30"/>
    </row>
    <row r="50" spans="1:256" ht="15">
      <c r="A50" s="1264" t="s">
        <v>479</v>
      </c>
      <c r="B50" s="1264"/>
      <c r="C50" s="1265"/>
      <c r="D50" s="571" t="s">
        <v>449</v>
      </c>
      <c r="E50" s="572" t="s">
        <v>449</v>
      </c>
      <c r="F50" s="573">
        <f>SUM(F45,F30,F19,F8)</f>
        <v>347628529</v>
      </c>
      <c r="G50" s="571" t="s">
        <v>449</v>
      </c>
      <c r="H50" s="574" t="s">
        <v>449</v>
      </c>
      <c r="I50" s="574" t="s">
        <v>449</v>
      </c>
      <c r="J50" s="572" t="s">
        <v>449</v>
      </c>
      <c r="K50" s="573">
        <f>SUM(K45,K30,K19,K8)</f>
        <v>153579152</v>
      </c>
      <c r="L50" s="575">
        <f>SUM(L45,L30,L19,L8)</f>
        <v>501207681</v>
      </c>
      <c r="M50" s="32"/>
      <c r="N50" s="33">
        <f>SUM(N45,N30,N19,N8)</f>
        <v>501207681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800" customFormat="1" ht="15">
      <c r="A51" s="793"/>
      <c r="B51" s="793"/>
      <c r="C51" s="793"/>
      <c r="D51" s="794"/>
      <c r="E51" s="794"/>
      <c r="F51" s="795"/>
      <c r="G51" s="794"/>
      <c r="H51" s="794"/>
      <c r="I51" s="794"/>
      <c r="J51" s="794"/>
      <c r="K51" s="795"/>
      <c r="L51" s="796"/>
      <c r="M51" s="797"/>
      <c r="N51" s="798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  <c r="AA51" s="799"/>
      <c r="AB51" s="799"/>
      <c r="AC51" s="799"/>
      <c r="AD51" s="799"/>
      <c r="AE51" s="799"/>
      <c r="AF51" s="799"/>
      <c r="AG51" s="799"/>
      <c r="AH51" s="799"/>
      <c r="AI51" s="799"/>
      <c r="AJ51" s="799"/>
      <c r="AK51" s="799"/>
      <c r="AL51" s="799"/>
      <c r="AM51" s="799"/>
      <c r="AN51" s="799"/>
      <c r="AO51" s="799"/>
      <c r="AP51" s="799"/>
      <c r="AQ51" s="799"/>
      <c r="AR51" s="799"/>
      <c r="AS51" s="799"/>
      <c r="AT51" s="799"/>
      <c r="AU51" s="799"/>
      <c r="AV51" s="799"/>
      <c r="AW51" s="799"/>
      <c r="AX51" s="799"/>
      <c r="AY51" s="799"/>
      <c r="AZ51" s="799"/>
      <c r="BA51" s="799"/>
      <c r="BB51" s="799"/>
      <c r="BC51" s="799"/>
      <c r="BD51" s="799"/>
      <c r="BE51" s="799"/>
      <c r="BF51" s="799"/>
      <c r="BG51" s="799"/>
      <c r="BH51" s="799"/>
      <c r="BI51" s="799"/>
      <c r="BJ51" s="799"/>
      <c r="BK51" s="799"/>
      <c r="BL51" s="799"/>
      <c r="BM51" s="799"/>
      <c r="BN51" s="799"/>
      <c r="BO51" s="799"/>
      <c r="BP51" s="799"/>
      <c r="BQ51" s="799"/>
      <c r="BR51" s="799"/>
      <c r="BS51" s="799"/>
      <c r="BT51" s="799"/>
      <c r="BU51" s="799"/>
      <c r="BV51" s="799"/>
      <c r="BW51" s="799"/>
      <c r="BX51" s="799"/>
      <c r="BY51" s="799"/>
      <c r="BZ51" s="799"/>
      <c r="CA51" s="799"/>
      <c r="CB51" s="799"/>
      <c r="CC51" s="799"/>
      <c r="CD51" s="799"/>
      <c r="CE51" s="799"/>
      <c r="CF51" s="799"/>
      <c r="CG51" s="799"/>
      <c r="CH51" s="799"/>
      <c r="CI51" s="799"/>
      <c r="CJ51" s="799"/>
      <c r="CK51" s="799"/>
      <c r="CL51" s="799"/>
      <c r="CM51" s="799"/>
      <c r="CN51" s="799"/>
      <c r="CO51" s="799"/>
      <c r="CP51" s="799"/>
      <c r="CQ51" s="799"/>
      <c r="CR51" s="799"/>
      <c r="CS51" s="799"/>
      <c r="CT51" s="799"/>
      <c r="CU51" s="799"/>
      <c r="CV51" s="799"/>
      <c r="CW51" s="799"/>
      <c r="CX51" s="799"/>
      <c r="CY51" s="799"/>
      <c r="CZ51" s="799"/>
      <c r="DA51" s="799"/>
      <c r="DB51" s="799"/>
      <c r="DC51" s="799"/>
      <c r="DD51" s="799"/>
      <c r="DE51" s="799"/>
      <c r="DF51" s="799"/>
      <c r="DG51" s="799"/>
      <c r="DH51" s="799"/>
      <c r="DI51" s="799"/>
      <c r="DJ51" s="799"/>
      <c r="DK51" s="799"/>
      <c r="DL51" s="799"/>
      <c r="DM51" s="799"/>
      <c r="DN51" s="799"/>
      <c r="DO51" s="799"/>
      <c r="DP51" s="799"/>
      <c r="DQ51" s="799"/>
      <c r="DR51" s="799"/>
      <c r="DS51" s="799"/>
      <c r="DT51" s="799"/>
      <c r="DU51" s="799"/>
      <c r="DV51" s="799"/>
      <c r="DW51" s="799"/>
      <c r="DX51" s="799"/>
      <c r="DY51" s="799"/>
      <c r="DZ51" s="799"/>
      <c r="EA51" s="799"/>
      <c r="EB51" s="799"/>
      <c r="EC51" s="799"/>
      <c r="ED51" s="799"/>
      <c r="EE51" s="799"/>
      <c r="EF51" s="799"/>
      <c r="EG51" s="799"/>
      <c r="EH51" s="799"/>
      <c r="EI51" s="799"/>
      <c r="EJ51" s="799"/>
      <c r="EK51" s="799"/>
      <c r="EL51" s="799"/>
      <c r="EM51" s="799"/>
      <c r="EN51" s="799"/>
      <c r="EO51" s="799"/>
      <c r="EP51" s="799"/>
      <c r="EQ51" s="799"/>
      <c r="ER51" s="799"/>
      <c r="ES51" s="799"/>
      <c r="ET51" s="799"/>
      <c r="EU51" s="799"/>
      <c r="EV51" s="799"/>
      <c r="EW51" s="799"/>
      <c r="EX51" s="799"/>
      <c r="EY51" s="799"/>
      <c r="EZ51" s="799"/>
      <c r="FA51" s="799"/>
      <c r="FB51" s="799"/>
      <c r="FC51" s="799"/>
      <c r="FD51" s="799"/>
      <c r="FE51" s="799"/>
      <c r="FF51" s="799"/>
      <c r="FG51" s="799"/>
      <c r="FH51" s="799"/>
      <c r="FI51" s="799"/>
      <c r="FJ51" s="799"/>
      <c r="FK51" s="799"/>
      <c r="FL51" s="799"/>
      <c r="FM51" s="799"/>
      <c r="FN51" s="799"/>
      <c r="FO51" s="799"/>
      <c r="FP51" s="799"/>
      <c r="FQ51" s="799"/>
      <c r="FR51" s="799"/>
      <c r="FS51" s="799"/>
      <c r="FT51" s="799"/>
      <c r="FU51" s="799"/>
      <c r="FV51" s="799"/>
      <c r="FW51" s="799"/>
      <c r="FX51" s="799"/>
      <c r="FY51" s="799"/>
      <c r="FZ51" s="799"/>
      <c r="GA51" s="799"/>
      <c r="GB51" s="799"/>
      <c r="GC51" s="799"/>
      <c r="GD51" s="799"/>
      <c r="GE51" s="799"/>
      <c r="GF51" s="799"/>
      <c r="GG51" s="799"/>
      <c r="GH51" s="799"/>
      <c r="GI51" s="799"/>
      <c r="GJ51" s="799"/>
      <c r="GK51" s="799"/>
      <c r="GL51" s="799"/>
      <c r="GM51" s="799"/>
      <c r="GN51" s="799"/>
      <c r="GO51" s="799"/>
      <c r="GP51" s="799"/>
      <c r="GQ51" s="799"/>
      <c r="GR51" s="799"/>
      <c r="GS51" s="799"/>
      <c r="GT51" s="799"/>
      <c r="GU51" s="799"/>
      <c r="GV51" s="799"/>
      <c r="GW51" s="799"/>
      <c r="GX51" s="799"/>
      <c r="GY51" s="799"/>
      <c r="GZ51" s="799"/>
      <c r="HA51" s="799"/>
      <c r="HB51" s="799"/>
      <c r="HC51" s="799"/>
      <c r="HD51" s="799"/>
      <c r="HE51" s="799"/>
      <c r="HF51" s="799"/>
      <c r="HG51" s="799"/>
      <c r="HH51" s="799"/>
      <c r="HI51" s="799"/>
      <c r="HJ51" s="799"/>
      <c r="HK51" s="799"/>
      <c r="HL51" s="799"/>
      <c r="HM51" s="799"/>
      <c r="HN51" s="799"/>
      <c r="HO51" s="799"/>
      <c r="HP51" s="799"/>
      <c r="HQ51" s="799"/>
      <c r="HR51" s="799"/>
      <c r="HS51" s="799"/>
      <c r="HT51" s="799"/>
      <c r="HU51" s="799"/>
      <c r="HV51" s="799"/>
      <c r="HW51" s="799"/>
      <c r="HX51" s="799"/>
      <c r="HY51" s="799"/>
      <c r="HZ51" s="799"/>
      <c r="IA51" s="799"/>
      <c r="IB51" s="799"/>
      <c r="IC51" s="799"/>
      <c r="ID51" s="799"/>
      <c r="IE51" s="799"/>
      <c r="IF51" s="799"/>
      <c r="IG51" s="799"/>
      <c r="IH51" s="799"/>
      <c r="II51" s="799"/>
      <c r="IJ51" s="799"/>
      <c r="IK51" s="799"/>
      <c r="IL51" s="799"/>
      <c r="IM51" s="799"/>
      <c r="IN51" s="799"/>
      <c r="IO51" s="799"/>
      <c r="IP51" s="799"/>
      <c r="IQ51" s="799"/>
      <c r="IR51" s="799"/>
      <c r="IS51" s="799"/>
      <c r="IT51" s="799"/>
      <c r="IU51" s="799"/>
      <c r="IV51" s="799"/>
    </row>
    <row r="52" spans="1:14" ht="12.75">
      <c r="A52" s="29" t="s">
        <v>465</v>
      </c>
      <c r="B52" s="105"/>
      <c r="C52" s="133" t="s">
        <v>932</v>
      </c>
      <c r="D52" s="566"/>
      <c r="E52" s="547"/>
      <c r="F52" s="548">
        <v>1096532</v>
      </c>
      <c r="G52" s="546"/>
      <c r="H52" s="549"/>
      <c r="I52" s="549"/>
      <c r="J52" s="547"/>
      <c r="K52" s="548"/>
      <c r="L52" s="550">
        <f>F52+K52</f>
        <v>1096532</v>
      </c>
      <c r="M52" s="30"/>
      <c r="N52" s="30"/>
    </row>
    <row r="53" spans="1:14" ht="15.75" customHeight="1">
      <c r="A53" s="105" t="s">
        <v>465</v>
      </c>
      <c r="B53" s="105" t="s">
        <v>1025</v>
      </c>
      <c r="C53" s="133" t="s">
        <v>1024</v>
      </c>
      <c r="D53" s="566"/>
      <c r="E53" s="547"/>
      <c r="F53" s="548">
        <v>7265000</v>
      </c>
      <c r="G53" s="546"/>
      <c r="H53" s="549"/>
      <c r="I53" s="549"/>
      <c r="J53" s="547"/>
      <c r="K53" s="548"/>
      <c r="L53" s="550">
        <f>F53+K53</f>
        <v>7265000</v>
      </c>
      <c r="M53" s="30"/>
      <c r="N53" s="30"/>
    </row>
    <row r="54" spans="1:14" ht="12.75">
      <c r="A54" s="105" t="s">
        <v>464</v>
      </c>
      <c r="B54" s="105" t="s">
        <v>1157</v>
      </c>
      <c r="C54" s="133" t="s">
        <v>1158</v>
      </c>
      <c r="D54" s="566"/>
      <c r="E54" s="547"/>
      <c r="F54" s="548">
        <v>29947750</v>
      </c>
      <c r="G54" s="546"/>
      <c r="H54" s="549"/>
      <c r="I54" s="549"/>
      <c r="J54" s="547"/>
      <c r="K54" s="548"/>
      <c r="L54" s="550">
        <f>F54+K54</f>
        <v>29947750</v>
      </c>
      <c r="M54" s="30"/>
      <c r="N54" s="30"/>
    </row>
    <row r="55" spans="1:14" ht="12.75">
      <c r="A55" s="29"/>
      <c r="B55" s="105"/>
      <c r="C55" s="133" t="s">
        <v>1011</v>
      </c>
      <c r="D55" s="566"/>
      <c r="E55" s="547"/>
      <c r="F55" s="548">
        <v>30000000</v>
      </c>
      <c r="G55" s="546"/>
      <c r="H55" s="549"/>
      <c r="I55" s="549"/>
      <c r="J55" s="547"/>
      <c r="K55" s="548"/>
      <c r="L55" s="550">
        <f>F55+K55</f>
        <v>30000000</v>
      </c>
      <c r="M55" s="30"/>
      <c r="N55" s="30"/>
    </row>
    <row r="56" spans="1:256" ht="15">
      <c r="A56" s="1264" t="s">
        <v>936</v>
      </c>
      <c r="B56" s="1264"/>
      <c r="C56" s="1265"/>
      <c r="D56" s="571" t="s">
        <v>449</v>
      </c>
      <c r="E56" s="572" t="s">
        <v>449</v>
      </c>
      <c r="F56" s="573">
        <f>SUM(F52:F55)</f>
        <v>68309282</v>
      </c>
      <c r="G56" s="571" t="s">
        <v>449</v>
      </c>
      <c r="H56" s="574" t="s">
        <v>449</v>
      </c>
      <c r="I56" s="574" t="s">
        <v>449</v>
      </c>
      <c r="J56" s="572" t="s">
        <v>449</v>
      </c>
      <c r="K56" s="573">
        <f>SUM(K52:K55)</f>
        <v>0</v>
      </c>
      <c r="L56" s="575">
        <f>SUM(L52:L55)</f>
        <v>68309282</v>
      </c>
      <c r="M56" s="32"/>
      <c r="N56" s="33">
        <f>SUM(L56)</f>
        <v>68309282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4:12" ht="12.75">
      <c r="D57" s="576"/>
      <c r="E57" s="576"/>
      <c r="F57" s="576"/>
      <c r="G57" s="576"/>
      <c r="H57" s="576"/>
      <c r="I57" s="576"/>
      <c r="J57" s="576"/>
      <c r="K57" s="576"/>
      <c r="L57" s="576"/>
    </row>
    <row r="58" spans="1:256" ht="16.5">
      <c r="A58" s="1266" t="s">
        <v>127</v>
      </c>
      <c r="B58" s="1266"/>
      <c r="C58" s="1267"/>
      <c r="D58" s="577" t="s">
        <v>449</v>
      </c>
      <c r="E58" s="578" t="s">
        <v>449</v>
      </c>
      <c r="F58" s="579">
        <f>SUM(F50+F56)</f>
        <v>415937811</v>
      </c>
      <c r="G58" s="577" t="s">
        <v>449</v>
      </c>
      <c r="H58" s="580" t="s">
        <v>449</v>
      </c>
      <c r="I58" s="580" t="s">
        <v>449</v>
      </c>
      <c r="J58" s="578" t="s">
        <v>449</v>
      </c>
      <c r="K58" s="579">
        <f>SUM(K50+K56)</f>
        <v>153579152</v>
      </c>
      <c r="L58" s="581">
        <f>SUM(K58+F58)</f>
        <v>569516963</v>
      </c>
      <c r="M58" s="32"/>
      <c r="N58" s="33">
        <f>SUM(N56,N50)</f>
        <v>569516963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</sheetData>
  <sheetProtection/>
  <mergeCells count="11">
    <mergeCell ref="A2:K2"/>
    <mergeCell ref="A3:K3"/>
    <mergeCell ref="A5:C5"/>
    <mergeCell ref="D5:F5"/>
    <mergeCell ref="G5:K5"/>
    <mergeCell ref="A56:C56"/>
    <mergeCell ref="A50:C50"/>
    <mergeCell ref="A58:C58"/>
    <mergeCell ref="L5:L6"/>
    <mergeCell ref="A6:B6"/>
    <mergeCell ref="A7:B7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6"/>
  <sheetViews>
    <sheetView zoomScalePageLayoutView="0" workbookViewId="0" topLeftCell="A85">
      <selection activeCell="A89" sqref="A89:K89"/>
    </sheetView>
  </sheetViews>
  <sheetFormatPr defaultColWidth="9.00390625" defaultRowHeight="12.75"/>
  <cols>
    <col min="1" max="1" width="4.625" style="662" customWidth="1"/>
    <col min="2" max="2" width="36.125" style="142" customWidth="1"/>
    <col min="3" max="3" width="15.00390625" style="142" customWidth="1"/>
    <col min="4" max="4" width="11.125" style="142" bestFit="1" customWidth="1"/>
    <col min="5" max="5" width="11.875" style="142" customWidth="1"/>
    <col min="6" max="6" width="11.75390625" style="142" customWidth="1"/>
    <col min="7" max="8" width="11.25390625" style="142" customWidth="1"/>
    <col min="9" max="9" width="11.75390625" style="142" customWidth="1"/>
    <col min="10" max="10" width="15.375" style="142" customWidth="1"/>
    <col min="11" max="11" width="16.625" style="142" customWidth="1"/>
  </cols>
  <sheetData>
    <row r="1" spans="2:11" ht="15">
      <c r="B1" s="1306" t="s">
        <v>1172</v>
      </c>
      <c r="C1" s="1306"/>
      <c r="D1" s="1306"/>
      <c r="E1" s="1306"/>
      <c r="F1" s="1306"/>
      <c r="G1" s="1306"/>
      <c r="H1" s="1306"/>
      <c r="I1" s="1306"/>
      <c r="J1" s="1306"/>
      <c r="K1" s="1306"/>
    </row>
    <row r="4" spans="2:11" ht="41.25" customHeight="1">
      <c r="B4" s="1307" t="s">
        <v>852</v>
      </c>
      <c r="C4" s="1307"/>
      <c r="D4" s="1307"/>
      <c r="E4" s="1307"/>
      <c r="F4" s="1307"/>
      <c r="G4" s="1307"/>
      <c r="H4" s="1307"/>
      <c r="I4" s="1307"/>
      <c r="J4" s="1307"/>
      <c r="K4" s="1307"/>
    </row>
    <row r="7" ht="13.5" thickBot="1"/>
    <row r="8" spans="1:11" ht="12.75">
      <c r="A8" s="1308" t="s">
        <v>426</v>
      </c>
      <c r="B8" s="1311" t="s">
        <v>357</v>
      </c>
      <c r="C8" s="1314" t="s">
        <v>838</v>
      </c>
      <c r="D8" s="1315"/>
      <c r="E8" s="1315"/>
      <c r="F8" s="1315"/>
      <c r="G8" s="1315"/>
      <c r="H8" s="1316"/>
      <c r="I8" s="1316"/>
      <c r="J8" s="1317" t="s">
        <v>888</v>
      </c>
      <c r="K8" s="1317" t="s">
        <v>853</v>
      </c>
    </row>
    <row r="9" spans="1:11" ht="12.75">
      <c r="A9" s="1309"/>
      <c r="B9" s="1312"/>
      <c r="C9" s="1320" t="s">
        <v>415</v>
      </c>
      <c r="D9" s="1321" t="s">
        <v>839</v>
      </c>
      <c r="E9" s="1322"/>
      <c r="F9" s="1322"/>
      <c r="G9" s="1322"/>
      <c r="H9" s="1323"/>
      <c r="I9" s="1323"/>
      <c r="J9" s="1318"/>
      <c r="K9" s="1318"/>
    </row>
    <row r="10" spans="1:11" ht="42" customHeight="1">
      <c r="A10" s="1310"/>
      <c r="B10" s="1313"/>
      <c r="C10" s="1320"/>
      <c r="D10" s="664" t="s">
        <v>436</v>
      </c>
      <c r="E10" s="664" t="s">
        <v>437</v>
      </c>
      <c r="F10" s="664" t="s">
        <v>438</v>
      </c>
      <c r="G10" s="664" t="s">
        <v>439</v>
      </c>
      <c r="H10" s="665" t="s">
        <v>440</v>
      </c>
      <c r="I10" s="665" t="s">
        <v>441</v>
      </c>
      <c r="J10" s="1319"/>
      <c r="K10" s="1319"/>
    </row>
    <row r="11" spans="1:11" ht="13.5" thickBot="1">
      <c r="A11" s="663" t="s">
        <v>420</v>
      </c>
      <c r="B11" s="666" t="s">
        <v>421</v>
      </c>
      <c r="C11" s="667" t="s">
        <v>422</v>
      </c>
      <c r="D11" s="668" t="s">
        <v>423</v>
      </c>
      <c r="E11" s="669" t="s">
        <v>424</v>
      </c>
      <c r="F11" s="669" t="s">
        <v>425</v>
      </c>
      <c r="G11" s="669" t="s">
        <v>427</v>
      </c>
      <c r="H11" s="669" t="s">
        <v>428</v>
      </c>
      <c r="I11" s="669" t="s">
        <v>381</v>
      </c>
      <c r="J11" s="670" t="s">
        <v>382</v>
      </c>
      <c r="K11" s="671" t="s">
        <v>383</v>
      </c>
    </row>
    <row r="12" spans="1:11" ht="19.5" thickBot="1" thickTop="1">
      <c r="A12" s="835">
        <v>1</v>
      </c>
      <c r="B12" s="1299" t="s">
        <v>89</v>
      </c>
      <c r="C12" s="1300"/>
      <c r="D12" s="1300"/>
      <c r="E12" s="1300"/>
      <c r="F12" s="1300"/>
      <c r="G12" s="1300"/>
      <c r="H12" s="1300"/>
      <c r="I12" s="1300"/>
      <c r="J12" s="1300"/>
      <c r="K12" s="1301"/>
    </row>
    <row r="13" spans="1:11" s="825" customFormat="1" ht="24" customHeight="1" thickBot="1" thickTop="1">
      <c r="A13" s="833">
        <v>2</v>
      </c>
      <c r="B13" s="1296" t="s">
        <v>946</v>
      </c>
      <c r="C13" s="1297"/>
      <c r="D13" s="1297"/>
      <c r="E13" s="1297"/>
      <c r="F13" s="1297"/>
      <c r="G13" s="1297"/>
      <c r="H13" s="1297"/>
      <c r="I13" s="1297"/>
      <c r="J13" s="1298"/>
      <c r="K13" s="826"/>
    </row>
    <row r="14" spans="1:11" ht="12.75">
      <c r="A14" s="672">
        <v>3</v>
      </c>
      <c r="B14" s="675" t="s">
        <v>840</v>
      </c>
      <c r="C14" s="676">
        <f>SUM(I14+G14+F14+E14+D14)</f>
        <v>0</v>
      </c>
      <c r="D14" s="677">
        <v>0</v>
      </c>
      <c r="E14" s="677">
        <v>0</v>
      </c>
      <c r="F14" s="678"/>
      <c r="G14" s="678"/>
      <c r="H14" s="678"/>
      <c r="I14" s="678"/>
      <c r="J14" s="679">
        <v>0</v>
      </c>
      <c r="K14" s="1289"/>
    </row>
    <row r="15" spans="1:11" ht="13.5" thickBot="1">
      <c r="A15" s="674">
        <v>4</v>
      </c>
      <c r="B15" s="680" t="s">
        <v>841</v>
      </c>
      <c r="C15" s="681">
        <v>7000000</v>
      </c>
      <c r="D15" s="682">
        <v>7000000</v>
      </c>
      <c r="E15" s="683">
        <v>0</v>
      </c>
      <c r="F15" s="684"/>
      <c r="G15" s="684"/>
      <c r="H15" s="684"/>
      <c r="I15" s="684"/>
      <c r="J15" s="685">
        <v>257950</v>
      </c>
      <c r="K15" s="1290"/>
    </row>
    <row r="16" spans="1:11" ht="13.5" thickBot="1">
      <c r="A16" s="674">
        <v>5</v>
      </c>
      <c r="B16" s="686" t="s">
        <v>842</v>
      </c>
      <c r="C16" s="687">
        <f>SUM(I16+G16+F16+E16+D16)</f>
        <v>7000000</v>
      </c>
      <c r="D16" s="688">
        <f aca="true" t="shared" si="0" ref="D16:J16">SUM(D14+D15)</f>
        <v>7000000</v>
      </c>
      <c r="E16" s="688">
        <f t="shared" si="0"/>
        <v>0</v>
      </c>
      <c r="F16" s="689"/>
      <c r="G16" s="689"/>
      <c r="H16" s="690"/>
      <c r="I16" s="691"/>
      <c r="J16" s="692">
        <f t="shared" si="0"/>
        <v>257950</v>
      </c>
      <c r="K16" s="1291"/>
    </row>
    <row r="17" spans="1:11" ht="13.5" thickBot="1">
      <c r="A17" s="674"/>
      <c r="B17" s="1302"/>
      <c r="C17" s="1303"/>
      <c r="D17" s="1304"/>
      <c r="E17" s="1304"/>
      <c r="F17" s="1304"/>
      <c r="G17" s="1304"/>
      <c r="H17" s="1304"/>
      <c r="I17" s="1304"/>
      <c r="J17" s="1305"/>
      <c r="K17" s="673"/>
    </row>
    <row r="18" spans="1:11" ht="12.75">
      <c r="A18" s="693">
        <v>6</v>
      </c>
      <c r="B18" s="694" t="s">
        <v>843</v>
      </c>
      <c r="C18" s="695">
        <v>3150000</v>
      </c>
      <c r="D18" s="677">
        <v>3150000</v>
      </c>
      <c r="E18" s="696">
        <v>0</v>
      </c>
      <c r="F18" s="678"/>
      <c r="G18" s="678"/>
      <c r="H18" s="678"/>
      <c r="I18" s="678"/>
      <c r="J18" s="1289"/>
      <c r="K18" s="679">
        <v>0</v>
      </c>
    </row>
    <row r="19" spans="1:11" ht="13.5" thickBot="1">
      <c r="A19" s="693">
        <v>7</v>
      </c>
      <c r="B19" s="697" t="s">
        <v>844</v>
      </c>
      <c r="C19" s="698">
        <v>3850000</v>
      </c>
      <c r="D19" s="682">
        <f>3850000-257950</f>
        <v>3592050</v>
      </c>
      <c r="E19" s="682">
        <v>257950</v>
      </c>
      <c r="F19" s="684"/>
      <c r="G19" s="684"/>
      <c r="H19" s="684"/>
      <c r="I19" s="684"/>
      <c r="J19" s="1290"/>
      <c r="K19" s="685">
        <v>257950</v>
      </c>
    </row>
    <row r="20" spans="1:11" ht="13.5" thickBot="1">
      <c r="A20" s="699">
        <v>8</v>
      </c>
      <c r="B20" s="700" t="s">
        <v>366</v>
      </c>
      <c r="C20" s="701">
        <f>SUM(C18:C19)</f>
        <v>7000000</v>
      </c>
      <c r="D20" s="702">
        <f>SUM(D18:D19)</f>
        <v>6742050</v>
      </c>
      <c r="E20" s="702">
        <f>SUM(E18:E19)</f>
        <v>257950</v>
      </c>
      <c r="F20" s="689"/>
      <c r="G20" s="689"/>
      <c r="H20" s="690"/>
      <c r="I20" s="691"/>
      <c r="J20" s="1291"/>
      <c r="K20" s="703">
        <f>SUM(K18:K19)</f>
        <v>257950</v>
      </c>
    </row>
    <row r="21" spans="1:11" ht="14.25" thickBot="1" thickTop="1">
      <c r="A21" s="704"/>
      <c r="B21" s="1283"/>
      <c r="C21" s="1284"/>
      <c r="D21" s="1284"/>
      <c r="E21" s="1284"/>
      <c r="F21" s="1284"/>
      <c r="G21" s="1284"/>
      <c r="H21" s="1284"/>
      <c r="I21" s="1284"/>
      <c r="J21" s="1284"/>
      <c r="K21" s="1285"/>
    </row>
    <row r="22" spans="1:11" s="825" customFormat="1" ht="32.25" customHeight="1" thickBot="1" thickTop="1">
      <c r="A22" s="833">
        <v>9</v>
      </c>
      <c r="B22" s="1286" t="s">
        <v>889</v>
      </c>
      <c r="C22" s="1287"/>
      <c r="D22" s="1287"/>
      <c r="E22" s="1287"/>
      <c r="F22" s="1287"/>
      <c r="G22" s="1287"/>
      <c r="H22" s="1287"/>
      <c r="I22" s="1287"/>
      <c r="J22" s="1288"/>
      <c r="K22" s="824"/>
    </row>
    <row r="23" spans="1:11" ht="12.75">
      <c r="A23" s="672">
        <v>10</v>
      </c>
      <c r="B23" s="675" t="s">
        <v>845</v>
      </c>
      <c r="C23" s="705">
        <v>0</v>
      </c>
      <c r="D23" s="706">
        <v>0</v>
      </c>
      <c r="E23" s="706">
        <v>0</v>
      </c>
      <c r="F23" s="706">
        <v>0</v>
      </c>
      <c r="G23" s="706">
        <v>0</v>
      </c>
      <c r="H23" s="706">
        <v>0</v>
      </c>
      <c r="I23" s="706">
        <v>0</v>
      </c>
      <c r="J23" s="679">
        <v>0</v>
      </c>
      <c r="K23" s="1289"/>
    </row>
    <row r="24" spans="1:11" ht="13.5" thickBot="1">
      <c r="A24" s="707">
        <v>11</v>
      </c>
      <c r="B24" s="680" t="s">
        <v>841</v>
      </c>
      <c r="C24" s="708">
        <f>SUM(D24:I24)</f>
        <v>250634800</v>
      </c>
      <c r="D24" s="709">
        <v>16135642</v>
      </c>
      <c r="E24" s="683">
        <v>46899832</v>
      </c>
      <c r="F24" s="683">
        <v>46899832</v>
      </c>
      <c r="G24" s="683">
        <v>46899831</v>
      </c>
      <c r="H24" s="683">
        <v>46899831</v>
      </c>
      <c r="I24" s="683">
        <v>46899832</v>
      </c>
      <c r="J24" s="685">
        <v>63035474</v>
      </c>
      <c r="K24" s="1290"/>
    </row>
    <row r="25" spans="1:11" ht="13.5" thickBot="1">
      <c r="A25" s="674">
        <v>12</v>
      </c>
      <c r="B25" s="686" t="s">
        <v>842</v>
      </c>
      <c r="C25" s="687">
        <f aca="true" t="shared" si="1" ref="C25:J25">SUM(C23:C24)</f>
        <v>250634800</v>
      </c>
      <c r="D25" s="688">
        <f t="shared" si="1"/>
        <v>16135642</v>
      </c>
      <c r="E25" s="688">
        <f t="shared" si="1"/>
        <v>46899832</v>
      </c>
      <c r="F25" s="688">
        <f t="shared" si="1"/>
        <v>46899832</v>
      </c>
      <c r="G25" s="688">
        <f t="shared" si="1"/>
        <v>46899831</v>
      </c>
      <c r="H25" s="688">
        <f t="shared" si="1"/>
        <v>46899831</v>
      </c>
      <c r="I25" s="688">
        <f t="shared" si="1"/>
        <v>46899832</v>
      </c>
      <c r="J25" s="692">
        <f t="shared" si="1"/>
        <v>63035474</v>
      </c>
      <c r="K25" s="1291"/>
    </row>
    <row r="26" spans="1:11" ht="13.5" thickBot="1">
      <c r="A26" s="674"/>
      <c r="B26" s="1292"/>
      <c r="C26" s="1293"/>
      <c r="D26" s="1293"/>
      <c r="E26" s="1293"/>
      <c r="F26" s="1293"/>
      <c r="G26" s="1293"/>
      <c r="H26" s="1293"/>
      <c r="I26" s="1293"/>
      <c r="J26" s="1294"/>
      <c r="K26" s="673"/>
    </row>
    <row r="27" spans="1:11" ht="12.75">
      <c r="A27" s="710">
        <v>13</v>
      </c>
      <c r="B27" s="711" t="s">
        <v>846</v>
      </c>
      <c r="C27" s="695">
        <f>SUM(D27:I27)</f>
        <v>148329760</v>
      </c>
      <c r="D27" s="709">
        <v>8950110</v>
      </c>
      <c r="E27" s="709">
        <v>27875930</v>
      </c>
      <c r="F27" s="709">
        <v>27875930</v>
      </c>
      <c r="G27" s="709">
        <v>27875930</v>
      </c>
      <c r="H27" s="709">
        <v>27875930</v>
      </c>
      <c r="I27" s="709">
        <v>27875930</v>
      </c>
      <c r="J27" s="1289"/>
      <c r="K27" s="679">
        <v>34144480</v>
      </c>
    </row>
    <row r="28" spans="1:11" ht="12.75">
      <c r="A28" s="693">
        <v>14</v>
      </c>
      <c r="B28" s="697" t="s">
        <v>844</v>
      </c>
      <c r="C28" s="698">
        <f>SUM(D28:I28)</f>
        <v>99411421</v>
      </c>
      <c r="D28" s="709">
        <v>7185532</v>
      </c>
      <c r="E28" s="709">
        <f>19023902-2893619</f>
        <v>16130283</v>
      </c>
      <c r="F28" s="709">
        <v>19023902</v>
      </c>
      <c r="G28" s="709">
        <v>19023901</v>
      </c>
      <c r="H28" s="709">
        <v>19023901</v>
      </c>
      <c r="I28" s="709">
        <v>19023902</v>
      </c>
      <c r="J28" s="1290"/>
      <c r="K28" s="685">
        <f>26209434-2893619</f>
        <v>23315815</v>
      </c>
    </row>
    <row r="29" spans="1:11" ht="13.5" thickBot="1">
      <c r="A29" s="693">
        <v>15</v>
      </c>
      <c r="B29" s="694" t="s">
        <v>843</v>
      </c>
      <c r="C29" s="723">
        <f>SUM(D29:I29)</f>
        <v>2893619</v>
      </c>
      <c r="D29" s="932"/>
      <c r="E29" s="932">
        <v>2893619</v>
      </c>
      <c r="F29" s="932"/>
      <c r="G29" s="932"/>
      <c r="H29" s="932"/>
      <c r="I29" s="932"/>
      <c r="J29" s="1290"/>
      <c r="K29" s="933">
        <v>2893619</v>
      </c>
    </row>
    <row r="30" spans="1:11" ht="13.5" thickBot="1">
      <c r="A30" s="712">
        <v>16</v>
      </c>
      <c r="B30" s="713" t="s">
        <v>366</v>
      </c>
      <c r="C30" s="701">
        <f aca="true" t="shared" si="2" ref="C30:I30">SUM(C27:C29)</f>
        <v>250634800</v>
      </c>
      <c r="D30" s="714">
        <f t="shared" si="2"/>
        <v>16135642</v>
      </c>
      <c r="E30" s="714">
        <f t="shared" si="2"/>
        <v>46899832</v>
      </c>
      <c r="F30" s="714">
        <f t="shared" si="2"/>
        <v>46899832</v>
      </c>
      <c r="G30" s="714">
        <f t="shared" si="2"/>
        <v>46899831</v>
      </c>
      <c r="H30" s="714">
        <f t="shared" si="2"/>
        <v>46899831</v>
      </c>
      <c r="I30" s="714">
        <f t="shared" si="2"/>
        <v>46899832</v>
      </c>
      <c r="J30" s="1295"/>
      <c r="K30" s="703">
        <f>SUM(K27:K29)</f>
        <v>60353914</v>
      </c>
    </row>
    <row r="31" spans="1:11" ht="14.25" thickBot="1" thickTop="1">
      <c r="A31" s="827"/>
      <c r="B31" s="1283"/>
      <c r="C31" s="1284"/>
      <c r="D31" s="1284"/>
      <c r="E31" s="1284"/>
      <c r="F31" s="1284"/>
      <c r="G31" s="1284"/>
      <c r="H31" s="1284"/>
      <c r="I31" s="1284"/>
      <c r="J31" s="1284"/>
      <c r="K31" s="1285"/>
    </row>
    <row r="32" spans="1:11" s="825" customFormat="1" ht="24" customHeight="1" thickBot="1" thickTop="1">
      <c r="A32" s="833">
        <v>17</v>
      </c>
      <c r="B32" s="1296" t="s">
        <v>847</v>
      </c>
      <c r="C32" s="1297"/>
      <c r="D32" s="1297"/>
      <c r="E32" s="1297"/>
      <c r="F32" s="1297"/>
      <c r="G32" s="1297"/>
      <c r="H32" s="1297"/>
      <c r="I32" s="1297"/>
      <c r="J32" s="1298"/>
      <c r="K32" s="824"/>
    </row>
    <row r="33" spans="1:11" ht="12.75">
      <c r="A33" s="672">
        <v>18</v>
      </c>
      <c r="B33" s="730" t="s">
        <v>845</v>
      </c>
      <c r="C33" s="695">
        <v>0</v>
      </c>
      <c r="D33" s="715">
        <v>0</v>
      </c>
      <c r="E33" s="715">
        <v>0</v>
      </c>
      <c r="F33" s="715">
        <v>0</v>
      </c>
      <c r="G33" s="716"/>
      <c r="H33" s="716"/>
      <c r="I33" s="716"/>
      <c r="J33" s="679">
        <v>151044</v>
      </c>
      <c r="K33" s="1289"/>
    </row>
    <row r="34" spans="1:11" ht="13.5" thickBot="1">
      <c r="A34" s="674">
        <v>19</v>
      </c>
      <c r="B34" s="680" t="s">
        <v>841</v>
      </c>
      <c r="C34" s="698">
        <v>242560000</v>
      </c>
      <c r="D34" s="709">
        <v>242560000</v>
      </c>
      <c r="E34" s="683">
        <v>0</v>
      </c>
      <c r="F34" s="683">
        <v>0</v>
      </c>
      <c r="G34" s="717"/>
      <c r="H34" s="717"/>
      <c r="I34" s="718"/>
      <c r="J34" s="685">
        <v>242490975</v>
      </c>
      <c r="K34" s="1290"/>
    </row>
    <row r="35" spans="1:11" ht="13.5" thickBot="1">
      <c r="A35" s="674">
        <v>20</v>
      </c>
      <c r="B35" s="686" t="s">
        <v>842</v>
      </c>
      <c r="C35" s="687">
        <f aca="true" t="shared" si="3" ref="C35:J35">SUM(C33:C34)</f>
        <v>242560000</v>
      </c>
      <c r="D35" s="688">
        <f t="shared" si="3"/>
        <v>242560000</v>
      </c>
      <c r="E35" s="688">
        <f t="shared" si="3"/>
        <v>0</v>
      </c>
      <c r="F35" s="688">
        <f t="shared" si="3"/>
        <v>0</v>
      </c>
      <c r="G35" s="678"/>
      <c r="H35" s="678"/>
      <c r="I35" s="678"/>
      <c r="J35" s="692">
        <f t="shared" si="3"/>
        <v>242642019</v>
      </c>
      <c r="K35" s="1291"/>
    </row>
    <row r="36" spans="1:11" ht="13.5" thickBot="1">
      <c r="A36" s="674"/>
      <c r="B36" s="1292"/>
      <c r="C36" s="1293"/>
      <c r="D36" s="1293"/>
      <c r="E36" s="1293"/>
      <c r="F36" s="1293"/>
      <c r="G36" s="1293"/>
      <c r="H36" s="1293"/>
      <c r="I36" s="1293"/>
      <c r="J36" s="1294"/>
      <c r="K36" s="673"/>
    </row>
    <row r="37" spans="1:11" ht="12.75">
      <c r="A37" s="693">
        <v>21</v>
      </c>
      <c r="B37" s="711" t="s">
        <v>843</v>
      </c>
      <c r="C37" s="695">
        <f>SUM(E37:F37)</f>
        <v>242560000</v>
      </c>
      <c r="D37" s="719">
        <v>0</v>
      </c>
      <c r="E37" s="677">
        <v>185020000</v>
      </c>
      <c r="F37" s="677">
        <v>57540000</v>
      </c>
      <c r="G37" s="716"/>
      <c r="H37" s="716"/>
      <c r="I37" s="716"/>
      <c r="J37" s="1289"/>
      <c r="K37" s="679">
        <v>242490975</v>
      </c>
    </row>
    <row r="38" spans="1:11" ht="13.5" thickBot="1">
      <c r="A38" s="693">
        <v>22</v>
      </c>
      <c r="B38" s="720" t="s">
        <v>848</v>
      </c>
      <c r="C38" s="698">
        <v>0</v>
      </c>
      <c r="D38" s="721">
        <v>0</v>
      </c>
      <c r="E38" s="721">
        <v>0</v>
      </c>
      <c r="F38" s="721">
        <v>0</v>
      </c>
      <c r="G38" s="717"/>
      <c r="H38" s="717"/>
      <c r="I38" s="718"/>
      <c r="J38" s="1290"/>
      <c r="K38" s="685">
        <v>151044</v>
      </c>
    </row>
    <row r="39" spans="1:11" ht="13.5" thickBot="1">
      <c r="A39" s="712">
        <v>23</v>
      </c>
      <c r="B39" s="713" t="s">
        <v>366</v>
      </c>
      <c r="C39" s="701">
        <f>SUM(C37:C38)</f>
        <v>242560000</v>
      </c>
      <c r="D39" s="714">
        <f>SUM(D37:D38)</f>
        <v>0</v>
      </c>
      <c r="E39" s="714">
        <f>SUM(E37:E38)</f>
        <v>185020000</v>
      </c>
      <c r="F39" s="714">
        <f>SUM(F37:F38)</f>
        <v>57540000</v>
      </c>
      <c r="G39" s="678"/>
      <c r="H39" s="678"/>
      <c r="I39" s="678"/>
      <c r="J39" s="1295"/>
      <c r="K39" s="703">
        <f>SUM(K37:K38)</f>
        <v>242642019</v>
      </c>
    </row>
    <row r="40" spans="1:11" ht="14.25" thickBot="1" thickTop="1">
      <c r="A40" s="827"/>
      <c r="B40" s="1283"/>
      <c r="C40" s="1284"/>
      <c r="D40" s="1284"/>
      <c r="E40" s="1284"/>
      <c r="F40" s="1284"/>
      <c r="G40" s="1284"/>
      <c r="H40" s="1284"/>
      <c r="I40" s="1284"/>
      <c r="J40" s="1284"/>
      <c r="K40" s="1285"/>
    </row>
    <row r="41" spans="1:11" s="825" customFormat="1" ht="24" customHeight="1" thickBot="1" thickTop="1">
      <c r="A41" s="833">
        <v>24</v>
      </c>
      <c r="B41" s="1296" t="s">
        <v>849</v>
      </c>
      <c r="C41" s="1297"/>
      <c r="D41" s="1297"/>
      <c r="E41" s="1297"/>
      <c r="F41" s="1297"/>
      <c r="G41" s="1297"/>
      <c r="H41" s="1297"/>
      <c r="I41" s="1297"/>
      <c r="J41" s="1298"/>
      <c r="K41" s="824"/>
    </row>
    <row r="42" spans="1:11" ht="12.75">
      <c r="A42" s="672">
        <v>25</v>
      </c>
      <c r="B42" s="722" t="s">
        <v>845</v>
      </c>
      <c r="C42" s="695">
        <v>1576053</v>
      </c>
      <c r="D42" s="715">
        <v>1576053</v>
      </c>
      <c r="E42" s="716"/>
      <c r="F42" s="716"/>
      <c r="G42" s="716"/>
      <c r="H42" s="716"/>
      <c r="I42" s="716"/>
      <c r="J42" s="685">
        <f>2500000+850900</f>
        <v>3350900</v>
      </c>
      <c r="K42" s="1289"/>
    </row>
    <row r="43" spans="1:11" ht="13.5" thickBot="1">
      <c r="A43" s="674">
        <v>26</v>
      </c>
      <c r="B43" s="680" t="s">
        <v>841</v>
      </c>
      <c r="C43" s="723">
        <v>19779919</v>
      </c>
      <c r="D43" s="709">
        <v>19779919</v>
      </c>
      <c r="E43" s="717"/>
      <c r="F43" s="717"/>
      <c r="G43" s="717"/>
      <c r="H43" s="717"/>
      <c r="I43" s="718"/>
      <c r="J43" s="685">
        <v>19779919</v>
      </c>
      <c r="K43" s="1290"/>
    </row>
    <row r="44" spans="1:11" ht="13.5" thickBot="1">
      <c r="A44" s="674">
        <v>27</v>
      </c>
      <c r="B44" s="686" t="s">
        <v>842</v>
      </c>
      <c r="C44" s="687">
        <f>SUM(C42:C43)</f>
        <v>21355972</v>
      </c>
      <c r="D44" s="688">
        <f>SUM(D42:D43)</f>
        <v>21355972</v>
      </c>
      <c r="E44" s="724"/>
      <c r="F44" s="724"/>
      <c r="G44" s="724"/>
      <c r="H44" s="724"/>
      <c r="I44" s="725"/>
      <c r="J44" s="692">
        <f>SUM(J42+J43)</f>
        <v>23130819</v>
      </c>
      <c r="K44" s="1291"/>
    </row>
    <row r="45" spans="1:11" ht="13.5" thickBot="1">
      <c r="A45" s="674"/>
      <c r="B45" s="1292"/>
      <c r="C45" s="1293"/>
      <c r="D45" s="1293"/>
      <c r="E45" s="1293"/>
      <c r="F45" s="1293"/>
      <c r="G45" s="1293"/>
      <c r="H45" s="1293"/>
      <c r="I45" s="1293"/>
      <c r="J45" s="1294"/>
      <c r="K45" s="673"/>
    </row>
    <row r="46" spans="1:11" ht="12.75">
      <c r="A46" s="693">
        <v>28</v>
      </c>
      <c r="B46" s="711" t="s">
        <v>850</v>
      </c>
      <c r="C46" s="695">
        <v>20820975</v>
      </c>
      <c r="D46" s="715"/>
      <c r="E46" s="715">
        <v>20820975</v>
      </c>
      <c r="F46" s="716"/>
      <c r="G46" s="716"/>
      <c r="H46" s="716"/>
      <c r="I46" s="716"/>
      <c r="J46" s="1289"/>
      <c r="K46" s="679">
        <f>19779919+52056+989000</f>
        <v>20820975</v>
      </c>
    </row>
    <row r="47" spans="1:11" ht="13.5" thickBot="1">
      <c r="A47" s="693">
        <v>29</v>
      </c>
      <c r="B47" s="720" t="s">
        <v>851</v>
      </c>
      <c r="C47" s="698">
        <v>534997</v>
      </c>
      <c r="D47" s="709"/>
      <c r="E47" s="709">
        <v>534997</v>
      </c>
      <c r="F47" s="717"/>
      <c r="G47" s="717"/>
      <c r="H47" s="717"/>
      <c r="I47" s="718"/>
      <c r="J47" s="1290"/>
      <c r="K47" s="685">
        <f>1458944+850900</f>
        <v>2309844</v>
      </c>
    </row>
    <row r="48" spans="1:11" ht="13.5" thickBot="1">
      <c r="A48" s="712">
        <v>30</v>
      </c>
      <c r="B48" s="713" t="s">
        <v>366</v>
      </c>
      <c r="C48" s="701">
        <f>SUM(C46:C47)</f>
        <v>21355972</v>
      </c>
      <c r="D48" s="714">
        <f>SUM(D46:D47)</f>
        <v>0</v>
      </c>
      <c r="E48" s="714">
        <f>SUM(E46:E47)</f>
        <v>21355972</v>
      </c>
      <c r="F48" s="726"/>
      <c r="G48" s="726"/>
      <c r="H48" s="726"/>
      <c r="I48" s="727"/>
      <c r="J48" s="1291"/>
      <c r="K48" s="703">
        <f>SUM(K45:K47)</f>
        <v>23130819</v>
      </c>
    </row>
    <row r="49" spans="1:11" ht="14.25" thickBot="1" thickTop="1">
      <c r="A49" s="704"/>
      <c r="B49" s="1283"/>
      <c r="C49" s="1284"/>
      <c r="D49" s="1284"/>
      <c r="E49" s="1284"/>
      <c r="F49" s="1284"/>
      <c r="G49" s="1284"/>
      <c r="H49" s="1284"/>
      <c r="I49" s="1284"/>
      <c r="J49" s="1284"/>
      <c r="K49" s="1285"/>
    </row>
    <row r="50" spans="1:11" s="825" customFormat="1" ht="30" customHeight="1" thickBot="1" thickTop="1">
      <c r="A50" s="833">
        <v>31</v>
      </c>
      <c r="B50" s="1286" t="s">
        <v>938</v>
      </c>
      <c r="C50" s="1287"/>
      <c r="D50" s="1287"/>
      <c r="E50" s="1287"/>
      <c r="F50" s="1287"/>
      <c r="G50" s="1287"/>
      <c r="H50" s="1287"/>
      <c r="I50" s="1287"/>
      <c r="J50" s="1288"/>
      <c r="K50" s="824"/>
    </row>
    <row r="51" spans="1:11" ht="12.75">
      <c r="A51" s="672">
        <v>32</v>
      </c>
      <c r="B51" s="675" t="s">
        <v>845</v>
      </c>
      <c r="C51" s="705">
        <v>0</v>
      </c>
      <c r="D51" s="804"/>
      <c r="E51" s="706">
        <v>0</v>
      </c>
      <c r="F51" s="706">
        <v>0</v>
      </c>
      <c r="G51" s="706">
        <v>0</v>
      </c>
      <c r="H51" s="804"/>
      <c r="I51" s="804"/>
      <c r="J51" s="679">
        <v>0</v>
      </c>
      <c r="K51" s="1289"/>
    </row>
    <row r="52" spans="1:11" ht="13.5" thickBot="1">
      <c r="A52" s="707">
        <v>33</v>
      </c>
      <c r="B52" s="680" t="s">
        <v>841</v>
      </c>
      <c r="C52" s="708">
        <v>202321812</v>
      </c>
      <c r="D52" s="805"/>
      <c r="E52" s="683">
        <f>104483115+10976885</f>
        <v>115460000</v>
      </c>
      <c r="F52" s="683">
        <f>86307318-10976885</f>
        <v>75330433</v>
      </c>
      <c r="G52" s="683">
        <v>11531379</v>
      </c>
      <c r="H52" s="805"/>
      <c r="I52" s="805"/>
      <c r="J52" s="685">
        <f>104483115+10976885</f>
        <v>115460000</v>
      </c>
      <c r="K52" s="1290"/>
    </row>
    <row r="53" spans="1:11" ht="13.5" thickBot="1">
      <c r="A53" s="674">
        <v>34</v>
      </c>
      <c r="B53" s="686" t="s">
        <v>842</v>
      </c>
      <c r="C53" s="687">
        <f aca="true" t="shared" si="4" ref="C53:J53">SUM(C51:C52)</f>
        <v>202321812</v>
      </c>
      <c r="D53" s="689"/>
      <c r="E53" s="688">
        <f t="shared" si="4"/>
        <v>115460000</v>
      </c>
      <c r="F53" s="688">
        <f t="shared" si="4"/>
        <v>75330433</v>
      </c>
      <c r="G53" s="688">
        <f t="shared" si="4"/>
        <v>11531379</v>
      </c>
      <c r="H53" s="689"/>
      <c r="I53" s="689"/>
      <c r="J53" s="692">
        <f t="shared" si="4"/>
        <v>115460000</v>
      </c>
      <c r="K53" s="1291"/>
    </row>
    <row r="54" spans="1:11" ht="13.5" thickBot="1">
      <c r="A54" s="674"/>
      <c r="B54" s="1292"/>
      <c r="C54" s="1293"/>
      <c r="D54" s="1293"/>
      <c r="E54" s="1293"/>
      <c r="F54" s="1293"/>
      <c r="G54" s="1293"/>
      <c r="H54" s="1293"/>
      <c r="I54" s="1293"/>
      <c r="J54" s="1294"/>
      <c r="K54" s="673"/>
    </row>
    <row r="55" spans="1:11" ht="12.75">
      <c r="A55" s="710">
        <v>35</v>
      </c>
      <c r="B55" s="711" t="s">
        <v>846</v>
      </c>
      <c r="C55" s="695">
        <v>89908666</v>
      </c>
      <c r="D55" s="808"/>
      <c r="E55" s="677">
        <v>34554203</v>
      </c>
      <c r="F55" s="715">
        <v>44954333</v>
      </c>
      <c r="G55" s="715">
        <v>10400130</v>
      </c>
      <c r="H55" s="808"/>
      <c r="I55" s="808"/>
      <c r="J55" s="1289"/>
      <c r="K55" s="679">
        <v>34554203</v>
      </c>
    </row>
    <row r="56" spans="1:11" ht="12.75">
      <c r="A56" s="693">
        <v>36</v>
      </c>
      <c r="B56" s="697" t="s">
        <v>844</v>
      </c>
      <c r="C56" s="806">
        <v>96901455</v>
      </c>
      <c r="D56" s="809"/>
      <c r="E56" s="683">
        <f>54417221+10976885</f>
        <v>65394106</v>
      </c>
      <c r="F56" s="709">
        <f>41352985-10976885</f>
        <v>30376100</v>
      </c>
      <c r="G56" s="709">
        <v>1131249</v>
      </c>
      <c r="H56" s="809"/>
      <c r="I56" s="809"/>
      <c r="J56" s="1290"/>
      <c r="K56" s="685">
        <f>54417221+10976885</f>
        <v>65394106</v>
      </c>
    </row>
    <row r="57" spans="1:11" ht="12.75">
      <c r="A57" s="693">
        <v>37</v>
      </c>
      <c r="B57" s="802" t="s">
        <v>843</v>
      </c>
      <c r="C57" s="807">
        <v>8983129</v>
      </c>
      <c r="D57" s="810"/>
      <c r="E57" s="683">
        <v>8983129</v>
      </c>
      <c r="F57" s="709">
        <v>0</v>
      </c>
      <c r="G57" s="709">
        <v>0</v>
      </c>
      <c r="H57" s="810"/>
      <c r="I57" s="810"/>
      <c r="J57" s="1290"/>
      <c r="K57" s="685">
        <v>8983129</v>
      </c>
    </row>
    <row r="58" spans="1:11" ht="13.5" thickBot="1">
      <c r="A58" s="693">
        <v>38</v>
      </c>
      <c r="B58" s="803" t="s">
        <v>850</v>
      </c>
      <c r="C58" s="806">
        <v>6528562</v>
      </c>
      <c r="D58" s="811"/>
      <c r="E58" s="682">
        <v>6528562</v>
      </c>
      <c r="F58" s="812">
        <v>0</v>
      </c>
      <c r="G58" s="812">
        <v>0</v>
      </c>
      <c r="H58" s="811"/>
      <c r="I58" s="811"/>
      <c r="J58" s="1290"/>
      <c r="K58" s="813">
        <v>6528562</v>
      </c>
    </row>
    <row r="59" spans="1:11" ht="13.5" thickBot="1">
      <c r="A59" s="712">
        <v>39</v>
      </c>
      <c r="B59" s="713" t="s">
        <v>366</v>
      </c>
      <c r="C59" s="701">
        <f>SUM(C55:C58)</f>
        <v>202321812</v>
      </c>
      <c r="D59" s="726"/>
      <c r="E59" s="714">
        <f>SUM(E55:E58)</f>
        <v>115460000</v>
      </c>
      <c r="F59" s="714">
        <f>SUM(F55:F58)</f>
        <v>75330433</v>
      </c>
      <c r="G59" s="714">
        <f>SUM(G55:G58)</f>
        <v>11531379</v>
      </c>
      <c r="H59" s="726"/>
      <c r="I59" s="726"/>
      <c r="J59" s="1295"/>
      <c r="K59" s="703">
        <f>SUM(K55:K58)</f>
        <v>115460000</v>
      </c>
    </row>
    <row r="60" spans="1:11" ht="14.25" thickBot="1" thickTop="1">
      <c r="A60" s="704"/>
      <c r="B60" s="1283"/>
      <c r="C60" s="1284"/>
      <c r="D60" s="1284"/>
      <c r="E60" s="1284"/>
      <c r="F60" s="1284"/>
      <c r="G60" s="1284"/>
      <c r="H60" s="1284"/>
      <c r="I60" s="1284"/>
      <c r="J60" s="1284"/>
      <c r="K60" s="1285"/>
    </row>
    <row r="61" spans="1:11" s="825" customFormat="1" ht="30" customHeight="1" thickBot="1" thickTop="1">
      <c r="A61" s="833">
        <v>40</v>
      </c>
      <c r="B61" s="1286" t="s">
        <v>945</v>
      </c>
      <c r="C61" s="1287"/>
      <c r="D61" s="1287"/>
      <c r="E61" s="1287"/>
      <c r="F61" s="1287"/>
      <c r="G61" s="1287"/>
      <c r="H61" s="1287"/>
      <c r="I61" s="1287"/>
      <c r="J61" s="1288"/>
      <c r="K61" s="824"/>
    </row>
    <row r="62" spans="1:11" ht="12.75">
      <c r="A62" s="672">
        <v>41</v>
      </c>
      <c r="B62" s="675" t="s">
        <v>845</v>
      </c>
      <c r="C62" s="705">
        <v>0</v>
      </c>
      <c r="D62" s="804"/>
      <c r="E62" s="706">
        <v>0</v>
      </c>
      <c r="F62" s="706">
        <v>0</v>
      </c>
      <c r="G62" s="706">
        <v>0</v>
      </c>
      <c r="H62" s="706"/>
      <c r="I62" s="804"/>
      <c r="J62" s="679">
        <v>0</v>
      </c>
      <c r="K62" s="1289"/>
    </row>
    <row r="63" spans="1:11" ht="13.5" thickBot="1">
      <c r="A63" s="707">
        <v>42</v>
      </c>
      <c r="B63" s="680" t="s">
        <v>841</v>
      </c>
      <c r="C63" s="708">
        <v>62107135</v>
      </c>
      <c r="D63" s="805"/>
      <c r="E63" s="683">
        <v>32379432</v>
      </c>
      <c r="F63" s="683">
        <v>8244379</v>
      </c>
      <c r="G63" s="683">
        <v>20495112</v>
      </c>
      <c r="H63" s="683">
        <v>988212</v>
      </c>
      <c r="I63" s="805"/>
      <c r="J63" s="685">
        <v>32379432</v>
      </c>
      <c r="K63" s="1290"/>
    </row>
    <row r="64" spans="1:11" ht="13.5" thickBot="1">
      <c r="A64" s="674">
        <v>43</v>
      </c>
      <c r="B64" s="686" t="s">
        <v>842</v>
      </c>
      <c r="C64" s="687">
        <f>SUM(C62:C63)</f>
        <v>62107135</v>
      </c>
      <c r="D64" s="689"/>
      <c r="E64" s="688">
        <f>SUM(E62:E63)</f>
        <v>32379432</v>
      </c>
      <c r="F64" s="688">
        <f>SUM(F62:F63)</f>
        <v>8244379</v>
      </c>
      <c r="G64" s="688">
        <f>SUM(G62:G63)</f>
        <v>20495112</v>
      </c>
      <c r="H64" s="688">
        <f>SUM(H62:H63)</f>
        <v>988212</v>
      </c>
      <c r="I64" s="689"/>
      <c r="J64" s="692">
        <f>SUM(J62:J63)</f>
        <v>32379432</v>
      </c>
      <c r="K64" s="1291"/>
    </row>
    <row r="65" spans="1:11" ht="13.5" thickBot="1">
      <c r="A65" s="674"/>
      <c r="B65" s="1292"/>
      <c r="C65" s="1293"/>
      <c r="D65" s="1293"/>
      <c r="E65" s="1293"/>
      <c r="F65" s="1293"/>
      <c r="G65" s="1293"/>
      <c r="H65" s="1293"/>
      <c r="I65" s="1293"/>
      <c r="J65" s="1294"/>
      <c r="K65" s="673"/>
    </row>
    <row r="66" spans="1:11" ht="12.75">
      <c r="A66" s="710">
        <v>44</v>
      </c>
      <c r="B66" s="711" t="s">
        <v>846</v>
      </c>
      <c r="C66" s="814">
        <f>SUM(E66:H66)</f>
        <v>30232800</v>
      </c>
      <c r="D66" s="808"/>
      <c r="E66" s="677">
        <v>9237800</v>
      </c>
      <c r="F66" s="715">
        <v>10077600</v>
      </c>
      <c r="G66" s="715">
        <v>10077600</v>
      </c>
      <c r="H66" s="715">
        <v>839800</v>
      </c>
      <c r="I66" s="808"/>
      <c r="J66" s="1289"/>
      <c r="K66" s="679">
        <v>15761811</v>
      </c>
    </row>
    <row r="67" spans="1:11" ht="12.75">
      <c r="A67" s="693">
        <v>45</v>
      </c>
      <c r="B67" s="697" t="s">
        <v>844</v>
      </c>
      <c r="C67" s="698">
        <f>SUM(E67:H67)</f>
        <v>28874335</v>
      </c>
      <c r="D67" s="809"/>
      <c r="E67" s="683">
        <v>9980899</v>
      </c>
      <c r="F67" s="709">
        <v>9427512</v>
      </c>
      <c r="G67" s="709">
        <v>9417512</v>
      </c>
      <c r="H67" s="709">
        <v>48412</v>
      </c>
      <c r="I67" s="809"/>
      <c r="J67" s="1290"/>
      <c r="K67" s="685">
        <v>15053577</v>
      </c>
    </row>
    <row r="68" spans="1:11" ht="13.5" thickBot="1">
      <c r="A68" s="693">
        <v>46</v>
      </c>
      <c r="B68" s="802" t="s">
        <v>939</v>
      </c>
      <c r="C68" s="801">
        <f>SUM(E68:H68)</f>
        <v>3000000</v>
      </c>
      <c r="D68" s="810"/>
      <c r="E68" s="683">
        <v>900000</v>
      </c>
      <c r="F68" s="709">
        <v>1000000</v>
      </c>
      <c r="G68" s="709">
        <v>1000000</v>
      </c>
      <c r="H68" s="709">
        <v>100000</v>
      </c>
      <c r="I68" s="810"/>
      <c r="J68" s="1290"/>
      <c r="K68" s="685">
        <v>1564044</v>
      </c>
    </row>
    <row r="69" spans="1:11" ht="13.5" thickBot="1">
      <c r="A69" s="712">
        <v>47</v>
      </c>
      <c r="B69" s="713" t="s">
        <v>366</v>
      </c>
      <c r="C69" s="701">
        <f>SUM(C66:C68)</f>
        <v>62107135</v>
      </c>
      <c r="D69" s="726"/>
      <c r="E69" s="714">
        <f>SUM(E66:E68)</f>
        <v>20118699</v>
      </c>
      <c r="F69" s="714">
        <f>SUM(F66:F68)</f>
        <v>20505112</v>
      </c>
      <c r="G69" s="714">
        <f>SUM(G66:G68)</f>
        <v>20495112</v>
      </c>
      <c r="H69" s="714">
        <f>SUM(H66:H68)</f>
        <v>988212</v>
      </c>
      <c r="I69" s="726"/>
      <c r="J69" s="1295"/>
      <c r="K69" s="703">
        <f>SUM(K66:K68)</f>
        <v>32379432</v>
      </c>
    </row>
    <row r="70" spans="1:11" ht="14.25" thickBot="1" thickTop="1">
      <c r="A70" s="1332"/>
      <c r="B70" s="1333"/>
      <c r="C70" s="1333"/>
      <c r="D70" s="1333"/>
      <c r="E70" s="1333"/>
      <c r="F70" s="1333"/>
      <c r="G70" s="1333"/>
      <c r="H70" s="1333"/>
      <c r="I70" s="1333"/>
      <c r="J70" s="1333"/>
      <c r="K70" s="1334"/>
    </row>
    <row r="71" spans="1:11" s="825" customFormat="1" ht="24" customHeight="1" thickBot="1" thickTop="1">
      <c r="A71" s="833">
        <v>48</v>
      </c>
      <c r="B71" s="1335" t="s">
        <v>1035</v>
      </c>
      <c r="C71" s="1336"/>
      <c r="D71" s="1336"/>
      <c r="E71" s="1336"/>
      <c r="F71" s="1336"/>
      <c r="G71" s="1336"/>
      <c r="H71" s="1336"/>
      <c r="I71" s="1336"/>
      <c r="J71" s="1336"/>
      <c r="K71" s="1337"/>
    </row>
    <row r="72" spans="1:11" ht="12.75">
      <c r="A72" s="672">
        <v>49</v>
      </c>
      <c r="B72" s="730" t="s">
        <v>845</v>
      </c>
      <c r="C72" s="695">
        <v>0</v>
      </c>
      <c r="D72" s="715">
        <v>0</v>
      </c>
      <c r="E72" s="715">
        <v>0</v>
      </c>
      <c r="F72" s="715">
        <v>0</v>
      </c>
      <c r="G72" s="716"/>
      <c r="H72" s="716"/>
      <c r="I72" s="716"/>
      <c r="J72" s="679">
        <v>0</v>
      </c>
      <c r="K72" s="1289"/>
    </row>
    <row r="73" spans="1:11" ht="13.5" thickBot="1">
      <c r="A73" s="674">
        <v>50</v>
      </c>
      <c r="B73" s="680" t="s">
        <v>841</v>
      </c>
      <c r="C73" s="698">
        <v>1920000</v>
      </c>
      <c r="D73" s="709">
        <v>0</v>
      </c>
      <c r="E73" s="683">
        <v>1920000</v>
      </c>
      <c r="F73" s="683">
        <v>0</v>
      </c>
      <c r="G73" s="717"/>
      <c r="H73" s="717"/>
      <c r="I73" s="718"/>
      <c r="J73" s="685">
        <v>1920000</v>
      </c>
      <c r="K73" s="1290"/>
    </row>
    <row r="74" spans="1:11" ht="13.5" thickBot="1">
      <c r="A74" s="674">
        <v>51</v>
      </c>
      <c r="B74" s="686" t="s">
        <v>842</v>
      </c>
      <c r="C74" s="687">
        <f>SUM(C72:C73)</f>
        <v>1920000</v>
      </c>
      <c r="D74" s="688">
        <f>SUM(D72:D73)</f>
        <v>0</v>
      </c>
      <c r="E74" s="688">
        <f>SUM(E72:E73)</f>
        <v>1920000</v>
      </c>
      <c r="F74" s="688">
        <f>SUM(F72:F73)</f>
        <v>0</v>
      </c>
      <c r="G74" s="678"/>
      <c r="H74" s="678"/>
      <c r="I74" s="678"/>
      <c r="J74" s="692">
        <f>SUM(J72:J73)</f>
        <v>1920000</v>
      </c>
      <c r="K74" s="1291"/>
    </row>
    <row r="75" spans="1:11" ht="13.5" thickBot="1">
      <c r="A75" s="674"/>
      <c r="B75" s="1292"/>
      <c r="C75" s="1293"/>
      <c r="D75" s="1293"/>
      <c r="E75" s="1293"/>
      <c r="F75" s="1293"/>
      <c r="G75" s="1293"/>
      <c r="H75" s="1293"/>
      <c r="I75" s="1293"/>
      <c r="J75" s="1294"/>
      <c r="K75" s="673"/>
    </row>
    <row r="76" spans="1:11" ht="12.75">
      <c r="A76" s="693">
        <v>52</v>
      </c>
      <c r="B76" s="711" t="s">
        <v>843</v>
      </c>
      <c r="C76" s="695">
        <v>1920000</v>
      </c>
      <c r="D76" s="719">
        <v>0</v>
      </c>
      <c r="E76" s="677">
        <v>1920000</v>
      </c>
      <c r="F76" s="719">
        <v>0</v>
      </c>
      <c r="G76" s="716"/>
      <c r="H76" s="716"/>
      <c r="I76" s="716"/>
      <c r="J76" s="1289"/>
      <c r="K76" s="679">
        <v>1920000</v>
      </c>
    </row>
    <row r="77" spans="1:11" ht="13.5" thickBot="1">
      <c r="A77" s="693">
        <v>53</v>
      </c>
      <c r="B77" s="720" t="s">
        <v>848</v>
      </c>
      <c r="C77" s="698">
        <v>0</v>
      </c>
      <c r="D77" s="721">
        <v>0</v>
      </c>
      <c r="E77" s="721">
        <v>0</v>
      </c>
      <c r="F77" s="721">
        <v>0</v>
      </c>
      <c r="G77" s="717"/>
      <c r="H77" s="717"/>
      <c r="I77" s="718"/>
      <c r="J77" s="1290"/>
      <c r="K77" s="685">
        <v>0</v>
      </c>
    </row>
    <row r="78" spans="1:11" ht="13.5" thickBot="1">
      <c r="A78" s="712">
        <v>54</v>
      </c>
      <c r="B78" s="713" t="s">
        <v>366</v>
      </c>
      <c r="C78" s="701">
        <f>SUM(C76:C77)</f>
        <v>1920000</v>
      </c>
      <c r="D78" s="714">
        <f>SUM(D76:D77)</f>
        <v>0</v>
      </c>
      <c r="E78" s="714">
        <f>SUM(E76:E77)</f>
        <v>1920000</v>
      </c>
      <c r="F78" s="714">
        <f>SUM(F76:F77)</f>
        <v>0</v>
      </c>
      <c r="G78" s="726"/>
      <c r="H78" s="726"/>
      <c r="I78" s="727"/>
      <c r="J78" s="1295"/>
      <c r="K78" s="703">
        <f>SUM(K76:K77)</f>
        <v>1920000</v>
      </c>
    </row>
    <row r="79" spans="1:11" ht="14.25" thickBot="1" thickTop="1">
      <c r="A79" s="704"/>
      <c r="B79" s="1324"/>
      <c r="C79" s="1325"/>
      <c r="D79" s="1325"/>
      <c r="E79" s="1325"/>
      <c r="F79" s="1325"/>
      <c r="G79" s="1325"/>
      <c r="H79" s="1325"/>
      <c r="I79" s="1325"/>
      <c r="J79" s="1325"/>
      <c r="K79" s="1326"/>
    </row>
    <row r="80" spans="1:11" s="825" customFormat="1" ht="30" customHeight="1" thickBot="1" thickTop="1">
      <c r="A80" s="833">
        <v>55</v>
      </c>
      <c r="B80" s="1329" t="s">
        <v>940</v>
      </c>
      <c r="C80" s="1330"/>
      <c r="D80" s="1330"/>
      <c r="E80" s="1330"/>
      <c r="F80" s="1330"/>
      <c r="G80" s="1330"/>
      <c r="H80" s="1330"/>
      <c r="I80" s="1330"/>
      <c r="J80" s="1330"/>
      <c r="K80" s="1331"/>
    </row>
    <row r="81" spans="1:11" ht="12.75">
      <c r="A81" s="672">
        <v>56</v>
      </c>
      <c r="B81" s="675" t="s">
        <v>845</v>
      </c>
      <c r="C81" s="705">
        <v>0</v>
      </c>
      <c r="D81" s="804"/>
      <c r="E81" s="706">
        <v>0</v>
      </c>
      <c r="F81" s="706">
        <v>0</v>
      </c>
      <c r="G81" s="804"/>
      <c r="H81" s="804"/>
      <c r="I81" s="804"/>
      <c r="J81" s="679">
        <v>0</v>
      </c>
      <c r="K81" s="1289"/>
    </row>
    <row r="82" spans="1:11" ht="13.5" thickBot="1">
      <c r="A82" s="707">
        <v>57</v>
      </c>
      <c r="B82" s="680" t="s">
        <v>841</v>
      </c>
      <c r="C82" s="708">
        <v>25000000</v>
      </c>
      <c r="D82" s="805"/>
      <c r="E82" s="683">
        <v>20269866</v>
      </c>
      <c r="F82" s="683">
        <v>4730134</v>
      </c>
      <c r="G82" s="805"/>
      <c r="H82" s="805"/>
      <c r="I82" s="805"/>
      <c r="J82" s="685">
        <v>20269866</v>
      </c>
      <c r="K82" s="1290"/>
    </row>
    <row r="83" spans="1:11" ht="13.5" thickBot="1">
      <c r="A83" s="674">
        <v>58</v>
      </c>
      <c r="B83" s="686" t="s">
        <v>842</v>
      </c>
      <c r="C83" s="687">
        <f>SUM(C81:C82)</f>
        <v>25000000</v>
      </c>
      <c r="D83" s="689"/>
      <c r="E83" s="688">
        <f>SUM(E81:E82)</f>
        <v>20269866</v>
      </c>
      <c r="F83" s="688">
        <f>SUM(F81:F82)</f>
        <v>4730134</v>
      </c>
      <c r="G83" s="689"/>
      <c r="H83" s="689"/>
      <c r="I83" s="689"/>
      <c r="J83" s="692">
        <f>SUM(J81:J82)</f>
        <v>20269866</v>
      </c>
      <c r="K83" s="1291"/>
    </row>
    <row r="84" spans="1:11" ht="13.5" thickBot="1">
      <c r="A84" s="674"/>
      <c r="B84" s="1292"/>
      <c r="C84" s="1293"/>
      <c r="D84" s="1293"/>
      <c r="E84" s="1293"/>
      <c r="F84" s="1293"/>
      <c r="G84" s="1293"/>
      <c r="H84" s="1293"/>
      <c r="I84" s="1293"/>
      <c r="J84" s="1294"/>
      <c r="K84" s="673"/>
    </row>
    <row r="85" spans="1:11" ht="12.75">
      <c r="A85" s="710">
        <v>59</v>
      </c>
      <c r="B85" s="711" t="s">
        <v>846</v>
      </c>
      <c r="C85" s="814">
        <f>SUM(E85:H85)</f>
        <v>8483294</v>
      </c>
      <c r="D85" s="808"/>
      <c r="E85" s="677">
        <v>4435163</v>
      </c>
      <c r="F85" s="715">
        <v>4048131</v>
      </c>
      <c r="G85" s="808"/>
      <c r="H85" s="808"/>
      <c r="I85" s="808"/>
      <c r="J85" s="1289"/>
      <c r="K85" s="679">
        <v>4435163</v>
      </c>
    </row>
    <row r="86" spans="1:11" ht="12.75">
      <c r="A86" s="693">
        <v>60</v>
      </c>
      <c r="B86" s="697" t="s">
        <v>844</v>
      </c>
      <c r="C86" s="698">
        <f>SUM(E86:H86)</f>
        <v>14019606</v>
      </c>
      <c r="D86" s="809"/>
      <c r="E86" s="683">
        <v>9556414</v>
      </c>
      <c r="F86" s="709">
        <v>4463192</v>
      </c>
      <c r="G86" s="809"/>
      <c r="H86" s="809"/>
      <c r="I86" s="809"/>
      <c r="J86" s="1290"/>
      <c r="K86" s="685">
        <v>13337603</v>
      </c>
    </row>
    <row r="87" spans="1:11" ht="13.5" thickBot="1">
      <c r="A87" s="693">
        <v>61</v>
      </c>
      <c r="B87" s="802" t="s">
        <v>843</v>
      </c>
      <c r="C87" s="801">
        <f>SUM(E87:H87)</f>
        <v>2497100</v>
      </c>
      <c r="D87" s="810"/>
      <c r="E87" s="683">
        <v>2497100</v>
      </c>
      <c r="F87" s="709">
        <v>0</v>
      </c>
      <c r="G87" s="810"/>
      <c r="H87" s="810"/>
      <c r="I87" s="810"/>
      <c r="J87" s="1290"/>
      <c r="K87" s="685">
        <v>2497100</v>
      </c>
    </row>
    <row r="88" spans="1:11" ht="13.5" thickBot="1">
      <c r="A88" s="712">
        <v>62</v>
      </c>
      <c r="B88" s="713" t="s">
        <v>366</v>
      </c>
      <c r="C88" s="701">
        <f>SUM(C85:C87)</f>
        <v>25000000</v>
      </c>
      <c r="D88" s="726"/>
      <c r="E88" s="714">
        <f>SUM(E85:E87)</f>
        <v>16488677</v>
      </c>
      <c r="F88" s="714">
        <f>SUM(F85:F87)</f>
        <v>8511323</v>
      </c>
      <c r="G88" s="726"/>
      <c r="H88" s="726"/>
      <c r="I88" s="726"/>
      <c r="J88" s="1295"/>
      <c r="K88" s="703">
        <f>SUM(K85:K87)</f>
        <v>20269866</v>
      </c>
    </row>
    <row r="89" spans="1:11" ht="14.25" thickBot="1" thickTop="1">
      <c r="A89" s="674"/>
      <c r="B89" s="1292"/>
      <c r="C89" s="1293"/>
      <c r="D89" s="1293"/>
      <c r="E89" s="1293"/>
      <c r="F89" s="1293"/>
      <c r="G89" s="1293"/>
      <c r="H89" s="1293"/>
      <c r="I89" s="1293"/>
      <c r="J89" s="1294"/>
      <c r="K89" s="673"/>
    </row>
    <row r="90" spans="1:11" s="825" customFormat="1" ht="24" customHeight="1" thickBot="1" thickTop="1">
      <c r="A90" s="833">
        <v>63</v>
      </c>
      <c r="B90" s="1296" t="s">
        <v>1146</v>
      </c>
      <c r="C90" s="1297"/>
      <c r="D90" s="1297"/>
      <c r="E90" s="1297"/>
      <c r="F90" s="1297"/>
      <c r="G90" s="1297"/>
      <c r="H90" s="1297"/>
      <c r="I90" s="1297"/>
      <c r="J90" s="1298"/>
      <c r="K90" s="824"/>
    </row>
    <row r="91" spans="1:11" ht="12.75">
      <c r="A91" s="672">
        <v>64</v>
      </c>
      <c r="B91" s="730" t="s">
        <v>845</v>
      </c>
      <c r="C91" s="695">
        <v>0</v>
      </c>
      <c r="D91" s="810"/>
      <c r="E91" s="677">
        <v>0</v>
      </c>
      <c r="F91" s="715">
        <v>0</v>
      </c>
      <c r="G91" s="715">
        <v>0</v>
      </c>
      <c r="H91" s="716"/>
      <c r="I91" s="716"/>
      <c r="J91" s="679">
        <v>0</v>
      </c>
      <c r="K91" s="1289"/>
    </row>
    <row r="92" spans="1:11" ht="13.5" thickBot="1">
      <c r="A92" s="674">
        <v>65</v>
      </c>
      <c r="B92" s="680" t="s">
        <v>841</v>
      </c>
      <c r="C92" s="698">
        <v>196302400</v>
      </c>
      <c r="D92" s="810"/>
      <c r="E92" s="683">
        <v>196302400</v>
      </c>
      <c r="F92" s="683">
        <v>0</v>
      </c>
      <c r="G92" s="683">
        <v>0</v>
      </c>
      <c r="H92" s="717"/>
      <c r="I92" s="718"/>
      <c r="J92" s="685">
        <v>3832400</v>
      </c>
      <c r="K92" s="1290"/>
    </row>
    <row r="93" spans="1:11" ht="13.5" thickBot="1">
      <c r="A93" s="674">
        <v>66</v>
      </c>
      <c r="B93" s="686" t="s">
        <v>842</v>
      </c>
      <c r="C93" s="687">
        <f>SUM(C91:C92)</f>
        <v>196302400</v>
      </c>
      <c r="D93" s="724"/>
      <c r="E93" s="688">
        <f>SUM(E91:E92)</f>
        <v>196302400</v>
      </c>
      <c r="F93" s="688">
        <f>SUM(F91:F92)</f>
        <v>0</v>
      </c>
      <c r="G93" s="688">
        <f>SUM(G91:G92)</f>
        <v>0</v>
      </c>
      <c r="H93" s="724"/>
      <c r="I93" s="725"/>
      <c r="J93" s="692">
        <f>SUM(J91:J92)</f>
        <v>3832400</v>
      </c>
      <c r="K93" s="1291"/>
    </row>
    <row r="94" spans="1:11" ht="13.5" thickBot="1">
      <c r="A94" s="674"/>
      <c r="B94" s="1292"/>
      <c r="C94" s="1293"/>
      <c r="D94" s="1293"/>
      <c r="E94" s="1293"/>
      <c r="F94" s="1293"/>
      <c r="G94" s="1293"/>
      <c r="H94" s="1293"/>
      <c r="I94" s="1293"/>
      <c r="J94" s="1294"/>
      <c r="K94" s="673"/>
    </row>
    <row r="95" spans="1:11" ht="12.75">
      <c r="A95" s="693">
        <v>67</v>
      </c>
      <c r="B95" s="711" t="s">
        <v>843</v>
      </c>
      <c r="C95" s="695">
        <f>SUM(E95:G95)</f>
        <v>196302400</v>
      </c>
      <c r="D95" s="809"/>
      <c r="E95" s="677">
        <v>7932399</v>
      </c>
      <c r="F95" s="677">
        <v>88889915</v>
      </c>
      <c r="G95" s="677">
        <v>99480086</v>
      </c>
      <c r="H95" s="716"/>
      <c r="I95" s="716"/>
      <c r="J95" s="1289"/>
      <c r="K95" s="679">
        <v>3832400</v>
      </c>
    </row>
    <row r="96" spans="1:11" ht="13.5" thickBot="1">
      <c r="A96" s="693">
        <v>68</v>
      </c>
      <c r="B96" s="720" t="s">
        <v>848</v>
      </c>
      <c r="C96" s="698">
        <v>0</v>
      </c>
      <c r="D96" s="810"/>
      <c r="E96" s="721">
        <v>0</v>
      </c>
      <c r="F96" s="721">
        <v>0</v>
      </c>
      <c r="G96" s="721">
        <v>0</v>
      </c>
      <c r="H96" s="717"/>
      <c r="I96" s="718"/>
      <c r="J96" s="1290"/>
      <c r="K96" s="685">
        <v>0</v>
      </c>
    </row>
    <row r="97" spans="1:11" ht="13.5" thickBot="1">
      <c r="A97" s="712">
        <v>69</v>
      </c>
      <c r="B97" s="713" t="s">
        <v>366</v>
      </c>
      <c r="C97" s="701">
        <f>SUM(C95:C96)</f>
        <v>196302400</v>
      </c>
      <c r="D97" s="726"/>
      <c r="E97" s="714">
        <f>SUM(E95:E96)</f>
        <v>7932399</v>
      </c>
      <c r="F97" s="714">
        <f>SUM(F95:F96)</f>
        <v>88889915</v>
      </c>
      <c r="G97" s="714">
        <f>SUM(G95:G96)</f>
        <v>99480086</v>
      </c>
      <c r="H97" s="726"/>
      <c r="I97" s="726"/>
      <c r="J97" s="1295"/>
      <c r="K97" s="703">
        <f>SUM(K95:K96)</f>
        <v>3832400</v>
      </c>
    </row>
    <row r="98" spans="1:11" ht="14.25" thickBot="1" thickTop="1">
      <c r="A98" s="674"/>
      <c r="B98" s="1292"/>
      <c r="C98" s="1293"/>
      <c r="D98" s="1293"/>
      <c r="E98" s="1293"/>
      <c r="F98" s="1293"/>
      <c r="G98" s="1293"/>
      <c r="H98" s="1293"/>
      <c r="I98" s="1293"/>
      <c r="J98" s="1294"/>
      <c r="K98" s="673"/>
    </row>
    <row r="99" spans="1:11" s="825" customFormat="1" ht="24" customHeight="1" thickBot="1" thickTop="1">
      <c r="A99" s="833">
        <v>70</v>
      </c>
      <c r="B99" s="1296" t="s">
        <v>1147</v>
      </c>
      <c r="C99" s="1297"/>
      <c r="D99" s="1297"/>
      <c r="E99" s="1297"/>
      <c r="F99" s="1297"/>
      <c r="G99" s="1297"/>
      <c r="H99" s="1297"/>
      <c r="I99" s="1297"/>
      <c r="J99" s="1298"/>
      <c r="K99" s="824"/>
    </row>
    <row r="100" spans="1:11" ht="12.75">
      <c r="A100" s="672">
        <v>71</v>
      </c>
      <c r="B100" s="730" t="s">
        <v>845</v>
      </c>
      <c r="C100" s="695">
        <v>0</v>
      </c>
      <c r="D100" s="810"/>
      <c r="E100" s="677">
        <v>0</v>
      </c>
      <c r="F100" s="715">
        <v>0</v>
      </c>
      <c r="G100" s="716"/>
      <c r="H100" s="716"/>
      <c r="I100" s="716"/>
      <c r="J100" s="679">
        <v>0</v>
      </c>
      <c r="K100" s="1289"/>
    </row>
    <row r="101" spans="1:11" ht="13.5" thickBot="1">
      <c r="A101" s="674">
        <v>72</v>
      </c>
      <c r="B101" s="680" t="s">
        <v>841</v>
      </c>
      <c r="C101" s="698">
        <v>437625000</v>
      </c>
      <c r="D101" s="810"/>
      <c r="E101" s="683">
        <v>437625000</v>
      </c>
      <c r="F101" s="683">
        <v>0</v>
      </c>
      <c r="G101" s="717"/>
      <c r="H101" s="717"/>
      <c r="I101" s="718"/>
      <c r="J101" s="685">
        <v>17861888</v>
      </c>
      <c r="K101" s="1290"/>
    </row>
    <row r="102" spans="1:11" ht="13.5" thickBot="1">
      <c r="A102" s="674">
        <v>73</v>
      </c>
      <c r="B102" s="686" t="s">
        <v>842</v>
      </c>
      <c r="C102" s="687">
        <f>SUM(C100:C101)</f>
        <v>437625000</v>
      </c>
      <c r="D102" s="724"/>
      <c r="E102" s="688">
        <f>SUM(E100:E101)</f>
        <v>437625000</v>
      </c>
      <c r="F102" s="688">
        <f>SUM(F100:F101)</f>
        <v>0</v>
      </c>
      <c r="G102" s="724"/>
      <c r="H102" s="724"/>
      <c r="I102" s="725"/>
      <c r="J102" s="692">
        <f>SUM(J100:J101)</f>
        <v>17861888</v>
      </c>
      <c r="K102" s="1291"/>
    </row>
    <row r="103" spans="1:11" ht="13.5" thickBot="1">
      <c r="A103" s="674"/>
      <c r="B103" s="1292"/>
      <c r="C103" s="1293"/>
      <c r="D103" s="1293"/>
      <c r="E103" s="1293"/>
      <c r="F103" s="1293"/>
      <c r="G103" s="1293"/>
      <c r="H103" s="1293"/>
      <c r="I103" s="1293"/>
      <c r="J103" s="1294"/>
      <c r="K103" s="673"/>
    </row>
    <row r="104" spans="1:11" ht="12.75">
      <c r="A104" s="693">
        <v>74</v>
      </c>
      <c r="B104" s="711" t="s">
        <v>843</v>
      </c>
      <c r="C104" s="695">
        <v>437625000</v>
      </c>
      <c r="D104" s="809"/>
      <c r="E104" s="677">
        <v>25736888</v>
      </c>
      <c r="F104" s="677">
        <v>411888112</v>
      </c>
      <c r="G104" s="716"/>
      <c r="H104" s="716"/>
      <c r="I104" s="716"/>
      <c r="J104" s="1289"/>
      <c r="K104" s="679">
        <v>17861888</v>
      </c>
    </row>
    <row r="105" spans="1:11" ht="13.5" thickBot="1">
      <c r="A105" s="693">
        <v>75</v>
      </c>
      <c r="B105" s="720" t="s">
        <v>848</v>
      </c>
      <c r="C105" s="698">
        <v>0</v>
      </c>
      <c r="D105" s="810"/>
      <c r="E105" s="721">
        <v>0</v>
      </c>
      <c r="F105" s="721">
        <v>0</v>
      </c>
      <c r="G105" s="717"/>
      <c r="H105" s="717"/>
      <c r="I105" s="718"/>
      <c r="J105" s="1290"/>
      <c r="K105" s="685">
        <v>0</v>
      </c>
    </row>
    <row r="106" spans="1:11" ht="13.5" thickBot="1">
      <c r="A106" s="712">
        <v>76</v>
      </c>
      <c r="B106" s="713" t="s">
        <v>366</v>
      </c>
      <c r="C106" s="701">
        <f>SUM(C104:C105)</f>
        <v>437625000</v>
      </c>
      <c r="D106" s="726"/>
      <c r="E106" s="714">
        <f>SUM(E104:E105)</f>
        <v>25736888</v>
      </c>
      <c r="F106" s="714">
        <f>SUM(F104:F105)</f>
        <v>411888112</v>
      </c>
      <c r="G106" s="726"/>
      <c r="H106" s="726"/>
      <c r="I106" s="726"/>
      <c r="J106" s="1295"/>
      <c r="K106" s="703">
        <f>SUM(K104:K105)</f>
        <v>17861888</v>
      </c>
    </row>
    <row r="107" spans="1:11" ht="14.25" thickBot="1" thickTop="1">
      <c r="A107" s="674"/>
      <c r="B107" s="1292"/>
      <c r="C107" s="1293"/>
      <c r="D107" s="1293"/>
      <c r="E107" s="1293"/>
      <c r="F107" s="1293"/>
      <c r="G107" s="1293"/>
      <c r="H107" s="1293"/>
      <c r="I107" s="1293"/>
      <c r="J107" s="1294"/>
      <c r="K107" s="673"/>
    </row>
    <row r="108" spans="1:11" s="825" customFormat="1" ht="24" customHeight="1" thickBot="1" thickTop="1">
      <c r="A108" s="833">
        <v>77</v>
      </c>
      <c r="B108" s="1296" t="s">
        <v>1148</v>
      </c>
      <c r="C108" s="1297"/>
      <c r="D108" s="1297"/>
      <c r="E108" s="1297"/>
      <c r="F108" s="1297"/>
      <c r="G108" s="1297"/>
      <c r="H108" s="1297"/>
      <c r="I108" s="1297"/>
      <c r="J108" s="1298"/>
      <c r="K108" s="824"/>
    </row>
    <row r="109" spans="1:11" ht="12.75">
      <c r="A109" s="672">
        <v>78</v>
      </c>
      <c r="B109" s="730" t="s">
        <v>845</v>
      </c>
      <c r="C109" s="695">
        <v>0</v>
      </c>
      <c r="D109" s="810"/>
      <c r="E109" s="677">
        <v>0</v>
      </c>
      <c r="F109" s="715">
        <v>0</v>
      </c>
      <c r="G109" s="715">
        <v>0</v>
      </c>
      <c r="H109" s="716"/>
      <c r="I109" s="716"/>
      <c r="J109" s="679">
        <v>0</v>
      </c>
      <c r="K109" s="1289"/>
    </row>
    <row r="110" spans="1:11" ht="13.5" thickBot="1">
      <c r="A110" s="674">
        <v>79</v>
      </c>
      <c r="B110" s="680" t="s">
        <v>841</v>
      </c>
      <c r="C110" s="698">
        <v>100000000</v>
      </c>
      <c r="D110" s="810"/>
      <c r="E110" s="683">
        <v>100000000</v>
      </c>
      <c r="F110" s="683">
        <v>0</v>
      </c>
      <c r="G110" s="683">
        <v>0</v>
      </c>
      <c r="H110" s="717"/>
      <c r="I110" s="718"/>
      <c r="J110" s="685">
        <v>100000000</v>
      </c>
      <c r="K110" s="1290"/>
    </row>
    <row r="111" spans="1:11" ht="13.5" thickBot="1">
      <c r="A111" s="674">
        <v>80</v>
      </c>
      <c r="B111" s="686" t="s">
        <v>842</v>
      </c>
      <c r="C111" s="687">
        <f>SUM(C109:C110)</f>
        <v>100000000</v>
      </c>
      <c r="D111" s="724"/>
      <c r="E111" s="688">
        <f>SUM(E109:E110)</f>
        <v>100000000</v>
      </c>
      <c r="F111" s="688">
        <f>SUM(F109:F110)</f>
        <v>0</v>
      </c>
      <c r="G111" s="688">
        <f>SUM(G109:G110)</f>
        <v>0</v>
      </c>
      <c r="H111" s="724"/>
      <c r="I111" s="725"/>
      <c r="J111" s="692">
        <f>SUM(J109:J110)</f>
        <v>100000000</v>
      </c>
      <c r="K111" s="1291"/>
    </row>
    <row r="112" spans="1:11" ht="13.5" thickBot="1">
      <c r="A112" s="674"/>
      <c r="B112" s="1292"/>
      <c r="C112" s="1293"/>
      <c r="D112" s="1293"/>
      <c r="E112" s="1293"/>
      <c r="F112" s="1293"/>
      <c r="G112" s="1293"/>
      <c r="H112" s="1293"/>
      <c r="I112" s="1293"/>
      <c r="J112" s="1294"/>
      <c r="K112" s="673"/>
    </row>
    <row r="113" spans="1:11" ht="12.75">
      <c r="A113" s="693">
        <v>81</v>
      </c>
      <c r="B113" s="711" t="s">
        <v>850</v>
      </c>
      <c r="C113" s="695">
        <f>SUM(E113:G113)</f>
        <v>100000000</v>
      </c>
      <c r="D113" s="809"/>
      <c r="E113" s="677">
        <v>7993900</v>
      </c>
      <c r="F113" s="677">
        <v>80195100</v>
      </c>
      <c r="G113" s="677">
        <v>11811000</v>
      </c>
      <c r="H113" s="716"/>
      <c r="I113" s="716"/>
      <c r="J113" s="1289"/>
      <c r="K113" s="679">
        <v>97606050</v>
      </c>
    </row>
    <row r="114" spans="1:11" ht="13.5" thickBot="1">
      <c r="A114" s="693">
        <v>82</v>
      </c>
      <c r="B114" s="720" t="s">
        <v>851</v>
      </c>
      <c r="C114" s="698">
        <v>0</v>
      </c>
      <c r="D114" s="810"/>
      <c r="E114" s="721">
        <v>0</v>
      </c>
      <c r="F114" s="721">
        <v>0</v>
      </c>
      <c r="G114" s="721">
        <v>0</v>
      </c>
      <c r="H114" s="717"/>
      <c r="I114" s="718"/>
      <c r="J114" s="1290"/>
      <c r="K114" s="685">
        <v>0</v>
      </c>
    </row>
    <row r="115" spans="1:11" ht="13.5" thickBot="1">
      <c r="A115" s="712">
        <v>83</v>
      </c>
      <c r="B115" s="713" t="s">
        <v>366</v>
      </c>
      <c r="C115" s="701">
        <f>SUM(C113:C114)</f>
        <v>100000000</v>
      </c>
      <c r="D115" s="726"/>
      <c r="E115" s="714">
        <f>SUM(E113:E114)</f>
        <v>7993900</v>
      </c>
      <c r="F115" s="714">
        <f>SUM(F113:F114)</f>
        <v>80195100</v>
      </c>
      <c r="G115" s="714">
        <f>SUM(G113:G114)</f>
        <v>11811000</v>
      </c>
      <c r="H115" s="726"/>
      <c r="I115" s="726"/>
      <c r="J115" s="1295"/>
      <c r="K115" s="703">
        <f>SUM(K113:K114)</f>
        <v>97606050</v>
      </c>
    </row>
    <row r="116" spans="1:11" ht="14.25" thickBot="1" thickTop="1">
      <c r="A116" s="674"/>
      <c r="B116" s="1292"/>
      <c r="C116" s="1293"/>
      <c r="D116" s="1293"/>
      <c r="E116" s="1293"/>
      <c r="F116" s="1293"/>
      <c r="G116" s="1293"/>
      <c r="H116" s="1293"/>
      <c r="I116" s="1293"/>
      <c r="J116" s="1294"/>
      <c r="K116" s="673"/>
    </row>
    <row r="117" spans="1:11" s="825" customFormat="1" ht="24" customHeight="1" thickBot="1" thickTop="1">
      <c r="A117" s="833">
        <v>84</v>
      </c>
      <c r="B117" s="1296" t="s">
        <v>1149</v>
      </c>
      <c r="C117" s="1297"/>
      <c r="D117" s="1297"/>
      <c r="E117" s="1297"/>
      <c r="F117" s="1297"/>
      <c r="G117" s="1297"/>
      <c r="H117" s="1297"/>
      <c r="I117" s="1297"/>
      <c r="J117" s="1298"/>
      <c r="K117" s="824"/>
    </row>
    <row r="118" spans="1:11" ht="12.75">
      <c r="A118" s="672">
        <v>85</v>
      </c>
      <c r="B118" s="730" t="s">
        <v>845</v>
      </c>
      <c r="C118" s="695">
        <v>0</v>
      </c>
      <c r="D118" s="810"/>
      <c r="E118" s="677">
        <v>0</v>
      </c>
      <c r="F118" s="715">
        <v>0</v>
      </c>
      <c r="G118" s="716"/>
      <c r="H118" s="716"/>
      <c r="I118" s="716"/>
      <c r="J118" s="679">
        <v>0</v>
      </c>
      <c r="K118" s="1289"/>
    </row>
    <row r="119" spans="1:11" ht="13.5" thickBot="1">
      <c r="A119" s="674">
        <v>86</v>
      </c>
      <c r="B119" s="680" t="s">
        <v>841</v>
      </c>
      <c r="C119" s="698">
        <v>118000000</v>
      </c>
      <c r="D119" s="810"/>
      <c r="E119" s="683">
        <v>112219000</v>
      </c>
      <c r="F119" s="683">
        <v>5781000</v>
      </c>
      <c r="G119" s="717"/>
      <c r="H119" s="717"/>
      <c r="I119" s="718"/>
      <c r="J119" s="685">
        <v>112219000</v>
      </c>
      <c r="K119" s="1290"/>
    </row>
    <row r="120" spans="1:11" ht="13.5" thickBot="1">
      <c r="A120" s="674">
        <v>87</v>
      </c>
      <c r="B120" s="686" t="s">
        <v>842</v>
      </c>
      <c r="C120" s="687">
        <f>SUM(C118:C119)</f>
        <v>118000000</v>
      </c>
      <c r="D120" s="724"/>
      <c r="E120" s="688">
        <f>SUM(E118:E119)</f>
        <v>112219000</v>
      </c>
      <c r="F120" s="688">
        <f>SUM(F118:F119)</f>
        <v>5781000</v>
      </c>
      <c r="G120" s="724"/>
      <c r="H120" s="724"/>
      <c r="I120" s="725"/>
      <c r="J120" s="692">
        <f>SUM(J118:J119)</f>
        <v>112219000</v>
      </c>
      <c r="K120" s="1291"/>
    </row>
    <row r="121" spans="1:11" ht="13.5" thickBot="1">
      <c r="A121" s="674"/>
      <c r="B121" s="1292"/>
      <c r="C121" s="1293"/>
      <c r="D121" s="1293"/>
      <c r="E121" s="1293"/>
      <c r="F121" s="1293"/>
      <c r="G121" s="1293"/>
      <c r="H121" s="1293"/>
      <c r="I121" s="1293"/>
      <c r="J121" s="1294"/>
      <c r="K121" s="673"/>
    </row>
    <row r="122" spans="1:11" ht="12.75">
      <c r="A122" s="693">
        <v>88</v>
      </c>
      <c r="B122" s="711" t="s">
        <v>843</v>
      </c>
      <c r="C122" s="695">
        <f>SUM(E122:G122)</f>
        <v>118000000</v>
      </c>
      <c r="D122" s="809"/>
      <c r="E122" s="677">
        <v>118000000</v>
      </c>
      <c r="F122" s="677">
        <v>0</v>
      </c>
      <c r="G122" s="716"/>
      <c r="H122" s="716"/>
      <c r="I122" s="716"/>
      <c r="J122" s="1289"/>
      <c r="K122" s="679">
        <v>111619000</v>
      </c>
    </row>
    <row r="123" spans="1:11" ht="13.5" thickBot="1">
      <c r="A123" s="693">
        <v>89</v>
      </c>
      <c r="B123" s="720" t="s">
        <v>848</v>
      </c>
      <c r="C123" s="698">
        <v>0</v>
      </c>
      <c r="D123" s="810"/>
      <c r="E123" s="721">
        <v>0</v>
      </c>
      <c r="F123" s="721">
        <v>0</v>
      </c>
      <c r="G123" s="717"/>
      <c r="H123" s="717"/>
      <c r="I123" s="718"/>
      <c r="J123" s="1290"/>
      <c r="K123" s="685">
        <v>0</v>
      </c>
    </row>
    <row r="124" spans="1:11" ht="13.5" thickBot="1">
      <c r="A124" s="712">
        <v>90</v>
      </c>
      <c r="B124" s="713" t="s">
        <v>366</v>
      </c>
      <c r="C124" s="701">
        <f>SUM(C122:C123)</f>
        <v>118000000</v>
      </c>
      <c r="D124" s="726"/>
      <c r="E124" s="714">
        <f>SUM(E122:E123)</f>
        <v>118000000</v>
      </c>
      <c r="F124" s="714">
        <f>SUM(F122:F123)</f>
        <v>0</v>
      </c>
      <c r="G124" s="726"/>
      <c r="H124" s="726"/>
      <c r="I124" s="726"/>
      <c r="J124" s="1295"/>
      <c r="K124" s="703">
        <f>SUM(K122:K123)</f>
        <v>111619000</v>
      </c>
    </row>
    <row r="125" spans="1:11" ht="14.25" thickBot="1" thickTop="1">
      <c r="A125" s="704"/>
      <c r="B125" s="1283"/>
      <c r="C125" s="1284"/>
      <c r="D125" s="1284"/>
      <c r="E125" s="1284"/>
      <c r="F125" s="1284"/>
      <c r="G125" s="1284"/>
      <c r="H125" s="1284"/>
      <c r="I125" s="1284"/>
      <c r="J125" s="1284"/>
      <c r="K125" s="1285"/>
    </row>
    <row r="126" spans="1:11" ht="19.5" thickBot="1" thickTop="1">
      <c r="A126" s="828">
        <v>91</v>
      </c>
      <c r="B126" s="1299" t="s">
        <v>770</v>
      </c>
      <c r="C126" s="1300"/>
      <c r="D126" s="1300"/>
      <c r="E126" s="1300"/>
      <c r="F126" s="1300"/>
      <c r="G126" s="1300"/>
      <c r="H126" s="1300"/>
      <c r="I126" s="1300"/>
      <c r="J126" s="1300"/>
      <c r="K126" s="1301"/>
    </row>
    <row r="127" spans="1:11" ht="14.25" thickBot="1" thickTop="1">
      <c r="A127" s="704"/>
      <c r="B127" s="1283"/>
      <c r="C127" s="1284"/>
      <c r="D127" s="1284"/>
      <c r="E127" s="1284"/>
      <c r="F127" s="1284"/>
      <c r="G127" s="1284"/>
      <c r="H127" s="1284"/>
      <c r="I127" s="1284"/>
      <c r="J127" s="1284"/>
      <c r="K127" s="1285"/>
    </row>
    <row r="128" spans="1:11" s="825" customFormat="1" ht="30" customHeight="1" thickBot="1" thickTop="1">
      <c r="A128" s="833">
        <v>92</v>
      </c>
      <c r="B128" s="1327" t="s">
        <v>945</v>
      </c>
      <c r="C128" s="1328"/>
      <c r="D128" s="1328"/>
      <c r="E128" s="1328"/>
      <c r="F128" s="1328"/>
      <c r="G128" s="1328"/>
      <c r="H128" s="1328"/>
      <c r="I128" s="1328"/>
      <c r="J128" s="1328"/>
      <c r="K128" s="834"/>
    </row>
    <row r="129" spans="1:11" ht="12.75">
      <c r="A129" s="672">
        <v>93</v>
      </c>
      <c r="B129" s="722" t="s">
        <v>845</v>
      </c>
      <c r="C129" s="829">
        <v>0</v>
      </c>
      <c r="D129" s="830"/>
      <c r="E129" s="831">
        <v>0</v>
      </c>
      <c r="F129" s="831">
        <v>0</v>
      </c>
      <c r="G129" s="831">
        <v>0</v>
      </c>
      <c r="H129" s="831"/>
      <c r="I129" s="830"/>
      <c r="J129" s="832">
        <v>0</v>
      </c>
      <c r="K129" s="1290"/>
    </row>
    <row r="130" spans="1:11" ht="13.5" thickBot="1">
      <c r="A130" s="707">
        <v>94</v>
      </c>
      <c r="B130" s="680" t="s">
        <v>841</v>
      </c>
      <c r="C130" s="708">
        <v>88217316</v>
      </c>
      <c r="D130" s="805"/>
      <c r="E130" s="683">
        <v>45094449</v>
      </c>
      <c r="F130" s="683"/>
      <c r="G130" s="683"/>
      <c r="H130" s="683"/>
      <c r="I130" s="805"/>
      <c r="J130" s="685">
        <v>45094449</v>
      </c>
      <c r="K130" s="1290"/>
    </row>
    <row r="131" spans="1:11" ht="13.5" thickBot="1">
      <c r="A131" s="674">
        <v>95</v>
      </c>
      <c r="B131" s="686" t="s">
        <v>842</v>
      </c>
      <c r="C131" s="687">
        <f>SUM(C129:C130)</f>
        <v>88217316</v>
      </c>
      <c r="D131" s="689"/>
      <c r="E131" s="688">
        <f>SUM(E129:E130)</f>
        <v>45094449</v>
      </c>
      <c r="F131" s="688">
        <f>SUM(F129:F130)</f>
        <v>0</v>
      </c>
      <c r="G131" s="688">
        <f>SUM(G129:G130)</f>
        <v>0</v>
      </c>
      <c r="H131" s="688">
        <f>SUM(H129:H130)</f>
        <v>0</v>
      </c>
      <c r="I131" s="689"/>
      <c r="J131" s="692">
        <f>SUM(J129:J130)</f>
        <v>45094449</v>
      </c>
      <c r="K131" s="1291"/>
    </row>
    <row r="132" spans="1:11" ht="13.5" thickBot="1">
      <c r="A132" s="674"/>
      <c r="B132" s="1292"/>
      <c r="C132" s="1293"/>
      <c r="D132" s="1293"/>
      <c r="E132" s="1293"/>
      <c r="F132" s="1293"/>
      <c r="G132" s="1293"/>
      <c r="H132" s="1293"/>
      <c r="I132" s="1293"/>
      <c r="J132" s="1294"/>
      <c r="K132" s="673"/>
    </row>
    <row r="133" spans="1:11" ht="12.75">
      <c r="A133" s="710">
        <v>96</v>
      </c>
      <c r="B133" s="711" t="s">
        <v>846</v>
      </c>
      <c r="C133" s="814">
        <f>SUM(E133:H133)</f>
        <v>53041950</v>
      </c>
      <c r="D133" s="808"/>
      <c r="E133" s="677">
        <v>16267810</v>
      </c>
      <c r="F133" s="715">
        <v>17680650</v>
      </c>
      <c r="G133" s="715">
        <v>17680650</v>
      </c>
      <c r="H133" s="715">
        <v>1412840</v>
      </c>
      <c r="I133" s="808"/>
      <c r="J133" s="1289"/>
      <c r="K133" s="679">
        <v>26737000</v>
      </c>
    </row>
    <row r="134" spans="1:11" ht="12.75">
      <c r="A134" s="693">
        <v>97</v>
      </c>
      <c r="B134" s="697" t="s">
        <v>844</v>
      </c>
      <c r="C134" s="698">
        <f>SUM(E134:H134)</f>
        <v>33488176</v>
      </c>
      <c r="D134" s="809"/>
      <c r="E134" s="683">
        <v>11524620</v>
      </c>
      <c r="F134" s="709">
        <v>10704096</v>
      </c>
      <c r="G134" s="709">
        <v>10494095</v>
      </c>
      <c r="H134" s="709">
        <v>765365</v>
      </c>
      <c r="I134" s="809"/>
      <c r="J134" s="1290"/>
      <c r="K134" s="685">
        <v>16670259</v>
      </c>
    </row>
    <row r="135" spans="1:11" ht="13.5" thickBot="1">
      <c r="A135" s="693">
        <v>98</v>
      </c>
      <c r="B135" s="802" t="s">
        <v>843</v>
      </c>
      <c r="C135" s="801">
        <f>SUM(E135:H135)</f>
        <v>1687190</v>
      </c>
      <c r="D135" s="810"/>
      <c r="E135" s="683">
        <v>1687190</v>
      </c>
      <c r="F135" s="709">
        <v>0</v>
      </c>
      <c r="G135" s="709">
        <v>0</v>
      </c>
      <c r="H135" s="709">
        <v>0</v>
      </c>
      <c r="I135" s="810"/>
      <c r="J135" s="1290"/>
      <c r="K135" s="685">
        <v>1687190</v>
      </c>
    </row>
    <row r="136" spans="1:11" ht="13.5" thickBot="1">
      <c r="A136" s="712">
        <v>99</v>
      </c>
      <c r="B136" s="713" t="s">
        <v>366</v>
      </c>
      <c r="C136" s="701">
        <f>SUM(C133:C135)</f>
        <v>88217316</v>
      </c>
      <c r="D136" s="726"/>
      <c r="E136" s="714">
        <f>SUM(E133:E135)</f>
        <v>29479620</v>
      </c>
      <c r="F136" s="714">
        <f>SUM(F133:F135)</f>
        <v>28384746</v>
      </c>
      <c r="G136" s="714">
        <f>SUM(G133:G135)</f>
        <v>28174745</v>
      </c>
      <c r="H136" s="714">
        <f>SUM(H133:H135)</f>
        <v>2178205</v>
      </c>
      <c r="I136" s="726"/>
      <c r="J136" s="1295"/>
      <c r="K136" s="703">
        <f>SUM(K133:K135)</f>
        <v>45094449</v>
      </c>
    </row>
    <row r="137" spans="1:11" ht="14.25" thickBot="1" thickTop="1">
      <c r="A137" s="704"/>
      <c r="B137" s="1283"/>
      <c r="C137" s="1284"/>
      <c r="D137" s="1284"/>
      <c r="E137" s="1284"/>
      <c r="F137" s="1284"/>
      <c r="G137" s="1284"/>
      <c r="H137" s="1284"/>
      <c r="I137" s="1284"/>
      <c r="J137" s="1284"/>
      <c r="K137" s="1285"/>
    </row>
    <row r="138" spans="1:11" s="825" customFormat="1" ht="30" customHeight="1" thickBot="1" thickTop="1">
      <c r="A138" s="833">
        <v>100</v>
      </c>
      <c r="B138" s="1286" t="s">
        <v>944</v>
      </c>
      <c r="C138" s="1287"/>
      <c r="D138" s="1287"/>
      <c r="E138" s="1287"/>
      <c r="F138" s="1287"/>
      <c r="G138" s="1287"/>
      <c r="H138" s="1287"/>
      <c r="I138" s="1287"/>
      <c r="J138" s="1288"/>
      <c r="K138" s="824"/>
    </row>
    <row r="139" spans="1:11" ht="12.75">
      <c r="A139" s="672">
        <v>101</v>
      </c>
      <c r="B139" s="675" t="s">
        <v>845</v>
      </c>
      <c r="C139" s="705">
        <v>0</v>
      </c>
      <c r="D139" s="706">
        <v>0</v>
      </c>
      <c r="E139" s="706">
        <v>0</v>
      </c>
      <c r="F139" s="706">
        <v>0</v>
      </c>
      <c r="G139" s="804"/>
      <c r="H139" s="804"/>
      <c r="I139" s="804"/>
      <c r="J139" s="679">
        <v>0</v>
      </c>
      <c r="K139" s="1289"/>
    </row>
    <row r="140" spans="1:11" ht="13.5" thickBot="1">
      <c r="A140" s="707">
        <v>102</v>
      </c>
      <c r="B140" s="680" t="s">
        <v>841</v>
      </c>
      <c r="C140" s="708">
        <f>SUM(D140:F140)</f>
        <v>40000000</v>
      </c>
      <c r="D140" s="683">
        <v>39200000</v>
      </c>
      <c r="E140" s="683">
        <v>0</v>
      </c>
      <c r="F140" s="683">
        <v>800000</v>
      </c>
      <c r="G140" s="805"/>
      <c r="H140" s="805"/>
      <c r="I140" s="805"/>
      <c r="J140" s="685">
        <v>33512420</v>
      </c>
      <c r="K140" s="1290"/>
    </row>
    <row r="141" spans="1:11" ht="13.5" thickBot="1">
      <c r="A141" s="674">
        <v>103</v>
      </c>
      <c r="B141" s="686" t="s">
        <v>842</v>
      </c>
      <c r="C141" s="687">
        <f>SUM(C139:C140)</f>
        <v>40000000</v>
      </c>
      <c r="D141" s="688">
        <f>SUM(D139:D140)</f>
        <v>39200000</v>
      </c>
      <c r="E141" s="688">
        <f>SUM(E139:E140)</f>
        <v>0</v>
      </c>
      <c r="F141" s="688">
        <f>SUM(F139:F140)</f>
        <v>800000</v>
      </c>
      <c r="G141" s="689"/>
      <c r="H141" s="689"/>
      <c r="I141" s="689"/>
      <c r="J141" s="692">
        <f>SUM(J139:J140)</f>
        <v>33512420</v>
      </c>
      <c r="K141" s="1291"/>
    </row>
    <row r="142" spans="1:11" ht="13.5" thickBot="1">
      <c r="A142" s="674"/>
      <c r="B142" s="1292"/>
      <c r="C142" s="1293"/>
      <c r="D142" s="1293"/>
      <c r="E142" s="1293"/>
      <c r="F142" s="1293"/>
      <c r="G142" s="1293"/>
      <c r="H142" s="1293"/>
      <c r="I142" s="1293"/>
      <c r="J142" s="1294"/>
      <c r="K142" s="673"/>
    </row>
    <row r="143" spans="1:11" ht="13.5" thickBot="1">
      <c r="A143" s="710">
        <v>104</v>
      </c>
      <c r="B143" s="711" t="s">
        <v>846</v>
      </c>
      <c r="C143" s="814">
        <f>SUM(D143:F143)</f>
        <v>12988120</v>
      </c>
      <c r="D143" s="677">
        <v>1760137</v>
      </c>
      <c r="E143" s="677">
        <v>8420987</v>
      </c>
      <c r="F143" s="715">
        <v>2806996</v>
      </c>
      <c r="G143" s="808"/>
      <c r="H143" s="808"/>
      <c r="I143" s="808"/>
      <c r="J143" s="1289"/>
      <c r="K143" s="679">
        <v>11227983</v>
      </c>
    </row>
    <row r="144" spans="1:11" ht="13.5" thickBot="1">
      <c r="A144" s="693">
        <v>105</v>
      </c>
      <c r="B144" s="697" t="s">
        <v>844</v>
      </c>
      <c r="C144" s="814">
        <f>SUM(D144:F144)</f>
        <v>23158258</v>
      </c>
      <c r="D144" s="683">
        <v>2486374</v>
      </c>
      <c r="E144" s="683">
        <v>19871884</v>
      </c>
      <c r="F144" s="709">
        <v>800000</v>
      </c>
      <c r="G144" s="809"/>
      <c r="H144" s="809"/>
      <c r="I144" s="809"/>
      <c r="J144" s="1290"/>
      <c r="K144" s="685">
        <v>19871884</v>
      </c>
    </row>
    <row r="145" spans="1:11" ht="13.5" thickBot="1">
      <c r="A145" s="693">
        <v>106</v>
      </c>
      <c r="B145" s="802" t="s">
        <v>843</v>
      </c>
      <c r="C145" s="814">
        <f>SUM(D145:F145)</f>
        <v>3853622</v>
      </c>
      <c r="D145" s="683">
        <v>1441069</v>
      </c>
      <c r="E145" s="683">
        <v>2412553</v>
      </c>
      <c r="F145" s="709">
        <v>0</v>
      </c>
      <c r="G145" s="810"/>
      <c r="H145" s="810"/>
      <c r="I145" s="810"/>
      <c r="J145" s="1290"/>
      <c r="K145" s="685">
        <v>2412553</v>
      </c>
    </row>
    <row r="146" spans="1:11" ht="13.5" thickBot="1">
      <c r="A146" s="712">
        <v>107</v>
      </c>
      <c r="B146" s="713" t="s">
        <v>366</v>
      </c>
      <c r="C146" s="701">
        <f>SUM(C143:C145)</f>
        <v>40000000</v>
      </c>
      <c r="D146" s="714">
        <f>SUM(D143:D145)</f>
        <v>5687580</v>
      </c>
      <c r="E146" s="714">
        <f>SUM(E143:E145)</f>
        <v>30705424</v>
      </c>
      <c r="F146" s="714">
        <f>SUM(F143:F145)</f>
        <v>3606996</v>
      </c>
      <c r="G146" s="726"/>
      <c r="H146" s="726"/>
      <c r="I146" s="726"/>
      <c r="J146" s="1295"/>
      <c r="K146" s="703">
        <f>SUM(K143:K145)</f>
        <v>33512420</v>
      </c>
    </row>
    <row r="147" ht="13.5" thickTop="1"/>
  </sheetData>
  <sheetProtection/>
  <mergeCells count="81">
    <mergeCell ref="J113:J115"/>
    <mergeCell ref="B117:J117"/>
    <mergeCell ref="K118:K120"/>
    <mergeCell ref="B121:J121"/>
    <mergeCell ref="J122:J124"/>
    <mergeCell ref="B116:J116"/>
    <mergeCell ref="J104:J106"/>
    <mergeCell ref="B98:J98"/>
    <mergeCell ref="B107:J107"/>
    <mergeCell ref="B108:J108"/>
    <mergeCell ref="K109:K111"/>
    <mergeCell ref="B112:J112"/>
    <mergeCell ref="B94:J94"/>
    <mergeCell ref="J95:J97"/>
    <mergeCell ref="B89:J89"/>
    <mergeCell ref="B99:J99"/>
    <mergeCell ref="K100:K102"/>
    <mergeCell ref="B103:J103"/>
    <mergeCell ref="B80:K80"/>
    <mergeCell ref="K81:K83"/>
    <mergeCell ref="A70:K70"/>
    <mergeCell ref="B71:K71"/>
    <mergeCell ref="J143:J146"/>
    <mergeCell ref="B126:K126"/>
    <mergeCell ref="B127:K127"/>
    <mergeCell ref="B138:J138"/>
    <mergeCell ref="K139:K141"/>
    <mergeCell ref="B142:J142"/>
    <mergeCell ref="K129:K131"/>
    <mergeCell ref="B132:J132"/>
    <mergeCell ref="J133:J136"/>
    <mergeCell ref="B137:K137"/>
    <mergeCell ref="B84:J84"/>
    <mergeCell ref="J85:J88"/>
    <mergeCell ref="B125:K125"/>
    <mergeCell ref="B128:J128"/>
    <mergeCell ref="B90:J90"/>
    <mergeCell ref="K91:K93"/>
    <mergeCell ref="K72:K74"/>
    <mergeCell ref="B75:J75"/>
    <mergeCell ref="J76:J78"/>
    <mergeCell ref="B79:K79"/>
    <mergeCell ref="B60:K60"/>
    <mergeCell ref="B61:J61"/>
    <mergeCell ref="K62:K64"/>
    <mergeCell ref="B65:J65"/>
    <mergeCell ref="J66:J69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B12:K12"/>
    <mergeCell ref="B13:J13"/>
    <mergeCell ref="K14:K16"/>
    <mergeCell ref="B17:J17"/>
    <mergeCell ref="J18:J20"/>
    <mergeCell ref="B21:K21"/>
    <mergeCell ref="B22:J22"/>
    <mergeCell ref="K23:K25"/>
    <mergeCell ref="B26:J26"/>
    <mergeCell ref="J27:J30"/>
    <mergeCell ref="B31:K31"/>
    <mergeCell ref="B32:J32"/>
    <mergeCell ref="K33:K35"/>
    <mergeCell ref="B36:J36"/>
    <mergeCell ref="J37:J39"/>
    <mergeCell ref="B40:K40"/>
    <mergeCell ref="K42:K44"/>
    <mergeCell ref="B41:J41"/>
    <mergeCell ref="B49:K49"/>
    <mergeCell ref="B50:J50"/>
    <mergeCell ref="K51:K53"/>
    <mergeCell ref="B54:J54"/>
    <mergeCell ref="J55:J59"/>
    <mergeCell ref="B45:J45"/>
    <mergeCell ref="J46:J4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1"/>
  <sheetViews>
    <sheetView zoomScalePageLayoutView="0" workbookViewId="0" topLeftCell="A19">
      <selection activeCell="F58" sqref="F58"/>
    </sheetView>
  </sheetViews>
  <sheetFormatPr defaultColWidth="9.00390625" defaultRowHeight="12.75"/>
  <cols>
    <col min="1" max="1" width="6.125" style="142" customWidth="1"/>
    <col min="2" max="4" width="9.125" style="142" customWidth="1"/>
    <col min="5" max="5" width="40.375" style="142" customWidth="1"/>
    <col min="6" max="6" width="16.125" style="142" bestFit="1" customWidth="1"/>
    <col min="7" max="7" width="14.125" style="142" bestFit="1" customWidth="1"/>
    <col min="8" max="9" width="14.875" style="142" customWidth="1"/>
    <col min="10" max="10" width="16.00390625" style="142" bestFit="1" customWidth="1"/>
    <col min="11" max="16384" width="9.125" style="142" customWidth="1"/>
  </cols>
  <sheetData>
    <row r="1" spans="1:10" s="146" customFormat="1" ht="12.75">
      <c r="A1" s="965" t="s">
        <v>1160</v>
      </c>
      <c r="B1" s="965"/>
      <c r="C1" s="965"/>
      <c r="D1" s="965"/>
      <c r="E1" s="965"/>
      <c r="F1" s="965"/>
      <c r="G1" s="965"/>
      <c r="H1" s="965"/>
      <c r="I1" s="965"/>
      <c r="J1" s="965"/>
    </row>
    <row r="2" spans="1:10" s="146" customFormat="1" ht="9.7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</row>
    <row r="3" spans="1:10" s="146" customFormat="1" ht="16.5">
      <c r="A3" s="966" t="s">
        <v>773</v>
      </c>
      <c r="B3" s="966"/>
      <c r="C3" s="966"/>
      <c r="D3" s="966"/>
      <c r="E3" s="966"/>
      <c r="F3" s="966"/>
      <c r="G3" s="966"/>
      <c r="H3" s="966"/>
      <c r="I3" s="966"/>
      <c r="J3" s="966"/>
    </row>
    <row r="4" spans="1:10" s="146" customFormat="1" ht="12.75">
      <c r="A4" s="147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78" customHeight="1">
      <c r="A5" s="967" t="s">
        <v>0</v>
      </c>
      <c r="B5" s="968"/>
      <c r="C5" s="968"/>
      <c r="D5" s="968"/>
      <c r="E5" s="969"/>
      <c r="F5" s="149" t="s">
        <v>89</v>
      </c>
      <c r="G5" s="149" t="s">
        <v>367</v>
      </c>
      <c r="H5" s="149" t="s">
        <v>770</v>
      </c>
      <c r="I5" s="149" t="s">
        <v>860</v>
      </c>
      <c r="J5" s="150" t="s">
        <v>361</v>
      </c>
    </row>
    <row r="6" spans="1:10" s="153" customFormat="1" ht="15">
      <c r="A6" s="151" t="s">
        <v>420</v>
      </c>
      <c r="B6" s="970" t="s">
        <v>421</v>
      </c>
      <c r="C6" s="971"/>
      <c r="D6" s="971"/>
      <c r="E6" s="972"/>
      <c r="F6" s="152" t="s">
        <v>422</v>
      </c>
      <c r="G6" s="152" t="s">
        <v>423</v>
      </c>
      <c r="H6" s="152" t="s">
        <v>424</v>
      </c>
      <c r="I6" s="152" t="s">
        <v>425</v>
      </c>
      <c r="J6" s="152" t="s">
        <v>427</v>
      </c>
    </row>
    <row r="7" spans="1:11" ht="14.25" customHeight="1">
      <c r="A7" s="154" t="s">
        <v>1</v>
      </c>
      <c r="B7" s="973" t="s">
        <v>355</v>
      </c>
      <c r="C7" s="973"/>
      <c r="D7" s="973"/>
      <c r="E7" s="973"/>
      <c r="F7" s="141">
        <f>29033148+2158500+514000+34895474+10871880+21446460+25000+2846984+16985805+80000+2168500+27145152+40610080+28103985+27815502+12762600+30800+2200+3600833+9375932+420000</f>
        <v>270892835</v>
      </c>
      <c r="G7" s="141">
        <f>83641200+385000+1420400+1083000+6373+34746</f>
        <v>86570719</v>
      </c>
      <c r="H7" s="141">
        <f>147547916-7297240-336000+433600+66000+21649000+9187815+621002</f>
        <v>171872093</v>
      </c>
      <c r="I7" s="141">
        <f>2428400+7343000</f>
        <v>9771400</v>
      </c>
      <c r="J7" s="141">
        <f>SUM(F7:I7)</f>
        <v>539107047</v>
      </c>
      <c r="K7" s="598"/>
    </row>
    <row r="8" spans="1:11" ht="13.5" customHeight="1">
      <c r="A8" s="154" t="s">
        <v>3</v>
      </c>
      <c r="B8" s="973" t="s">
        <v>4</v>
      </c>
      <c r="C8" s="973"/>
      <c r="D8" s="973"/>
      <c r="E8" s="973"/>
      <c r="F8" s="141">
        <f>7533426+424933+489933+6862023+1105308+2180390+4388+573827+3345516+41361+426883+6999328+3959404+2740077+6738701+2999211+6006+429+834330+1492000+914153+80000</f>
        <v>49751627</v>
      </c>
      <c r="G8" s="141">
        <f>15658358+75075+293205+211188-8607</f>
        <v>16229219</v>
      </c>
      <c r="H8" s="141">
        <f>31659765-1422962-65520+84552+12870+5088000+2040168+121098</f>
        <v>37517971</v>
      </c>
      <c r="I8" s="141">
        <f>478841+1437188</f>
        <v>1916029</v>
      </c>
      <c r="J8" s="141">
        <f aca="true" t="shared" si="0" ref="J8:J75">SUM(F8:I8)</f>
        <v>105414846</v>
      </c>
      <c r="K8" s="598"/>
    </row>
    <row r="9" spans="1:11" ht="12" customHeight="1">
      <c r="A9" s="154" t="s">
        <v>5</v>
      </c>
      <c r="B9" s="973" t="s">
        <v>6</v>
      </c>
      <c r="C9" s="973"/>
      <c r="D9" s="973"/>
      <c r="E9" s="973"/>
      <c r="F9" s="141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+500000-1150000+823080-2893619+1350000+46939+243600</f>
        <v>387867408</v>
      </c>
      <c r="G9" s="141">
        <f>20108238+256193+439819+2370+2234</f>
        <v>20808854</v>
      </c>
      <c r="H9" s="141">
        <f>56208129+3-96000-170000+16670259+19871884-152273-151629-84541-195000-79900+17240-198285-10240</f>
        <v>91629647</v>
      </c>
      <c r="I9" s="141">
        <f>1100000+3400630+49530+13986001-3000000-103900-574597-700000</f>
        <v>14157664</v>
      </c>
      <c r="J9" s="141">
        <f t="shared" si="0"/>
        <v>514463573</v>
      </c>
      <c r="K9" s="598"/>
    </row>
    <row r="10" spans="1:11" ht="12.75">
      <c r="A10" s="154" t="s">
        <v>8</v>
      </c>
      <c r="B10" s="973" t="s">
        <v>9</v>
      </c>
      <c r="C10" s="973"/>
      <c r="D10" s="973"/>
      <c r="E10" s="973"/>
      <c r="F10" s="141">
        <f>SUM(F11,F12,F15:F20)</f>
        <v>2942222</v>
      </c>
      <c r="G10" s="141">
        <f>SUM(G11,G12,G15:G20)</f>
        <v>6018160</v>
      </c>
      <c r="H10" s="141">
        <f>SUM(H11,H12,H15:H20)</f>
        <v>0</v>
      </c>
      <c r="I10" s="141">
        <f>SUM(I11,I12,I15:I20)</f>
        <v>0</v>
      </c>
      <c r="J10" s="141">
        <f t="shared" si="0"/>
        <v>8960382</v>
      </c>
      <c r="K10" s="598"/>
    </row>
    <row r="11" spans="1:11" ht="12.75">
      <c r="A11" s="137"/>
      <c r="B11" s="137" t="s">
        <v>10</v>
      </c>
      <c r="C11" s="956" t="s">
        <v>11</v>
      </c>
      <c r="D11" s="958"/>
      <c r="E11" s="957"/>
      <c r="F11" s="140">
        <v>0</v>
      </c>
      <c r="G11" s="140">
        <v>0</v>
      </c>
      <c r="H11" s="140">
        <v>0</v>
      </c>
      <c r="I11" s="140">
        <v>0</v>
      </c>
      <c r="J11" s="141">
        <f t="shared" si="0"/>
        <v>0</v>
      </c>
      <c r="K11" s="598"/>
    </row>
    <row r="12" spans="1:11" ht="12.75">
      <c r="A12" s="137"/>
      <c r="B12" s="137" t="s">
        <v>12</v>
      </c>
      <c r="C12" s="959" t="s">
        <v>13</v>
      </c>
      <c r="D12" s="959"/>
      <c r="E12" s="959"/>
      <c r="F12" s="140">
        <f>SUM(F13:F14)</f>
        <v>0</v>
      </c>
      <c r="G12" s="140">
        <f>SUM(G13:G14)</f>
        <v>6018160</v>
      </c>
      <c r="H12" s="140">
        <f>SUM(H13:H14)</f>
        <v>0</v>
      </c>
      <c r="I12" s="140">
        <f>SUM(I13:I14)</f>
        <v>0</v>
      </c>
      <c r="J12" s="141">
        <f t="shared" si="0"/>
        <v>6018160</v>
      </c>
      <c r="K12" s="598"/>
    </row>
    <row r="13" spans="1:11" ht="23.25" customHeight="1">
      <c r="A13" s="143"/>
      <c r="B13" s="137"/>
      <c r="C13" s="143"/>
      <c r="D13" s="954" t="s">
        <v>647</v>
      </c>
      <c r="E13" s="955"/>
      <c r="F13" s="144"/>
      <c r="G13" s="816">
        <v>5650000</v>
      </c>
      <c r="H13" s="816">
        <v>0</v>
      </c>
      <c r="I13" s="816">
        <v>0</v>
      </c>
      <c r="J13" s="817">
        <f t="shared" si="0"/>
        <v>5650000</v>
      </c>
      <c r="K13" s="598"/>
    </row>
    <row r="14" spans="1:11" ht="22.5" customHeight="1">
      <c r="A14" s="143"/>
      <c r="B14" s="137"/>
      <c r="C14" s="143"/>
      <c r="D14" s="974" t="s">
        <v>648</v>
      </c>
      <c r="E14" s="975"/>
      <c r="F14" s="144"/>
      <c r="G14" s="816">
        <v>368160</v>
      </c>
      <c r="H14" s="816">
        <v>0</v>
      </c>
      <c r="I14" s="816">
        <v>0</v>
      </c>
      <c r="J14" s="817">
        <f t="shared" si="0"/>
        <v>368160</v>
      </c>
      <c r="K14" s="598"/>
    </row>
    <row r="15" spans="1:11" ht="12.75">
      <c r="A15" s="137"/>
      <c r="B15" s="137" t="s">
        <v>136</v>
      </c>
      <c r="C15" s="959" t="s">
        <v>137</v>
      </c>
      <c r="D15" s="959"/>
      <c r="E15" s="959"/>
      <c r="F15" s="140">
        <v>0</v>
      </c>
      <c r="G15" s="140">
        <v>0</v>
      </c>
      <c r="H15" s="140">
        <v>0</v>
      </c>
      <c r="I15" s="140">
        <v>0</v>
      </c>
      <c r="J15" s="141">
        <f t="shared" si="0"/>
        <v>0</v>
      </c>
      <c r="K15" s="598"/>
    </row>
    <row r="16" spans="1:11" ht="12" customHeight="1">
      <c r="A16" s="137"/>
      <c r="B16" s="137" t="s">
        <v>138</v>
      </c>
      <c r="C16" s="956" t="s">
        <v>139</v>
      </c>
      <c r="D16" s="958"/>
      <c r="E16" s="957"/>
      <c r="F16" s="140">
        <f>SUM(F17:F18)</f>
        <v>0</v>
      </c>
      <c r="G16" s="140">
        <f>SUM(G17:G18)</f>
        <v>0</v>
      </c>
      <c r="H16" s="140">
        <f>SUM(H17:H18)</f>
        <v>0</v>
      </c>
      <c r="I16" s="140">
        <f>SUM(I17:I18)</f>
        <v>0</v>
      </c>
      <c r="J16" s="141">
        <f t="shared" si="0"/>
        <v>0</v>
      </c>
      <c r="K16" s="598"/>
    </row>
    <row r="17" spans="1:11" ht="13.5" customHeight="1">
      <c r="A17" s="143"/>
      <c r="B17" s="137" t="s">
        <v>140</v>
      </c>
      <c r="C17" s="137" t="s">
        <v>141</v>
      </c>
      <c r="D17" s="138"/>
      <c r="E17" s="139"/>
      <c r="F17" s="144">
        <v>0</v>
      </c>
      <c r="G17" s="144">
        <v>0</v>
      </c>
      <c r="H17" s="144">
        <v>0</v>
      </c>
      <c r="I17" s="144">
        <v>0</v>
      </c>
      <c r="J17" s="141">
        <f t="shared" si="0"/>
        <v>0</v>
      </c>
      <c r="K17" s="598"/>
    </row>
    <row r="18" spans="1:11" ht="12.75">
      <c r="A18" s="137"/>
      <c r="B18" s="137" t="s">
        <v>142</v>
      </c>
      <c r="C18" s="956" t="s">
        <v>143</v>
      </c>
      <c r="D18" s="958"/>
      <c r="E18" s="957"/>
      <c r="F18" s="140">
        <f>SUM(F19)</f>
        <v>0</v>
      </c>
      <c r="G18" s="140">
        <f>SUM(G19)</f>
        <v>0</v>
      </c>
      <c r="H18" s="140">
        <f>SUM(H19)</f>
        <v>0</v>
      </c>
      <c r="I18" s="140">
        <f>SUM(I19)</f>
        <v>0</v>
      </c>
      <c r="J18" s="141">
        <f t="shared" si="0"/>
        <v>0</v>
      </c>
      <c r="K18" s="598"/>
    </row>
    <row r="19" spans="1:11" ht="12.75">
      <c r="A19" s="137"/>
      <c r="B19" s="137" t="s">
        <v>144</v>
      </c>
      <c r="C19" s="959" t="s">
        <v>14</v>
      </c>
      <c r="D19" s="959"/>
      <c r="E19" s="959"/>
      <c r="F19" s="140">
        <v>0</v>
      </c>
      <c r="G19" s="140">
        <v>0</v>
      </c>
      <c r="H19" s="140">
        <v>0</v>
      </c>
      <c r="I19" s="140">
        <v>0</v>
      </c>
      <c r="J19" s="141">
        <f t="shared" si="0"/>
        <v>0</v>
      </c>
      <c r="K19" s="598"/>
    </row>
    <row r="20" spans="1:11" ht="12.75">
      <c r="A20" s="137"/>
      <c r="B20" s="137" t="s">
        <v>145</v>
      </c>
      <c r="C20" s="956" t="s">
        <v>146</v>
      </c>
      <c r="D20" s="958"/>
      <c r="E20" s="957"/>
      <c r="F20" s="140">
        <f>SUM(F21:F22)</f>
        <v>2942222</v>
      </c>
      <c r="G20" s="140">
        <f>SUM(G21:G22)</f>
        <v>0</v>
      </c>
      <c r="H20" s="140">
        <f>SUM(H21:H22)</f>
        <v>0</v>
      </c>
      <c r="I20" s="140">
        <f>SUM(I21:I22)</f>
        <v>0</v>
      </c>
      <c r="J20" s="141">
        <f t="shared" si="0"/>
        <v>2942222</v>
      </c>
      <c r="K20" s="598"/>
    </row>
    <row r="21" spans="1:11" ht="12.75">
      <c r="A21" s="143"/>
      <c r="B21" s="143"/>
      <c r="C21" s="143"/>
      <c r="D21" s="956" t="s">
        <v>606</v>
      </c>
      <c r="E21" s="957"/>
      <c r="F21" s="144">
        <v>1500000</v>
      </c>
      <c r="G21" s="144">
        <v>0</v>
      </c>
      <c r="H21" s="144">
        <v>0</v>
      </c>
      <c r="I21" s="144">
        <v>0</v>
      </c>
      <c r="J21" s="141">
        <f t="shared" si="0"/>
        <v>1500000</v>
      </c>
      <c r="K21" s="598"/>
    </row>
    <row r="22" spans="1:11" s="145" customFormat="1" ht="12.75">
      <c r="A22" s="143"/>
      <c r="B22" s="143"/>
      <c r="C22" s="143"/>
      <c r="D22" s="956" t="s">
        <v>605</v>
      </c>
      <c r="E22" s="957"/>
      <c r="F22" s="144">
        <v>1442222</v>
      </c>
      <c r="G22" s="144">
        <v>0</v>
      </c>
      <c r="H22" s="144">
        <v>0</v>
      </c>
      <c r="I22" s="144">
        <v>0</v>
      </c>
      <c r="J22" s="141">
        <f t="shared" si="0"/>
        <v>1442222</v>
      </c>
      <c r="K22" s="598"/>
    </row>
    <row r="23" spans="1:11" ht="12" customHeight="1">
      <c r="A23" s="154" t="s">
        <v>147</v>
      </c>
      <c r="B23" s="960" t="s">
        <v>148</v>
      </c>
      <c r="C23" s="961"/>
      <c r="D23" s="961"/>
      <c r="E23" s="962"/>
      <c r="F23" s="141">
        <f>SUM(F58+F45+F46+F47+F43+F42+F41+F40+F29+F28+F27+F26+F24+F25)</f>
        <v>240480488</v>
      </c>
      <c r="G23" s="141">
        <f>SUM(G58+G45+G46+G47+G43+G42+G41+G40+G29+G28+G27+G26+G24+G25)</f>
        <v>0</v>
      </c>
      <c r="H23" s="141">
        <f>SUM(H58+H45+H46+H47+H43+H42+H41+H40+H29+H28+H27+H26+H24+H25)</f>
        <v>0</v>
      </c>
      <c r="I23" s="141">
        <f>SUM(I58+I45+I46+I47+I43+I42+I41+I40+I29+I28+I27+I26+I24+I25)</f>
        <v>0</v>
      </c>
      <c r="J23" s="141">
        <f t="shared" si="0"/>
        <v>240480488</v>
      </c>
      <c r="K23" s="598"/>
    </row>
    <row r="24" spans="1:11" ht="6" customHeight="1" hidden="1">
      <c r="A24" s="143"/>
      <c r="B24" s="143"/>
      <c r="C24" s="143" t="s">
        <v>149</v>
      </c>
      <c r="D24" s="143" t="s">
        <v>150</v>
      </c>
      <c r="E24" s="143"/>
      <c r="F24" s="144">
        <v>0</v>
      </c>
      <c r="G24" s="144">
        <v>0</v>
      </c>
      <c r="H24" s="144">
        <v>0</v>
      </c>
      <c r="I24" s="144">
        <v>0</v>
      </c>
      <c r="J24" s="155">
        <f t="shared" si="0"/>
        <v>0</v>
      </c>
      <c r="K24" s="599"/>
    </row>
    <row r="25" spans="1:11" ht="15" customHeight="1">
      <c r="A25" s="143"/>
      <c r="B25" s="143"/>
      <c r="C25" s="143" t="s">
        <v>151</v>
      </c>
      <c r="D25" s="143" t="s">
        <v>152</v>
      </c>
      <c r="E25" s="143"/>
      <c r="F25" s="144">
        <f>34037935+66110+32640+20906574</f>
        <v>55043259</v>
      </c>
      <c r="G25" s="144">
        <v>0</v>
      </c>
      <c r="H25" s="144">
        <v>0</v>
      </c>
      <c r="I25" s="144">
        <v>0</v>
      </c>
      <c r="J25" s="155">
        <f t="shared" si="0"/>
        <v>55043259</v>
      </c>
      <c r="K25" s="599"/>
    </row>
    <row r="26" spans="1:11" ht="12.75" hidden="1">
      <c r="A26" s="143"/>
      <c r="B26" s="143"/>
      <c r="C26" s="143" t="s">
        <v>153</v>
      </c>
      <c r="D26" s="963" t="s">
        <v>154</v>
      </c>
      <c r="E26" s="964"/>
      <c r="F26" s="144">
        <v>0</v>
      </c>
      <c r="G26" s="144">
        <v>0</v>
      </c>
      <c r="H26" s="144">
        <v>0</v>
      </c>
      <c r="I26" s="144">
        <v>0</v>
      </c>
      <c r="J26" s="155">
        <f t="shared" si="0"/>
        <v>0</v>
      </c>
      <c r="K26" s="599"/>
    </row>
    <row r="27" spans="1:11" ht="12.75" hidden="1">
      <c r="A27" s="143"/>
      <c r="B27" s="143"/>
      <c r="C27" s="143" t="s">
        <v>155</v>
      </c>
      <c r="D27" s="963" t="s">
        <v>156</v>
      </c>
      <c r="E27" s="964"/>
      <c r="F27" s="144">
        <v>0</v>
      </c>
      <c r="G27" s="144">
        <v>0</v>
      </c>
      <c r="H27" s="144">
        <v>0</v>
      </c>
      <c r="I27" s="144">
        <v>0</v>
      </c>
      <c r="J27" s="155">
        <f t="shared" si="0"/>
        <v>0</v>
      </c>
      <c r="K27" s="599"/>
    </row>
    <row r="28" spans="1:11" ht="12.75" hidden="1">
      <c r="A28" s="143"/>
      <c r="B28" s="143"/>
      <c r="C28" s="143" t="s">
        <v>177</v>
      </c>
      <c r="D28" s="963" t="s">
        <v>178</v>
      </c>
      <c r="E28" s="964"/>
      <c r="F28" s="144">
        <v>0</v>
      </c>
      <c r="G28" s="144">
        <v>0</v>
      </c>
      <c r="H28" s="144">
        <v>0</v>
      </c>
      <c r="I28" s="144">
        <v>0</v>
      </c>
      <c r="J28" s="155">
        <f t="shared" si="0"/>
        <v>0</v>
      </c>
      <c r="K28" s="599"/>
    </row>
    <row r="29" spans="1:11" ht="12.75" hidden="1">
      <c r="A29" s="143"/>
      <c r="B29" s="143"/>
      <c r="C29" s="143" t="s">
        <v>179</v>
      </c>
      <c r="D29" s="963" t="s">
        <v>180</v>
      </c>
      <c r="E29" s="964"/>
      <c r="F29" s="144">
        <f>SUM(F30:F39)</f>
        <v>0</v>
      </c>
      <c r="G29" s="144">
        <f>SUM(G30:G39)</f>
        <v>0</v>
      </c>
      <c r="H29" s="144">
        <f>SUM(H30:H39)</f>
        <v>0</v>
      </c>
      <c r="I29" s="144">
        <f>SUM(I30:I39)</f>
        <v>0</v>
      </c>
      <c r="J29" s="155">
        <f t="shared" si="0"/>
        <v>0</v>
      </c>
      <c r="K29" s="599"/>
    </row>
    <row r="30" spans="1:11" ht="12.75" hidden="1">
      <c r="A30" s="156"/>
      <c r="B30" s="156"/>
      <c r="C30" s="157" t="s">
        <v>2</v>
      </c>
      <c r="D30" s="157" t="s">
        <v>157</v>
      </c>
      <c r="E30" s="157" t="s">
        <v>158</v>
      </c>
      <c r="F30" s="158">
        <v>0</v>
      </c>
      <c r="G30" s="158">
        <v>0</v>
      </c>
      <c r="H30" s="158">
        <v>0</v>
      </c>
      <c r="I30" s="158">
        <v>0</v>
      </c>
      <c r="J30" s="155">
        <f t="shared" si="0"/>
        <v>0</v>
      </c>
      <c r="K30" s="599"/>
    </row>
    <row r="31" spans="1:11" ht="12.75" hidden="1">
      <c r="A31" s="156"/>
      <c r="B31" s="156"/>
      <c r="C31" s="157"/>
      <c r="D31" s="157" t="s">
        <v>159</v>
      </c>
      <c r="E31" s="157" t="s">
        <v>160</v>
      </c>
      <c r="F31" s="158">
        <v>0</v>
      </c>
      <c r="G31" s="158">
        <v>0</v>
      </c>
      <c r="H31" s="158">
        <v>0</v>
      </c>
      <c r="I31" s="158">
        <v>0</v>
      </c>
      <c r="J31" s="155">
        <f t="shared" si="0"/>
        <v>0</v>
      </c>
      <c r="K31" s="599"/>
    </row>
    <row r="32" spans="1:11" ht="12.75" hidden="1">
      <c r="A32" s="156"/>
      <c r="B32" s="156"/>
      <c r="C32" s="157"/>
      <c r="D32" s="157" t="s">
        <v>161</v>
      </c>
      <c r="E32" s="157" t="s">
        <v>162</v>
      </c>
      <c r="F32" s="158">
        <v>0</v>
      </c>
      <c r="G32" s="158">
        <v>0</v>
      </c>
      <c r="H32" s="158">
        <v>0</v>
      </c>
      <c r="I32" s="158">
        <v>0</v>
      </c>
      <c r="J32" s="155">
        <f t="shared" si="0"/>
        <v>0</v>
      </c>
      <c r="K32" s="599"/>
    </row>
    <row r="33" spans="1:11" ht="12.75" hidden="1">
      <c r="A33" s="156"/>
      <c r="B33" s="156"/>
      <c r="C33" s="157"/>
      <c r="D33" s="157" t="s">
        <v>163</v>
      </c>
      <c r="E33" s="157" t="s">
        <v>164</v>
      </c>
      <c r="F33" s="158">
        <v>0</v>
      </c>
      <c r="G33" s="158">
        <v>0</v>
      </c>
      <c r="H33" s="158">
        <v>0</v>
      </c>
      <c r="I33" s="158">
        <v>0</v>
      </c>
      <c r="J33" s="155">
        <f t="shared" si="0"/>
        <v>0</v>
      </c>
      <c r="K33" s="599"/>
    </row>
    <row r="34" spans="1:11" ht="12.75" hidden="1">
      <c r="A34" s="156"/>
      <c r="B34" s="156"/>
      <c r="C34" s="157"/>
      <c r="D34" s="157" t="s">
        <v>165</v>
      </c>
      <c r="E34" s="157" t="s">
        <v>166</v>
      </c>
      <c r="F34" s="158">
        <v>0</v>
      </c>
      <c r="G34" s="158">
        <v>0</v>
      </c>
      <c r="H34" s="158">
        <v>0</v>
      </c>
      <c r="I34" s="158">
        <v>0</v>
      </c>
      <c r="J34" s="155">
        <f t="shared" si="0"/>
        <v>0</v>
      </c>
      <c r="K34" s="599"/>
    </row>
    <row r="35" spans="1:11" ht="12.75" hidden="1">
      <c r="A35" s="156"/>
      <c r="B35" s="156"/>
      <c r="C35" s="157"/>
      <c r="D35" s="157" t="s">
        <v>167</v>
      </c>
      <c r="E35" s="157" t="s">
        <v>168</v>
      </c>
      <c r="F35" s="158">
        <v>0</v>
      </c>
      <c r="G35" s="158">
        <v>0</v>
      </c>
      <c r="H35" s="158">
        <v>0</v>
      </c>
      <c r="I35" s="158">
        <v>0</v>
      </c>
      <c r="J35" s="155">
        <f t="shared" si="0"/>
        <v>0</v>
      </c>
      <c r="K35" s="599"/>
    </row>
    <row r="36" spans="1:11" ht="0.75" customHeight="1" hidden="1">
      <c r="A36" s="156"/>
      <c r="B36" s="156"/>
      <c r="C36" s="157"/>
      <c r="D36" s="157" t="s">
        <v>169</v>
      </c>
      <c r="E36" s="157" t="s">
        <v>170</v>
      </c>
      <c r="F36" s="158">
        <v>0</v>
      </c>
      <c r="G36" s="158">
        <v>0</v>
      </c>
      <c r="H36" s="158">
        <v>0</v>
      </c>
      <c r="I36" s="158">
        <v>0</v>
      </c>
      <c r="J36" s="155">
        <f t="shared" si="0"/>
        <v>0</v>
      </c>
      <c r="K36" s="599"/>
    </row>
    <row r="37" spans="1:11" ht="12.75" hidden="1">
      <c r="A37" s="156"/>
      <c r="B37" s="156"/>
      <c r="C37" s="157"/>
      <c r="D37" s="157" t="s">
        <v>171</v>
      </c>
      <c r="E37" s="157" t="s">
        <v>172</v>
      </c>
      <c r="F37" s="158">
        <v>0</v>
      </c>
      <c r="G37" s="158">
        <v>0</v>
      </c>
      <c r="H37" s="158">
        <v>0</v>
      </c>
      <c r="I37" s="158">
        <v>0</v>
      </c>
      <c r="J37" s="155">
        <f t="shared" si="0"/>
        <v>0</v>
      </c>
      <c r="K37" s="599"/>
    </row>
    <row r="38" spans="1:11" ht="12.75" hidden="1">
      <c r="A38" s="156"/>
      <c r="B38" s="156"/>
      <c r="C38" s="157"/>
      <c r="D38" s="157" t="s">
        <v>173</v>
      </c>
      <c r="E38" s="157" t="s">
        <v>174</v>
      </c>
      <c r="F38" s="158">
        <v>0</v>
      </c>
      <c r="G38" s="158">
        <v>0</v>
      </c>
      <c r="H38" s="158">
        <v>0</v>
      </c>
      <c r="I38" s="158">
        <v>0</v>
      </c>
      <c r="J38" s="155">
        <f t="shared" si="0"/>
        <v>0</v>
      </c>
      <c r="K38" s="599"/>
    </row>
    <row r="39" spans="1:11" ht="12.75" hidden="1">
      <c r="A39" s="156"/>
      <c r="B39" s="156"/>
      <c r="C39" s="157"/>
      <c r="D39" s="157" t="s">
        <v>175</v>
      </c>
      <c r="E39" s="157" t="s">
        <v>176</v>
      </c>
      <c r="F39" s="158">
        <v>0</v>
      </c>
      <c r="G39" s="158">
        <v>0</v>
      </c>
      <c r="H39" s="158">
        <v>0</v>
      </c>
      <c r="I39" s="158">
        <v>0</v>
      </c>
      <c r="J39" s="155">
        <f t="shared" si="0"/>
        <v>0</v>
      </c>
      <c r="K39" s="599"/>
    </row>
    <row r="40" spans="1:11" ht="12.75" hidden="1">
      <c r="A40" s="143"/>
      <c r="B40" s="143"/>
      <c r="C40" s="143" t="s">
        <v>181</v>
      </c>
      <c r="D40" s="963" t="s">
        <v>182</v>
      </c>
      <c r="E40" s="964"/>
      <c r="F40" s="144">
        <v>0</v>
      </c>
      <c r="G40" s="144">
        <v>0</v>
      </c>
      <c r="H40" s="144">
        <v>0</v>
      </c>
      <c r="I40" s="144">
        <v>0</v>
      </c>
      <c r="J40" s="155">
        <f t="shared" si="0"/>
        <v>0</v>
      </c>
      <c r="K40" s="599"/>
    </row>
    <row r="41" spans="1:11" ht="12.75" hidden="1">
      <c r="A41" s="143"/>
      <c r="B41" s="143"/>
      <c r="C41" s="143" t="s">
        <v>183</v>
      </c>
      <c r="D41" s="963" t="s">
        <v>536</v>
      </c>
      <c r="E41" s="964"/>
      <c r="F41" s="144">
        <v>0</v>
      </c>
      <c r="G41" s="144">
        <v>0</v>
      </c>
      <c r="H41" s="144">
        <v>0</v>
      </c>
      <c r="I41" s="144">
        <v>0</v>
      </c>
      <c r="J41" s="155">
        <f t="shared" si="0"/>
        <v>0</v>
      </c>
      <c r="K41" s="599"/>
    </row>
    <row r="42" spans="1:11" ht="12.75" hidden="1">
      <c r="A42" s="143"/>
      <c r="B42" s="143"/>
      <c r="C42" s="143" t="s">
        <v>194</v>
      </c>
      <c r="D42" s="963" t="s">
        <v>195</v>
      </c>
      <c r="E42" s="964"/>
      <c r="F42" s="144">
        <v>0</v>
      </c>
      <c r="G42" s="144">
        <v>0</v>
      </c>
      <c r="H42" s="144">
        <v>0</v>
      </c>
      <c r="I42" s="144">
        <v>0</v>
      </c>
      <c r="J42" s="155">
        <f t="shared" si="0"/>
        <v>0</v>
      </c>
      <c r="K42" s="599"/>
    </row>
    <row r="43" spans="1:11" ht="12.75" hidden="1">
      <c r="A43" s="143"/>
      <c r="B43" s="143"/>
      <c r="C43" s="143" t="s">
        <v>196</v>
      </c>
      <c r="D43" s="963" t="s">
        <v>197</v>
      </c>
      <c r="E43" s="964"/>
      <c r="F43" s="144">
        <v>0</v>
      </c>
      <c r="G43" s="144">
        <v>0</v>
      </c>
      <c r="H43" s="144">
        <v>0</v>
      </c>
      <c r="I43" s="144">
        <v>0</v>
      </c>
      <c r="J43" s="155">
        <f t="shared" si="0"/>
        <v>0</v>
      </c>
      <c r="K43" s="599"/>
    </row>
    <row r="44" spans="1:11" ht="12.75" hidden="1">
      <c r="A44" s="143"/>
      <c r="B44" s="143"/>
      <c r="C44" s="143" t="s">
        <v>198</v>
      </c>
      <c r="D44" s="963" t="s">
        <v>578</v>
      </c>
      <c r="E44" s="964"/>
      <c r="F44" s="144">
        <v>0</v>
      </c>
      <c r="G44" s="144">
        <v>0</v>
      </c>
      <c r="H44" s="144">
        <v>0</v>
      </c>
      <c r="I44" s="144">
        <v>0</v>
      </c>
      <c r="J44" s="155">
        <f t="shared" si="0"/>
        <v>0</v>
      </c>
      <c r="K44" s="599"/>
    </row>
    <row r="45" spans="1:11" ht="11.25" customHeight="1">
      <c r="A45" s="143"/>
      <c r="B45" s="143"/>
      <c r="C45" s="143" t="s">
        <v>989</v>
      </c>
      <c r="D45" s="954" t="s">
        <v>988</v>
      </c>
      <c r="E45" s="955"/>
      <c r="F45" s="144">
        <f>1055350+28922</f>
        <v>1084272</v>
      </c>
      <c r="G45" s="144">
        <v>0</v>
      </c>
      <c r="H45" s="144">
        <v>0</v>
      </c>
      <c r="I45" s="144">
        <v>0</v>
      </c>
      <c r="J45" s="155">
        <f t="shared" si="0"/>
        <v>1084272</v>
      </c>
      <c r="K45" s="599"/>
    </row>
    <row r="46" spans="1:11" ht="23.25" customHeight="1">
      <c r="A46" s="143"/>
      <c r="B46" s="143"/>
      <c r="C46" s="143" t="s">
        <v>183</v>
      </c>
      <c r="D46" s="954" t="s">
        <v>1128</v>
      </c>
      <c r="E46" s="955"/>
      <c r="F46" s="144">
        <v>1032600</v>
      </c>
      <c r="G46" s="144"/>
      <c r="H46" s="144"/>
      <c r="I46" s="144"/>
      <c r="J46" s="155"/>
      <c r="K46" s="599"/>
    </row>
    <row r="47" spans="1:11" ht="12.75">
      <c r="A47" s="143"/>
      <c r="B47" s="143"/>
      <c r="C47" s="143" t="s">
        <v>200</v>
      </c>
      <c r="D47" s="954" t="s">
        <v>199</v>
      </c>
      <c r="E47" s="955"/>
      <c r="F47" s="144">
        <f>38436000+9850000+1000000+25828000+17049000+16441000+4592665+40519000-9850000-1100000-4650000-1000000+1031200+1564044+5275000+3015000+922000+1397000+2261329+1625335+100000+7100000+868+300000+3692132+2800000+4638836+7265000-3663000-760000-618000-787000-306000-619000+15000</f>
        <v>173365409</v>
      </c>
      <c r="G47" s="144">
        <f>SUM(G48:G57)</f>
        <v>0</v>
      </c>
      <c r="H47" s="144">
        <f>SUM(H48:H57)</f>
        <v>0</v>
      </c>
      <c r="I47" s="144">
        <f>SUM(I48:I57)</f>
        <v>0</v>
      </c>
      <c r="J47" s="155">
        <f t="shared" si="0"/>
        <v>173365409</v>
      </c>
      <c r="K47" s="599"/>
    </row>
    <row r="48" spans="1:11" ht="12.75" hidden="1">
      <c r="A48" s="159"/>
      <c r="B48" s="159"/>
      <c r="C48" s="157" t="s">
        <v>2</v>
      </c>
      <c r="D48" s="208" t="s">
        <v>157</v>
      </c>
      <c r="E48" s="208" t="s">
        <v>184</v>
      </c>
      <c r="F48" s="158">
        <v>0</v>
      </c>
      <c r="G48" s="158">
        <v>0</v>
      </c>
      <c r="H48" s="158">
        <v>0</v>
      </c>
      <c r="I48" s="158">
        <v>0</v>
      </c>
      <c r="J48" s="155">
        <f t="shared" si="0"/>
        <v>0</v>
      </c>
      <c r="K48" s="599"/>
    </row>
    <row r="49" spans="1:11" ht="12.75" hidden="1">
      <c r="A49" s="159"/>
      <c r="B49" s="159"/>
      <c r="C49" s="157"/>
      <c r="D49" s="208" t="s">
        <v>159</v>
      </c>
      <c r="E49" s="208" t="s">
        <v>575</v>
      </c>
      <c r="F49" s="158">
        <v>0</v>
      </c>
      <c r="G49" s="158"/>
      <c r="H49" s="158"/>
      <c r="I49" s="158"/>
      <c r="J49" s="155">
        <f t="shared" si="0"/>
        <v>0</v>
      </c>
      <c r="K49" s="599"/>
    </row>
    <row r="50" spans="1:11" ht="12.75" hidden="1">
      <c r="A50" s="159"/>
      <c r="B50" s="159"/>
      <c r="C50" s="157"/>
      <c r="D50" s="208" t="s">
        <v>161</v>
      </c>
      <c r="E50" s="208" t="s">
        <v>185</v>
      </c>
      <c r="F50" s="158">
        <f>100000</f>
        <v>100000</v>
      </c>
      <c r="G50" s="158">
        <v>0</v>
      </c>
      <c r="H50" s="158">
        <v>0</v>
      </c>
      <c r="I50" s="158">
        <v>0</v>
      </c>
      <c r="J50" s="155">
        <f t="shared" si="0"/>
        <v>100000</v>
      </c>
      <c r="K50" s="599"/>
    </row>
    <row r="51" spans="1:11" ht="12.75" hidden="1">
      <c r="A51" s="159"/>
      <c r="B51" s="159"/>
      <c r="C51" s="157"/>
      <c r="D51" s="208" t="s">
        <v>163</v>
      </c>
      <c r="E51" s="208" t="s">
        <v>186</v>
      </c>
      <c r="F51" s="158">
        <v>0</v>
      </c>
      <c r="G51" s="158">
        <v>0</v>
      </c>
      <c r="H51" s="158">
        <v>0</v>
      </c>
      <c r="I51" s="158">
        <v>0</v>
      </c>
      <c r="J51" s="155">
        <f t="shared" si="0"/>
        <v>0</v>
      </c>
      <c r="K51" s="599"/>
    </row>
    <row r="52" spans="1:11" ht="12.75" hidden="1">
      <c r="A52" s="159"/>
      <c r="B52" s="159"/>
      <c r="C52" s="157"/>
      <c r="D52" s="208" t="s">
        <v>165</v>
      </c>
      <c r="E52" s="208" t="s">
        <v>187</v>
      </c>
      <c r="F52" s="158">
        <v>0</v>
      </c>
      <c r="G52" s="158">
        <v>0</v>
      </c>
      <c r="H52" s="158">
        <v>0</v>
      </c>
      <c r="I52" s="158">
        <v>0</v>
      </c>
      <c r="J52" s="155">
        <f t="shared" si="0"/>
        <v>0</v>
      </c>
      <c r="K52" s="599"/>
    </row>
    <row r="53" spans="1:11" ht="12.75" hidden="1">
      <c r="A53" s="159"/>
      <c r="B53" s="159"/>
      <c r="C53" s="157"/>
      <c r="D53" s="208" t="s">
        <v>167</v>
      </c>
      <c r="E53" s="208" t="s">
        <v>188</v>
      </c>
      <c r="F53" s="158">
        <v>0</v>
      </c>
      <c r="G53" s="158">
        <v>0</v>
      </c>
      <c r="H53" s="158">
        <v>0</v>
      </c>
      <c r="I53" s="158">
        <v>0</v>
      </c>
      <c r="J53" s="155">
        <f t="shared" si="0"/>
        <v>0</v>
      </c>
      <c r="K53" s="599"/>
    </row>
    <row r="54" spans="1:11" ht="12.75" hidden="1">
      <c r="A54" s="156"/>
      <c r="B54" s="156"/>
      <c r="C54" s="157"/>
      <c r="D54" s="208" t="s">
        <v>169</v>
      </c>
      <c r="E54" s="208" t="s">
        <v>189</v>
      </c>
      <c r="F54" s="15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4" s="158">
        <v>0</v>
      </c>
      <c r="H54" s="158">
        <v>0</v>
      </c>
      <c r="I54" s="158">
        <v>0</v>
      </c>
      <c r="J54" s="155">
        <f t="shared" si="0"/>
        <v>208924042</v>
      </c>
      <c r="K54" s="599"/>
    </row>
    <row r="55" spans="1:11" ht="12.75" hidden="1">
      <c r="A55" s="156"/>
      <c r="B55" s="156"/>
      <c r="C55" s="157"/>
      <c r="D55" s="208" t="s">
        <v>171</v>
      </c>
      <c r="E55" s="208" t="s">
        <v>190</v>
      </c>
      <c r="F55" s="158">
        <f>3224350+35026110</f>
        <v>38250460</v>
      </c>
      <c r="G55" s="158">
        <v>0</v>
      </c>
      <c r="H55" s="158">
        <v>0</v>
      </c>
      <c r="I55" s="158">
        <v>0</v>
      </c>
      <c r="J55" s="155">
        <f t="shared" si="0"/>
        <v>38250460</v>
      </c>
      <c r="K55" s="599"/>
    </row>
    <row r="56" spans="1:11" ht="12.75" hidden="1">
      <c r="A56" s="159"/>
      <c r="B56" s="159"/>
      <c r="C56" s="157"/>
      <c r="D56" s="208" t="s">
        <v>173</v>
      </c>
      <c r="E56" s="208" t="s">
        <v>192</v>
      </c>
      <c r="F56" s="158">
        <v>0</v>
      </c>
      <c r="G56" s="158">
        <v>0</v>
      </c>
      <c r="H56" s="158">
        <v>0</v>
      </c>
      <c r="I56" s="158">
        <v>0</v>
      </c>
      <c r="J56" s="155">
        <f t="shared" si="0"/>
        <v>0</v>
      </c>
      <c r="K56" s="599"/>
    </row>
    <row r="57" spans="1:11" ht="12.75" hidden="1">
      <c r="A57" s="159"/>
      <c r="B57" s="159"/>
      <c r="C57" s="157"/>
      <c r="D57" s="208" t="s">
        <v>175</v>
      </c>
      <c r="E57" s="208" t="s">
        <v>193</v>
      </c>
      <c r="F57" s="158">
        <v>0</v>
      </c>
      <c r="G57" s="158">
        <v>0</v>
      </c>
      <c r="H57" s="158">
        <v>0</v>
      </c>
      <c r="I57" s="158">
        <v>0</v>
      </c>
      <c r="J57" s="155">
        <f t="shared" si="0"/>
        <v>0</v>
      </c>
      <c r="K57" s="599"/>
    </row>
    <row r="58" spans="1:11" ht="12.75">
      <c r="A58" s="159"/>
      <c r="B58" s="159"/>
      <c r="C58" s="143" t="s">
        <v>579</v>
      </c>
      <c r="D58" s="954" t="s">
        <v>201</v>
      </c>
      <c r="E58" s="955"/>
      <c r="F58" s="144">
        <f>SUM(F59:F66)</f>
        <v>9954948</v>
      </c>
      <c r="G58" s="144">
        <f>SUM(G59:G63)</f>
        <v>0</v>
      </c>
      <c r="H58" s="144">
        <f>SUM(H59:H63)</f>
        <v>0</v>
      </c>
      <c r="I58" s="144">
        <f>SUM(I59:I63)</f>
        <v>0</v>
      </c>
      <c r="J58" s="155">
        <f t="shared" si="0"/>
        <v>9954948</v>
      </c>
      <c r="K58" s="599"/>
    </row>
    <row r="59" spans="1:11" ht="12.75">
      <c r="A59" s="156"/>
      <c r="B59" s="156"/>
      <c r="C59" s="160" t="s">
        <v>2</v>
      </c>
      <c r="D59" s="161"/>
      <c r="E59" s="162" t="s">
        <v>419</v>
      </c>
      <c r="F59" s="158">
        <v>1000000</v>
      </c>
      <c r="G59" s="158">
        <v>0</v>
      </c>
      <c r="H59" s="158">
        <v>0</v>
      </c>
      <c r="I59" s="158">
        <v>0</v>
      </c>
      <c r="J59" s="155">
        <f t="shared" si="0"/>
        <v>1000000</v>
      </c>
      <c r="K59" s="599"/>
    </row>
    <row r="60" spans="1:11" ht="12.75" hidden="1">
      <c r="A60" s="156"/>
      <c r="B60" s="156"/>
      <c r="C60" s="157"/>
      <c r="D60" s="161"/>
      <c r="E60" s="162" t="s">
        <v>456</v>
      </c>
      <c r="F60" s="158">
        <f>1000000-63500-68000-30000-90000-146050-190500-150000-261950</f>
        <v>0</v>
      </c>
      <c r="G60" s="158">
        <v>0</v>
      </c>
      <c r="H60" s="158">
        <v>0</v>
      </c>
      <c r="I60" s="158">
        <v>0</v>
      </c>
      <c r="J60" s="155">
        <f t="shared" si="0"/>
        <v>0</v>
      </c>
      <c r="K60" s="599"/>
    </row>
    <row r="61" spans="1:11" ht="12.75">
      <c r="A61" s="156"/>
      <c r="B61" s="156"/>
      <c r="C61" s="157"/>
      <c r="D61" s="161"/>
      <c r="E61" s="162" t="s">
        <v>691</v>
      </c>
      <c r="F61" s="158">
        <f>495000+553029</f>
        <v>1048029</v>
      </c>
      <c r="G61" s="158">
        <v>0</v>
      </c>
      <c r="H61" s="158">
        <v>0</v>
      </c>
      <c r="I61" s="158">
        <v>0</v>
      </c>
      <c r="J61" s="155">
        <f t="shared" si="0"/>
        <v>1048029</v>
      </c>
      <c r="K61" s="599"/>
    </row>
    <row r="62" spans="1:11" ht="22.5" hidden="1">
      <c r="A62" s="156"/>
      <c r="B62" s="156"/>
      <c r="C62" s="157"/>
      <c r="D62" s="161"/>
      <c r="E62" s="597" t="s">
        <v>772</v>
      </c>
      <c r="F62" s="818">
        <f>23433000-20000000-1576197-1055350-288050-513403</f>
        <v>0</v>
      </c>
      <c r="G62" s="818"/>
      <c r="H62" s="818"/>
      <c r="I62" s="818"/>
      <c r="J62" s="819">
        <f t="shared" si="0"/>
        <v>0</v>
      </c>
      <c r="K62" s="599"/>
    </row>
    <row r="63" spans="1:11" ht="27.75" customHeight="1">
      <c r="A63" s="156"/>
      <c r="B63" s="156"/>
      <c r="C63" s="157"/>
      <c r="D63" s="161"/>
      <c r="E63" s="820" t="s">
        <v>941</v>
      </c>
      <c r="F63" s="818">
        <f>5000000-1269600</f>
        <v>3730400</v>
      </c>
      <c r="G63" s="818">
        <v>0</v>
      </c>
      <c r="H63" s="818">
        <v>0</v>
      </c>
      <c r="I63" s="818">
        <v>0</v>
      </c>
      <c r="J63" s="819">
        <f t="shared" si="0"/>
        <v>3730400</v>
      </c>
      <c r="K63" s="599"/>
    </row>
    <row r="64" spans="1:11" ht="15.75" customHeight="1">
      <c r="A64" s="156"/>
      <c r="B64" s="156"/>
      <c r="C64" s="157"/>
      <c r="D64" s="161"/>
      <c r="E64" s="820" t="s">
        <v>990</v>
      </c>
      <c r="F64" s="818">
        <v>4176519</v>
      </c>
      <c r="G64" s="818">
        <v>0</v>
      </c>
      <c r="H64" s="818">
        <v>0</v>
      </c>
      <c r="I64" s="818">
        <v>0</v>
      </c>
      <c r="J64" s="819">
        <f t="shared" si="0"/>
        <v>4176519</v>
      </c>
      <c r="K64" s="599"/>
    </row>
    <row r="65" spans="1:11" ht="18" customHeight="1" hidden="1">
      <c r="A65" s="156"/>
      <c r="B65" s="156"/>
      <c r="C65" s="157"/>
      <c r="D65" s="161"/>
      <c r="E65" s="820" t="s">
        <v>978</v>
      </c>
      <c r="F65" s="818">
        <f>59808757-7679730-553029-602617-1492000-8045171-7935168-4176519-28922-20906574-217072-8171955</f>
        <v>0</v>
      </c>
      <c r="G65" s="818"/>
      <c r="H65" s="818"/>
      <c r="I65" s="818"/>
      <c r="J65" s="819">
        <f t="shared" si="0"/>
        <v>0</v>
      </c>
      <c r="K65" s="599"/>
    </row>
    <row r="66" spans="1:11" ht="17.25" customHeight="1" hidden="1">
      <c r="A66" s="156"/>
      <c r="B66" s="156"/>
      <c r="C66" s="157"/>
      <c r="D66" s="161"/>
      <c r="E66" s="820" t="s">
        <v>981</v>
      </c>
      <c r="F66" s="818">
        <f>9782649-6323709-100000-3358940</f>
        <v>0</v>
      </c>
      <c r="G66" s="818"/>
      <c r="H66" s="818"/>
      <c r="I66" s="818"/>
      <c r="J66" s="819">
        <f t="shared" si="0"/>
        <v>0</v>
      </c>
      <c r="K66" s="599"/>
    </row>
    <row r="67" spans="1:11" ht="12" customHeight="1">
      <c r="A67" s="154" t="s">
        <v>129</v>
      </c>
      <c r="B67" s="960" t="s">
        <v>363</v>
      </c>
      <c r="C67" s="961"/>
      <c r="D67" s="961"/>
      <c r="E67" s="962"/>
      <c r="F67" s="141">
        <f>264185263+12223750+525300+8644085+335750+76200+15576620+10986734-11201400+495250+151044+299888+1846997+8983129+120000+2497100+30000+150000+235153+233830+73660+1920000+106200000+807720+3055442+2893619+2316859-243600</f>
        <v>433418393</v>
      </c>
      <c r="G67" s="141">
        <f>1229404+1269600</f>
        <v>2499004</v>
      </c>
      <c r="H67" s="141">
        <f>304800+1687190+2412553+152273+151629+84541+195000+79900+123070+198285-39190</f>
        <v>5350051</v>
      </c>
      <c r="I67" s="141">
        <v>103900</v>
      </c>
      <c r="J67" s="141">
        <f t="shared" si="0"/>
        <v>441371348</v>
      </c>
      <c r="K67" s="598"/>
    </row>
    <row r="68" spans="1:11" ht="12.75">
      <c r="A68" s="154" t="s">
        <v>131</v>
      </c>
      <c r="B68" s="960" t="s">
        <v>130</v>
      </c>
      <c r="C68" s="961"/>
      <c r="D68" s="961"/>
      <c r="E68" s="962"/>
      <c r="F68" s="141">
        <f>6310000-3810000+508000+17634204+389000+2606050+22279919+850900+3000000+5000000+6528562+1576197+95000000+29947750</f>
        <v>187820582</v>
      </c>
      <c r="G68" s="141">
        <v>0</v>
      </c>
      <c r="H68" s="141">
        <f>700924+49430</f>
        <v>750354</v>
      </c>
      <c r="I68" s="141"/>
      <c r="J68" s="141">
        <f t="shared" si="0"/>
        <v>188570936</v>
      </c>
      <c r="K68" s="598"/>
    </row>
    <row r="69" spans="1:11" ht="12.75">
      <c r="A69" s="154" t="s">
        <v>133</v>
      </c>
      <c r="B69" s="960" t="s">
        <v>132</v>
      </c>
      <c r="C69" s="961"/>
      <c r="D69" s="961"/>
      <c r="E69" s="962"/>
      <c r="F69" s="141">
        <f>SUM(F70:F78)</f>
        <v>19690487</v>
      </c>
      <c r="G69" s="141">
        <f>SUM(G70:G78)</f>
        <v>0</v>
      </c>
      <c r="H69" s="141">
        <f>SUM(H70:H78)</f>
        <v>0</v>
      </c>
      <c r="I69" s="141">
        <f>SUM(I70:I78)</f>
        <v>0</v>
      </c>
      <c r="J69" s="141">
        <f t="shared" si="0"/>
        <v>19690487</v>
      </c>
      <c r="K69" s="598"/>
    </row>
    <row r="70" spans="1:11" ht="12.75" hidden="1">
      <c r="A70" s="137"/>
      <c r="B70" s="137" t="s">
        <v>203</v>
      </c>
      <c r="C70" s="959" t="s">
        <v>204</v>
      </c>
      <c r="D70" s="959"/>
      <c r="E70" s="959"/>
      <c r="F70" s="140">
        <v>0</v>
      </c>
      <c r="G70" s="140">
        <v>0</v>
      </c>
      <c r="H70" s="140">
        <v>0</v>
      </c>
      <c r="I70" s="140">
        <v>0</v>
      </c>
      <c r="J70" s="141">
        <f t="shared" si="0"/>
        <v>0</v>
      </c>
      <c r="K70" s="598"/>
    </row>
    <row r="71" spans="1:11" ht="12.75" hidden="1">
      <c r="A71" s="137"/>
      <c r="B71" s="137" t="s">
        <v>205</v>
      </c>
      <c r="C71" s="959" t="s">
        <v>206</v>
      </c>
      <c r="D71" s="959"/>
      <c r="E71" s="959"/>
      <c r="F71" s="140">
        <v>0</v>
      </c>
      <c r="G71" s="140">
        <v>0</v>
      </c>
      <c r="H71" s="140">
        <v>0</v>
      </c>
      <c r="I71" s="140">
        <v>0</v>
      </c>
      <c r="J71" s="141">
        <f t="shared" si="0"/>
        <v>0</v>
      </c>
      <c r="K71" s="598"/>
    </row>
    <row r="72" spans="1:11" ht="12.75" hidden="1">
      <c r="A72" s="137" t="s">
        <v>202</v>
      </c>
      <c r="B72" s="137" t="s">
        <v>207</v>
      </c>
      <c r="C72" s="959" t="s">
        <v>208</v>
      </c>
      <c r="D72" s="959"/>
      <c r="E72" s="959"/>
      <c r="F72" s="140">
        <v>0</v>
      </c>
      <c r="G72" s="140">
        <v>0</v>
      </c>
      <c r="H72" s="140">
        <v>0</v>
      </c>
      <c r="I72" s="140">
        <v>0</v>
      </c>
      <c r="J72" s="141">
        <f t="shared" si="0"/>
        <v>0</v>
      </c>
      <c r="K72" s="598"/>
    </row>
    <row r="73" spans="1:11" ht="12.75" hidden="1">
      <c r="A73" s="137"/>
      <c r="B73" s="137" t="s">
        <v>209</v>
      </c>
      <c r="C73" s="959" t="s">
        <v>210</v>
      </c>
      <c r="D73" s="959"/>
      <c r="E73" s="959"/>
      <c r="F73" s="140">
        <v>0</v>
      </c>
      <c r="G73" s="140">
        <v>0</v>
      </c>
      <c r="H73" s="140">
        <v>0</v>
      </c>
      <c r="I73" s="140">
        <v>0</v>
      </c>
      <c r="J73" s="141">
        <f t="shared" si="0"/>
        <v>0</v>
      </c>
      <c r="K73" s="598"/>
    </row>
    <row r="74" spans="1:11" ht="12.75" hidden="1">
      <c r="A74" s="137"/>
      <c r="B74" s="137" t="s">
        <v>211</v>
      </c>
      <c r="C74" s="959" t="s">
        <v>212</v>
      </c>
      <c r="D74" s="959"/>
      <c r="E74" s="959"/>
      <c r="F74" s="140">
        <v>0</v>
      </c>
      <c r="G74" s="140">
        <v>0</v>
      </c>
      <c r="H74" s="140">
        <v>0</v>
      </c>
      <c r="I74" s="140">
        <v>0</v>
      </c>
      <c r="J74" s="141">
        <f t="shared" si="0"/>
        <v>0</v>
      </c>
      <c r="K74" s="598"/>
    </row>
    <row r="75" spans="1:11" ht="12.75" hidden="1">
      <c r="A75" s="137"/>
      <c r="B75" s="137" t="s">
        <v>213</v>
      </c>
      <c r="C75" s="959" t="s">
        <v>214</v>
      </c>
      <c r="D75" s="959"/>
      <c r="E75" s="959"/>
      <c r="F75" s="140">
        <v>0</v>
      </c>
      <c r="G75" s="140">
        <v>0</v>
      </c>
      <c r="H75" s="140">
        <v>0</v>
      </c>
      <c r="I75" s="140">
        <v>0</v>
      </c>
      <c r="J75" s="141">
        <f t="shared" si="0"/>
        <v>0</v>
      </c>
      <c r="K75" s="598"/>
    </row>
    <row r="76" spans="1:11" ht="12.75" hidden="1">
      <c r="A76" s="137"/>
      <c r="B76" s="137" t="s">
        <v>215</v>
      </c>
      <c r="C76" s="959" t="s">
        <v>216</v>
      </c>
      <c r="D76" s="959"/>
      <c r="E76" s="959"/>
      <c r="F76" s="140">
        <v>0</v>
      </c>
      <c r="G76" s="140">
        <v>0</v>
      </c>
      <c r="H76" s="140">
        <v>0</v>
      </c>
      <c r="I76" s="140">
        <v>0</v>
      </c>
      <c r="J76" s="141">
        <f>SUM(F76:I76)</f>
        <v>0</v>
      </c>
      <c r="K76" s="598"/>
    </row>
    <row r="77" spans="1:11" ht="12.75" hidden="1">
      <c r="A77" s="137"/>
      <c r="B77" s="137" t="s">
        <v>217</v>
      </c>
      <c r="C77" s="959" t="s">
        <v>581</v>
      </c>
      <c r="D77" s="959"/>
      <c r="E77" s="959"/>
      <c r="F77" s="140">
        <v>0</v>
      </c>
      <c r="G77" s="140">
        <v>0</v>
      </c>
      <c r="H77" s="140">
        <v>0</v>
      </c>
      <c r="I77" s="140">
        <v>0</v>
      </c>
      <c r="J77" s="141">
        <f>SUM(F77:I77)</f>
        <v>0</v>
      </c>
      <c r="K77" s="598"/>
    </row>
    <row r="78" spans="1:11" ht="12.75">
      <c r="A78" s="137"/>
      <c r="B78" s="137" t="s">
        <v>580</v>
      </c>
      <c r="C78" s="959" t="s">
        <v>690</v>
      </c>
      <c r="D78" s="959"/>
      <c r="E78" s="959"/>
      <c r="F78" s="140">
        <f>449520+1159500+18081467</f>
        <v>19690487</v>
      </c>
      <c r="G78" s="140">
        <v>0</v>
      </c>
      <c r="H78" s="140">
        <v>0</v>
      </c>
      <c r="I78" s="140">
        <v>0</v>
      </c>
      <c r="J78" s="141">
        <f>SUM(F78:I78)</f>
        <v>19690487</v>
      </c>
      <c r="K78" s="598"/>
    </row>
    <row r="79" spans="1:11" ht="12.75">
      <c r="A79" s="154" t="s">
        <v>135</v>
      </c>
      <c r="B79" s="960" t="s">
        <v>134</v>
      </c>
      <c r="C79" s="961"/>
      <c r="D79" s="961"/>
      <c r="E79" s="962"/>
      <c r="F79" s="141">
        <v>18041236</v>
      </c>
      <c r="G79" s="141">
        <v>0</v>
      </c>
      <c r="H79" s="141">
        <v>0</v>
      </c>
      <c r="I79" s="141">
        <v>0</v>
      </c>
      <c r="J79" s="141">
        <f>SUM(F79:I79)</f>
        <v>18041236</v>
      </c>
      <c r="K79" s="598"/>
    </row>
    <row r="80" spans="1:10" ht="12.75">
      <c r="A80" s="163"/>
      <c r="B80" s="164"/>
      <c r="C80" s="164"/>
      <c r="D80" s="164"/>
      <c r="E80" s="164"/>
      <c r="F80" s="165"/>
      <c r="G80" s="166"/>
      <c r="H80" s="166"/>
      <c r="I80" s="166"/>
      <c r="J80" s="167"/>
    </row>
    <row r="81" spans="1:10" ht="15.75">
      <c r="A81" s="976" t="s">
        <v>218</v>
      </c>
      <c r="B81" s="977"/>
      <c r="C81" s="977"/>
      <c r="D81" s="977"/>
      <c r="E81" s="978"/>
      <c r="F81" s="168">
        <f>SUM(F7+F8+F9+F10+F23+F67+F68+F69+F79)</f>
        <v>1610905278</v>
      </c>
      <c r="G81" s="168">
        <f>SUM(G7+G8+G9+G10+G23+G67+G68+G69+G79)</f>
        <v>132125956</v>
      </c>
      <c r="H81" s="168">
        <f>SUM(H7+H8+H9+H10+H23+H67+H68+H69+H79)</f>
        <v>307120116</v>
      </c>
      <c r="I81" s="168">
        <f>SUM(I7+I8+I9+I10+I23+I67+I68+I69+I79)</f>
        <v>25948993</v>
      </c>
      <c r="J81" s="168">
        <f>SUM(J7+J8+J9+J10+J23+J67+J68+J69+J79)</f>
        <v>2076100343</v>
      </c>
    </row>
  </sheetData>
  <sheetProtection/>
  <mergeCells count="47">
    <mergeCell ref="D46:E46"/>
    <mergeCell ref="C78:E78"/>
    <mergeCell ref="B79:E79"/>
    <mergeCell ref="A81:E81"/>
    <mergeCell ref="C72:E72"/>
    <mergeCell ref="C73:E73"/>
    <mergeCell ref="C74:E74"/>
    <mergeCell ref="C75:E75"/>
    <mergeCell ref="C76:E76"/>
    <mergeCell ref="C77:E77"/>
    <mergeCell ref="B69:E69"/>
    <mergeCell ref="C70:E70"/>
    <mergeCell ref="C71:E71"/>
    <mergeCell ref="B68:E68"/>
    <mergeCell ref="D47:E47"/>
    <mergeCell ref="D58:E58"/>
    <mergeCell ref="B67:E67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zoomScalePageLayoutView="0" workbookViewId="0" topLeftCell="A34">
      <selection activeCell="B2" sqref="B2:I2"/>
    </sheetView>
  </sheetViews>
  <sheetFormatPr defaultColWidth="9.00390625" defaultRowHeight="12.75"/>
  <cols>
    <col min="1" max="1" width="4.125" style="85" bestFit="1" customWidth="1"/>
    <col min="2" max="2" width="55.125" style="37" bestFit="1" customWidth="1"/>
    <col min="3" max="3" width="12.375" style="37" bestFit="1" customWidth="1"/>
    <col min="4" max="5" width="13.375" style="37" bestFit="1" customWidth="1"/>
    <col min="6" max="6" width="53.875" style="37" bestFit="1" customWidth="1"/>
    <col min="7" max="7" width="13.25390625" style="37" bestFit="1" customWidth="1"/>
    <col min="8" max="9" width="14.125" style="37" bestFit="1" customWidth="1"/>
    <col min="10" max="16384" width="9.125" style="37" customWidth="1"/>
  </cols>
  <sheetData>
    <row r="1" spans="6:10" ht="12.75" customHeight="1">
      <c r="F1" s="982" t="s">
        <v>1161</v>
      </c>
      <c r="G1" s="983"/>
      <c r="H1" s="983"/>
      <c r="I1" s="983"/>
      <c r="J1" s="77"/>
    </row>
    <row r="2" spans="2:9" ht="15.75">
      <c r="B2" s="984" t="s">
        <v>774</v>
      </c>
      <c r="C2" s="984"/>
      <c r="D2" s="984"/>
      <c r="E2" s="984"/>
      <c r="F2" s="984"/>
      <c r="G2" s="984"/>
      <c r="H2" s="984"/>
      <c r="I2" s="984"/>
    </row>
    <row r="3" ht="8.25" customHeight="1"/>
    <row r="4" spans="1:9" s="38" customFormat="1" ht="15" customHeight="1">
      <c r="A4" s="986" t="s">
        <v>426</v>
      </c>
      <c r="B4" s="985" t="s">
        <v>432</v>
      </c>
      <c r="C4" s="985"/>
      <c r="D4" s="985"/>
      <c r="E4" s="985"/>
      <c r="F4" s="985" t="s">
        <v>358</v>
      </c>
      <c r="G4" s="985"/>
      <c r="H4" s="985"/>
      <c r="I4" s="985"/>
    </row>
    <row r="5" spans="1:9" s="41" customFormat="1" ht="14.25">
      <c r="A5" s="986"/>
      <c r="B5" s="39" t="s">
        <v>357</v>
      </c>
      <c r="C5" s="40" t="s">
        <v>350</v>
      </c>
      <c r="D5" s="40" t="s">
        <v>349</v>
      </c>
      <c r="E5" s="40" t="s">
        <v>415</v>
      </c>
      <c r="F5" s="39" t="s">
        <v>357</v>
      </c>
      <c r="G5" s="40" t="s">
        <v>350</v>
      </c>
      <c r="H5" s="40" t="s">
        <v>349</v>
      </c>
      <c r="I5" s="40" t="s">
        <v>415</v>
      </c>
    </row>
    <row r="6" spans="1:9" s="84" customFormat="1" ht="12">
      <c r="A6" s="986"/>
      <c r="B6" s="83" t="s">
        <v>420</v>
      </c>
      <c r="C6" s="83" t="s">
        <v>421</v>
      </c>
      <c r="D6" s="83" t="s">
        <v>422</v>
      </c>
      <c r="E6" s="83" t="s">
        <v>423</v>
      </c>
      <c r="F6" s="83" t="s">
        <v>424</v>
      </c>
      <c r="G6" s="83" t="s">
        <v>425</v>
      </c>
      <c r="H6" s="83" t="s">
        <v>427</v>
      </c>
      <c r="I6" s="83" t="s">
        <v>428</v>
      </c>
    </row>
    <row r="7" spans="1:9" s="57" customFormat="1" ht="14.25">
      <c r="A7" s="83">
        <v>1</v>
      </c>
      <c r="B7" s="56" t="s">
        <v>515</v>
      </c>
      <c r="C7" s="74">
        <f>SUM(C8)</f>
        <v>1281496285</v>
      </c>
      <c r="D7" s="74">
        <f>SUM(D32,D8)</f>
        <v>377842993</v>
      </c>
      <c r="E7" s="74">
        <f aca="true" t="shared" si="0" ref="E7:E30">SUM(C7:D7)</f>
        <v>1659339278</v>
      </c>
      <c r="F7" s="56" t="s">
        <v>516</v>
      </c>
      <c r="G7" s="74">
        <f>SUM(G8,G32)</f>
        <v>1400519417</v>
      </c>
      <c r="H7" s="74">
        <f>SUM(H8,H32)</f>
        <v>657539690</v>
      </c>
      <c r="I7" s="74">
        <f aca="true" t="shared" si="1" ref="I7:I16">SUM(G7:H7)</f>
        <v>2058059107</v>
      </c>
    </row>
    <row r="8" spans="1:9" s="66" customFormat="1" ht="12.75">
      <c r="A8" s="86">
        <v>2</v>
      </c>
      <c r="B8" s="63" t="s">
        <v>450</v>
      </c>
      <c r="C8" s="64">
        <f>SUM(C28+C18+C13+C9)</f>
        <v>1281496285</v>
      </c>
      <c r="D8" s="64">
        <f>SUM(D28+D18+D13+D9)</f>
        <v>0</v>
      </c>
      <c r="E8" s="64">
        <f t="shared" si="0"/>
        <v>1281496285</v>
      </c>
      <c r="F8" s="65" t="s">
        <v>453</v>
      </c>
      <c r="G8" s="64">
        <f>SUM(G9:G13)</f>
        <v>1400519417</v>
      </c>
      <c r="H8" s="64">
        <f>SUM(H9:H13)</f>
        <v>7906919</v>
      </c>
      <c r="I8" s="64">
        <f t="shared" si="1"/>
        <v>1408426336</v>
      </c>
    </row>
    <row r="9" spans="1:9" s="44" customFormat="1" ht="12.75">
      <c r="A9" s="86">
        <v>3</v>
      </c>
      <c r="B9" s="72" t="s">
        <v>15</v>
      </c>
      <c r="C9" s="53">
        <f>SUM(C10:C12)</f>
        <v>1000056473</v>
      </c>
      <c r="D9" s="53">
        <v>0</v>
      </c>
      <c r="E9" s="53">
        <f t="shared" si="0"/>
        <v>1000056473</v>
      </c>
      <c r="F9" s="73" t="s">
        <v>454</v>
      </c>
      <c r="G9" s="53">
        <f>147547916+29033148+2158500+514000+34895474+10871880+21446460+25000+2846984+16985805+80000+2168500+27145152+83641200+2428400+7343000-7297240-336000+40610080+28103985+27815502+12762600+30800+2200+385000+1420400+433600+66000+3600833+21649000+9187815+1083000+6373+34746+9375932+420000+621002</f>
        <v>539107047</v>
      </c>
      <c r="H9" s="53">
        <v>0</v>
      </c>
      <c r="I9" s="53">
        <f t="shared" si="1"/>
        <v>539107047</v>
      </c>
    </row>
    <row r="10" spans="1:9" s="44" customFormat="1" ht="12.75">
      <c r="A10" s="83">
        <v>4</v>
      </c>
      <c r="B10" s="50" t="s">
        <v>16</v>
      </c>
      <c r="C10" s="55">
        <f>200053809+112608900+165550125+10661310+367584+1341084+1096532+10529284+7265000+95585+30000000</f>
        <v>539569213</v>
      </c>
      <c r="D10" s="55">
        <v>0</v>
      </c>
      <c r="E10" s="55">
        <f t="shared" si="0"/>
        <v>539569213</v>
      </c>
      <c r="F10" s="73" t="s">
        <v>704</v>
      </c>
      <c r="G10" s="53">
        <f>31659765+7533426+424933+489933+6862023+1105308+2180390+4388+573827+3345516+41361+426883+6999328+15658358+478841+1437188-1422962-65520+3959404+2740077+6738701+2999211+6006+429+75075+293205+84552+12870+834330+5088000+2040168+1492000+211188-8607+914153+80000+121098</f>
        <v>105414846</v>
      </c>
      <c r="H10" s="53">
        <v>0</v>
      </c>
      <c r="I10" s="53">
        <f t="shared" si="1"/>
        <v>105414846</v>
      </c>
    </row>
    <row r="11" spans="1:9" s="44" customFormat="1" ht="12.75">
      <c r="A11" s="86">
        <v>5</v>
      </c>
      <c r="B11" s="50" t="s">
        <v>702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+500000-1150000+823080-2893619+1350000-574597-700000+46939-10240+243600</f>
        <v>514463573</v>
      </c>
      <c r="H11" s="53">
        <v>0</v>
      </c>
      <c r="I11" s="53">
        <f t="shared" si="1"/>
        <v>514463573</v>
      </c>
    </row>
    <row r="12" spans="1:9" s="44" customFormat="1" ht="12.75">
      <c r="A12" s="86">
        <v>6</v>
      </c>
      <c r="B12" s="50" t="s">
        <v>17</v>
      </c>
      <c r="C12" s="55">
        <f>38966057+11977188+23626850+3652363+21588000+3971695+6245115+6018160+63035474+2000000+581210+46614899+38901777+88971424+32379432+1969798+17772766+43407259-8045171-7935168+1294188+37116+10976885+1100000+11113165-2893619+1407021+1011276+742100</f>
        <v>460487260</v>
      </c>
      <c r="D12" s="55">
        <v>0</v>
      </c>
      <c r="E12" s="55">
        <f t="shared" si="0"/>
        <v>460487260</v>
      </c>
      <c r="F12" s="73" t="s">
        <v>39</v>
      </c>
      <c r="G12" s="53">
        <f>2942222+6018160</f>
        <v>8960382</v>
      </c>
      <c r="H12" s="53">
        <v>0</v>
      </c>
      <c r="I12" s="53">
        <f t="shared" si="1"/>
        <v>8960382</v>
      </c>
    </row>
    <row r="13" spans="1:9" s="44" customFormat="1" ht="12.75">
      <c r="A13" s="83">
        <v>7</v>
      </c>
      <c r="B13" s="72" t="s">
        <v>21</v>
      </c>
      <c r="C13" s="53">
        <f>SUM(C14:C17)</f>
        <v>227595000</v>
      </c>
      <c r="D13" s="53">
        <f>SUM(D14:D17)</f>
        <v>0</v>
      </c>
      <c r="E13" s="53">
        <f t="shared" si="0"/>
        <v>227595000</v>
      </c>
      <c r="F13" s="76" t="s">
        <v>40</v>
      </c>
      <c r="G13" s="53">
        <f>SUM(G14:G18)</f>
        <v>232573569</v>
      </c>
      <c r="H13" s="53">
        <f>SUM(H14:H18)</f>
        <v>7906919</v>
      </c>
      <c r="I13" s="53">
        <f t="shared" si="1"/>
        <v>240480488</v>
      </c>
    </row>
    <row r="14" spans="1:9" s="45" customFormat="1" ht="12.75">
      <c r="A14" s="86">
        <v>8</v>
      </c>
      <c r="B14" s="50" t="s">
        <v>117</v>
      </c>
      <c r="C14" s="55">
        <v>202400000</v>
      </c>
      <c r="D14" s="55">
        <v>0</v>
      </c>
      <c r="E14" s="55">
        <f t="shared" si="0"/>
        <v>202400000</v>
      </c>
      <c r="F14" s="52" t="s">
        <v>775</v>
      </c>
      <c r="G14" s="55">
        <f>34037935+66110+32640+20906574</f>
        <v>55043259</v>
      </c>
      <c r="H14" s="55">
        <v>0</v>
      </c>
      <c r="I14" s="55">
        <f t="shared" si="1"/>
        <v>55043259</v>
      </c>
    </row>
    <row r="15" spans="1:9" s="45" customFormat="1" ht="12.75">
      <c r="A15" s="86"/>
      <c r="B15" s="51" t="s">
        <v>856</v>
      </c>
      <c r="C15" s="55">
        <v>50000</v>
      </c>
      <c r="D15" s="55">
        <v>0</v>
      </c>
      <c r="E15" s="55">
        <f t="shared" si="0"/>
        <v>50000</v>
      </c>
      <c r="F15" s="52" t="s">
        <v>703</v>
      </c>
      <c r="G15" s="55">
        <f>0+1032600</f>
        <v>1032600</v>
      </c>
      <c r="H15" s="55">
        <v>0</v>
      </c>
      <c r="I15" s="55">
        <f t="shared" si="1"/>
        <v>1032600</v>
      </c>
    </row>
    <row r="16" spans="1:9" s="45" customFormat="1" ht="12.75">
      <c r="A16" s="86">
        <v>9</v>
      </c>
      <c r="B16" s="51" t="s">
        <v>857</v>
      </c>
      <c r="C16" s="55">
        <v>24000000</v>
      </c>
      <c r="D16" s="55">
        <v>0</v>
      </c>
      <c r="E16" s="55">
        <f t="shared" si="0"/>
        <v>24000000</v>
      </c>
      <c r="F16" s="52" t="s">
        <v>991</v>
      </c>
      <c r="G16" s="55">
        <f>1055350+28922</f>
        <v>1084272</v>
      </c>
      <c r="H16" s="55">
        <v>0</v>
      </c>
      <c r="I16" s="55">
        <f t="shared" si="1"/>
        <v>1084272</v>
      </c>
    </row>
    <row r="17" spans="1:9" s="45" customFormat="1" ht="12.75">
      <c r="A17" s="83">
        <v>10</v>
      </c>
      <c r="B17" s="50" t="s">
        <v>858</v>
      </c>
      <c r="C17" s="55">
        <v>1145000</v>
      </c>
      <c r="D17" s="55">
        <v>0</v>
      </c>
      <c r="E17" s="55">
        <f t="shared" si="0"/>
        <v>1145000</v>
      </c>
      <c r="F17" s="52" t="s">
        <v>992</v>
      </c>
      <c r="G17" s="55">
        <f>38436000+9850000+1000000+25828000+17049000+16441000+4592665+40519000-9850000-1100000-4650000-1000000+1031200+1564044+14495664+100000+18531836+7265000+4592665-4592665-3663000-760000-618000-787000-306000-619000+15000</f>
        <v>173365409</v>
      </c>
      <c r="H17" s="55">
        <v>0</v>
      </c>
      <c r="I17" s="55">
        <f>SUM(G17:H17)</f>
        <v>173365409</v>
      </c>
    </row>
    <row r="18" spans="1:9" s="45" customFormat="1" ht="12.75">
      <c r="A18" s="86">
        <v>11</v>
      </c>
      <c r="B18" s="72" t="s">
        <v>22</v>
      </c>
      <c r="C18" s="53">
        <f>SUM(C19:C27)</f>
        <v>53475241</v>
      </c>
      <c r="D18" s="53">
        <f>SUM(D19:D27)</f>
        <v>0</v>
      </c>
      <c r="E18" s="53">
        <f t="shared" si="0"/>
        <v>53475241</v>
      </c>
      <c r="F18" s="52" t="s">
        <v>993</v>
      </c>
      <c r="G18" s="55">
        <f>73496000-47568000-20000000-63500-68000-30000-90000-146050-1576197-190500-150000-1055350-261950-288050+59808757+9782649-7679730+553029-553029-602617-1492000-8045171-7935168-4176519-28922-20906574-217072-8171955-6323709-100000-3358940-513403</f>
        <v>2048029</v>
      </c>
      <c r="H18" s="55">
        <f>5000000+4176519-1269600</f>
        <v>7906919</v>
      </c>
      <c r="I18" s="55">
        <f>SUM(G18:H18)</f>
        <v>9954948</v>
      </c>
    </row>
    <row r="19" spans="1:9" s="44" customFormat="1" ht="12.75">
      <c r="A19" s="86">
        <v>12</v>
      </c>
      <c r="B19" s="50" t="s">
        <v>582</v>
      </c>
      <c r="C19" s="55">
        <f>400000+5848600</f>
        <v>6248600</v>
      </c>
      <c r="D19" s="55">
        <v>0</v>
      </c>
      <c r="E19" s="55">
        <f t="shared" si="0"/>
        <v>6248600</v>
      </c>
      <c r="F19" s="76"/>
      <c r="G19" s="53"/>
      <c r="H19" s="53"/>
      <c r="I19" s="53"/>
    </row>
    <row r="20" spans="1:9" s="44" customFormat="1" ht="12.75">
      <c r="A20" s="83">
        <v>13</v>
      </c>
      <c r="B20" s="50" t="s">
        <v>23</v>
      </c>
      <c r="C20" s="55">
        <f>14236474+4500000+250000+100559+2851094+48819</f>
        <v>21986946</v>
      </c>
      <c r="D20" s="55">
        <v>0</v>
      </c>
      <c r="E20" s="55">
        <f t="shared" si="0"/>
        <v>21986946</v>
      </c>
      <c r="F20" s="52"/>
      <c r="G20" s="55"/>
      <c r="H20" s="55"/>
      <c r="I20" s="55"/>
    </row>
    <row r="21" spans="1:9" s="44" customFormat="1" ht="12.75">
      <c r="A21" s="86">
        <v>14</v>
      </c>
      <c r="B21" s="50" t="s">
        <v>24</v>
      </c>
      <c r="C21" s="55">
        <f>2486532+652000+101556+3949049+360500+36960</f>
        <v>7586597</v>
      </c>
      <c r="D21" s="55">
        <v>0</v>
      </c>
      <c r="E21" s="55">
        <f t="shared" si="0"/>
        <v>7586597</v>
      </c>
      <c r="F21" s="52"/>
      <c r="G21" s="55"/>
      <c r="H21" s="55"/>
      <c r="I21" s="55"/>
    </row>
    <row r="22" spans="1:9" s="44" customFormat="1" ht="12.75">
      <c r="A22" s="86">
        <v>15</v>
      </c>
      <c r="B22" s="50" t="s">
        <v>537</v>
      </c>
      <c r="C22" s="55">
        <v>639000</v>
      </c>
      <c r="D22" s="55">
        <v>0</v>
      </c>
      <c r="E22" s="55">
        <f t="shared" si="0"/>
        <v>639000</v>
      </c>
      <c r="F22" s="52"/>
      <c r="G22" s="55"/>
      <c r="H22" s="55"/>
      <c r="I22" s="55"/>
    </row>
    <row r="23" spans="1:9" s="44" customFormat="1" ht="12.75">
      <c r="A23" s="83">
        <v>16</v>
      </c>
      <c r="B23" s="50" t="s">
        <v>25</v>
      </c>
      <c r="C23" s="55">
        <f>963355+5498780</f>
        <v>6462135</v>
      </c>
      <c r="D23" s="55">
        <v>0</v>
      </c>
      <c r="E23" s="55">
        <f t="shared" si="0"/>
        <v>6462135</v>
      </c>
      <c r="F23" s="52"/>
      <c r="G23" s="55"/>
      <c r="H23" s="55"/>
      <c r="I23" s="55"/>
    </row>
    <row r="24" spans="1:9" s="44" customFormat="1" ht="12.75">
      <c r="A24" s="86">
        <v>17</v>
      </c>
      <c r="B24" s="50" t="s">
        <v>26</v>
      </c>
      <c r="C24" s="55">
        <f>259712+551266+176040+1323000+1484671+15638+977417+27151+705130+1+13181+9979</f>
        <v>5543186</v>
      </c>
      <c r="D24" s="55">
        <v>0</v>
      </c>
      <c r="E24" s="55">
        <f t="shared" si="0"/>
        <v>5543186</v>
      </c>
      <c r="F24" s="43"/>
      <c r="G24" s="55"/>
      <c r="H24" s="54"/>
      <c r="I24" s="54"/>
    </row>
    <row r="25" spans="1:9" s="44" customFormat="1" ht="12.75">
      <c r="A25" s="86">
        <v>18</v>
      </c>
      <c r="B25" s="50" t="s">
        <v>311</v>
      </c>
      <c r="C25" s="55">
        <f>0+3863162+809838</f>
        <v>4673000</v>
      </c>
      <c r="D25" s="55">
        <v>0</v>
      </c>
      <c r="E25" s="55">
        <f t="shared" si="0"/>
        <v>4673000</v>
      </c>
      <c r="F25" s="43"/>
      <c r="G25" s="55"/>
      <c r="H25" s="54"/>
      <c r="I25" s="54"/>
    </row>
    <row r="26" spans="1:9" s="44" customFormat="1" ht="12.75">
      <c r="A26" s="86">
        <v>19</v>
      </c>
      <c r="B26" s="50" t="s">
        <v>727</v>
      </c>
      <c r="C26" s="55">
        <v>3000</v>
      </c>
      <c r="D26" s="55">
        <v>0</v>
      </c>
      <c r="E26" s="55">
        <f t="shared" si="0"/>
        <v>3000</v>
      </c>
      <c r="F26" s="43"/>
      <c r="G26" s="55"/>
      <c r="H26" s="54"/>
      <c r="I26" s="54"/>
    </row>
    <row r="27" spans="1:9" s="42" customFormat="1" ht="12.75">
      <c r="A27" s="83">
        <v>20</v>
      </c>
      <c r="B27" s="50" t="s">
        <v>728</v>
      </c>
      <c r="C27" s="55">
        <f>10801933+60128-10529284</f>
        <v>332777</v>
      </c>
      <c r="D27" s="55">
        <v>0</v>
      </c>
      <c r="E27" s="55">
        <f t="shared" si="0"/>
        <v>332777</v>
      </c>
      <c r="F27" s="43"/>
      <c r="G27" s="54"/>
      <c r="H27" s="54"/>
      <c r="I27" s="54"/>
    </row>
    <row r="28" spans="1:9" s="42" customFormat="1" ht="12.75">
      <c r="A28" s="86">
        <v>21</v>
      </c>
      <c r="B28" s="72" t="s">
        <v>32</v>
      </c>
      <c r="C28" s="53">
        <f>SUM(C29:C30)</f>
        <v>369571</v>
      </c>
      <c r="D28" s="53">
        <v>0</v>
      </c>
      <c r="E28" s="53">
        <f t="shared" si="0"/>
        <v>369571</v>
      </c>
      <c r="F28" s="43"/>
      <c r="G28" s="54"/>
      <c r="H28" s="54"/>
      <c r="I28" s="54"/>
    </row>
    <row r="29" spans="1:9" s="42" customFormat="1" ht="12.75">
      <c r="A29" s="86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3"/>
      <c r="G29" s="54"/>
      <c r="H29" s="54"/>
      <c r="I29" s="54"/>
    </row>
    <row r="30" spans="1:9" s="42" customFormat="1" ht="12.75">
      <c r="A30" s="83">
        <v>23</v>
      </c>
      <c r="B30" s="50" t="s">
        <v>34</v>
      </c>
      <c r="C30" s="55">
        <f>302525+67046</f>
        <v>369571</v>
      </c>
      <c r="D30" s="55">
        <v>0</v>
      </c>
      <c r="E30" s="55">
        <f t="shared" si="0"/>
        <v>369571</v>
      </c>
      <c r="F30" s="43"/>
      <c r="G30" s="54"/>
      <c r="H30" s="54"/>
      <c r="I30" s="54"/>
    </row>
    <row r="31" spans="1:9" s="42" customFormat="1" ht="12.75">
      <c r="A31" s="86">
        <v>24</v>
      </c>
      <c r="B31" s="50"/>
      <c r="C31" s="55"/>
      <c r="D31" s="55"/>
      <c r="E31" s="55"/>
      <c r="F31" s="43"/>
      <c r="G31" s="54"/>
      <c r="H31" s="54"/>
      <c r="I31" s="54"/>
    </row>
    <row r="32" spans="1:9" s="66" customFormat="1" ht="12.75">
      <c r="A32" s="86">
        <v>25</v>
      </c>
      <c r="B32" s="67" t="s">
        <v>452</v>
      </c>
      <c r="C32" s="64">
        <f>SUM(C41+C36+C33)</f>
        <v>0</v>
      </c>
      <c r="D32" s="64">
        <f>SUM(D41+D36+D33)</f>
        <v>377842993</v>
      </c>
      <c r="E32" s="64">
        <f>SUM(D32:D32)</f>
        <v>377842993</v>
      </c>
      <c r="F32" s="65" t="s">
        <v>345</v>
      </c>
      <c r="G32" s="64">
        <f>SUM(G33:G35)</f>
        <v>0</v>
      </c>
      <c r="H32" s="64">
        <f>SUM(H33:H35)</f>
        <v>649632771</v>
      </c>
      <c r="I32" s="64">
        <f aca="true" t="shared" si="2" ref="I32:I40">SUM(G32:H32)</f>
        <v>649632771</v>
      </c>
    </row>
    <row r="33" spans="1:9" s="42" customFormat="1" ht="12.75">
      <c r="A33" s="83">
        <v>26</v>
      </c>
      <c r="B33" s="72" t="s">
        <v>18</v>
      </c>
      <c r="C33" s="53">
        <f>SUM(C34:C35)</f>
        <v>0</v>
      </c>
      <c r="D33" s="53">
        <f>SUM(D34:D35)</f>
        <v>303748717</v>
      </c>
      <c r="E33" s="53">
        <f>SUM(D33:D33)</f>
        <v>303748717</v>
      </c>
      <c r="F33" s="73" t="s">
        <v>41</v>
      </c>
      <c r="G33" s="53">
        <v>0</v>
      </c>
      <c r="H33" s="53">
        <f>304800+264185263+12223750+525300+8644085+335750+76200+15576620+10986734+1229404-11201400+495250+151044+299888+1846997+8983129+103900+120000+2497100+1687190+2412553+30000+150000+235153+233830+73660+152273+151629+84541+195000+79900+123070+1920000+139700-139700+198285+106200000+807720+3055442+2893619+1269600+2316859-39190-243600</f>
        <v>441371348</v>
      </c>
      <c r="I33" s="53">
        <f t="shared" si="2"/>
        <v>441371348</v>
      </c>
    </row>
    <row r="34" spans="1:9" s="42" customFormat="1" ht="12.75">
      <c r="A34" s="86">
        <v>27</v>
      </c>
      <c r="B34" s="50" t="s">
        <v>19</v>
      </c>
      <c r="C34" s="55">
        <v>0</v>
      </c>
      <c r="D34" s="55">
        <v>29947750</v>
      </c>
      <c r="E34" s="55">
        <f aca="true" t="shared" si="3" ref="E34:E43">SUM(D34:D34)</f>
        <v>29947750</v>
      </c>
      <c r="F34" s="73" t="s">
        <v>42</v>
      </c>
      <c r="G34" s="53">
        <v>0</v>
      </c>
      <c r="H34" s="53">
        <f>6310000+508000+17634204+389000+2606050+22279919-3810000+850900+3000000+5000000+6528562+1576197+700924+95000000+49430+29947750</f>
        <v>188570936</v>
      </c>
      <c r="I34" s="53">
        <f t="shared" si="2"/>
        <v>188570936</v>
      </c>
    </row>
    <row r="35" spans="1:9" s="42" customFormat="1" ht="12.75">
      <c r="A35" s="86">
        <v>28</v>
      </c>
      <c r="B35" s="50" t="s">
        <v>20</v>
      </c>
      <c r="C35" s="55">
        <v>0</v>
      </c>
      <c r="D35" s="55">
        <f>2500000+21694288+6019000+5000000+9889960+299888+1846997+15511691+2497100+1687190+841234+1920000+95000000+106200000+2893619</f>
        <v>273800967</v>
      </c>
      <c r="E35" s="55">
        <f t="shared" si="3"/>
        <v>273800967</v>
      </c>
      <c r="F35" s="73" t="s">
        <v>43</v>
      </c>
      <c r="G35" s="53">
        <f>SUM(G36:G40)</f>
        <v>0</v>
      </c>
      <c r="H35" s="53">
        <f>SUM(H36:H40)</f>
        <v>19690487</v>
      </c>
      <c r="I35" s="53">
        <f t="shared" si="2"/>
        <v>19690487</v>
      </c>
    </row>
    <row r="36" spans="1:9" s="42" customFormat="1" ht="12.75">
      <c r="A36" s="83">
        <v>29</v>
      </c>
      <c r="B36" s="72" t="s">
        <v>27</v>
      </c>
      <c r="C36" s="53">
        <f>SUM(C37:C40)</f>
        <v>0</v>
      </c>
      <c r="D36" s="53">
        <f>SUM(D37:D40)</f>
        <v>41012809</v>
      </c>
      <c r="E36" s="53">
        <f t="shared" si="3"/>
        <v>41012809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2" customFormat="1" ht="12.75">
      <c r="A37" s="86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4" customFormat="1" ht="12.75">
      <c r="A38" s="86">
        <v>31</v>
      </c>
      <c r="B38" s="50" t="s">
        <v>29</v>
      </c>
      <c r="C38" s="55">
        <f>SUM(C39:C40)</f>
        <v>0</v>
      </c>
      <c r="D38" s="55">
        <f>62747330-3831623-848360+15172896+672563+3300476-30000000+1066203+500000-6753000+1032600+15000-1150000-1011276</f>
        <v>40912809</v>
      </c>
      <c r="E38" s="55">
        <f t="shared" si="3"/>
        <v>40912809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4" customFormat="1" ht="12.75">
      <c r="A39" s="83">
        <v>32</v>
      </c>
      <c r="B39" s="50" t="s">
        <v>30</v>
      </c>
      <c r="C39" s="55">
        <v>0</v>
      </c>
      <c r="D39" s="55">
        <f>0+100000</f>
        <v>100000</v>
      </c>
      <c r="E39" s="55">
        <f t="shared" si="3"/>
        <v>100000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6" customFormat="1" ht="13.5">
      <c r="A40" s="86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f>1609020+18081467</f>
        <v>19690487</v>
      </c>
      <c r="I40" s="55">
        <f t="shared" si="2"/>
        <v>19690487</v>
      </c>
    </row>
    <row r="41" spans="1:9" s="46" customFormat="1" ht="13.5">
      <c r="A41" s="86">
        <v>34</v>
      </c>
      <c r="B41" s="72" t="s">
        <v>35</v>
      </c>
      <c r="C41" s="53">
        <f>SUM(C42:C43)</f>
        <v>0</v>
      </c>
      <c r="D41" s="53">
        <f>SUM(D42:D43)</f>
        <v>33081467</v>
      </c>
      <c r="E41" s="53">
        <f t="shared" si="3"/>
        <v>33081467</v>
      </c>
      <c r="F41" s="52"/>
      <c r="G41" s="55"/>
      <c r="H41" s="55"/>
      <c r="I41" s="55"/>
    </row>
    <row r="42" spans="1:9" s="46" customFormat="1" ht="13.5">
      <c r="A42" s="83">
        <v>35</v>
      </c>
      <c r="B42" s="50" t="s">
        <v>695</v>
      </c>
      <c r="C42" s="55">
        <v>0</v>
      </c>
      <c r="D42" s="55">
        <v>0</v>
      </c>
      <c r="E42" s="55">
        <f t="shared" si="3"/>
        <v>0</v>
      </c>
      <c r="F42" s="47"/>
      <c r="G42" s="55"/>
      <c r="H42" s="55"/>
      <c r="I42" s="55"/>
    </row>
    <row r="43" spans="1:9" s="46" customFormat="1" ht="13.5">
      <c r="A43" s="86">
        <v>36</v>
      </c>
      <c r="B43" s="50" t="s">
        <v>694</v>
      </c>
      <c r="C43" s="55">
        <v>0</v>
      </c>
      <c r="D43" s="55">
        <v>33081467</v>
      </c>
      <c r="E43" s="55">
        <f t="shared" si="3"/>
        <v>33081467</v>
      </c>
      <c r="F43" s="47"/>
      <c r="G43" s="55"/>
      <c r="H43" s="55"/>
      <c r="I43" s="55"/>
    </row>
    <row r="44" spans="1:9" s="48" customFormat="1" ht="6" customHeight="1">
      <c r="A44" s="987"/>
      <c r="B44" s="988"/>
      <c r="C44" s="988"/>
      <c r="D44" s="988"/>
      <c r="E44" s="988"/>
      <c r="F44" s="988"/>
      <c r="G44" s="988"/>
      <c r="H44" s="988"/>
      <c r="I44" s="989"/>
    </row>
    <row r="45" spans="1:9" s="48" customFormat="1" ht="15">
      <c r="A45" s="86">
        <v>37</v>
      </c>
      <c r="B45" s="990" t="s">
        <v>517</v>
      </c>
      <c r="C45" s="991"/>
      <c r="D45" s="991"/>
      <c r="E45" s="991"/>
      <c r="F45" s="991"/>
      <c r="G45" s="125">
        <f>C7-G7</f>
        <v>-119023132</v>
      </c>
      <c r="H45" s="125">
        <f>D7-H7</f>
        <v>-279696697</v>
      </c>
      <c r="I45" s="125">
        <f>SUM(G45:H45)</f>
        <v>-398719829</v>
      </c>
    </row>
    <row r="46" spans="1:9" s="48" customFormat="1" ht="6" customHeight="1">
      <c r="A46" s="979"/>
      <c r="B46" s="980"/>
      <c r="C46" s="980"/>
      <c r="D46" s="980"/>
      <c r="E46" s="980"/>
      <c r="F46" s="980"/>
      <c r="G46" s="980"/>
      <c r="H46" s="980"/>
      <c r="I46" s="981"/>
    </row>
    <row r="47" spans="1:9" s="60" customFormat="1" ht="28.5">
      <c r="A47" s="86">
        <v>38</v>
      </c>
      <c r="B47" s="56" t="s">
        <v>346</v>
      </c>
      <c r="C47" s="58">
        <f>SUM(C48:C49)</f>
        <v>120421620</v>
      </c>
      <c r="D47" s="58">
        <f>SUM(D48:D49)</f>
        <v>296339445</v>
      </c>
      <c r="E47" s="58">
        <f aca="true" t="shared" si="4" ref="E47:E54">SUM(C47:D47)</f>
        <v>416761065</v>
      </c>
      <c r="F47" s="59"/>
      <c r="G47" s="58"/>
      <c r="H47" s="58"/>
      <c r="I47" s="58"/>
    </row>
    <row r="48" spans="1:9" s="69" customFormat="1" ht="13.5">
      <c r="A48" s="83">
        <v>39</v>
      </c>
      <c r="B48" s="70" t="s">
        <v>696</v>
      </c>
      <c r="C48" s="64">
        <f>22840902+626145+31099867+55632238+439819</f>
        <v>110638971</v>
      </c>
      <c r="D48" s="64">
        <f>297951773-8201400+2412553+4176519</f>
        <v>296339445</v>
      </c>
      <c r="E48" s="64">
        <f t="shared" si="4"/>
        <v>406978416</v>
      </c>
      <c r="F48" s="65"/>
      <c r="G48" s="64"/>
      <c r="H48" s="64"/>
      <c r="I48" s="64"/>
    </row>
    <row r="49" spans="1:9" s="69" customFormat="1" ht="13.5">
      <c r="A49" s="83">
        <v>40</v>
      </c>
      <c r="B49" s="70" t="s">
        <v>697</v>
      </c>
      <c r="C49" s="64">
        <v>9782649</v>
      </c>
      <c r="D49" s="64">
        <v>0</v>
      </c>
      <c r="E49" s="64">
        <f t="shared" si="4"/>
        <v>9782649</v>
      </c>
      <c r="F49" s="65"/>
      <c r="G49" s="64"/>
      <c r="H49" s="64"/>
      <c r="I49" s="64"/>
    </row>
    <row r="50" spans="1:9" s="823" customFormat="1" ht="28.5">
      <c r="A50" s="815">
        <v>41</v>
      </c>
      <c r="B50" s="56" t="s">
        <v>347</v>
      </c>
      <c r="C50" s="821">
        <f>SUM(C51:C53)</f>
        <v>0</v>
      </c>
      <c r="D50" s="821">
        <f>SUM(D51:D53)</f>
        <v>0</v>
      </c>
      <c r="E50" s="821">
        <f t="shared" si="4"/>
        <v>0</v>
      </c>
      <c r="F50" s="822" t="s">
        <v>348</v>
      </c>
      <c r="G50" s="821">
        <f>SUM(G51:G53)</f>
        <v>18041236</v>
      </c>
      <c r="H50" s="821">
        <f>SUM(H51:H53)</f>
        <v>0</v>
      </c>
      <c r="I50" s="821">
        <f>SUM(G50:H50)</f>
        <v>18041236</v>
      </c>
    </row>
    <row r="51" spans="1:9" s="69" customFormat="1" ht="13.5">
      <c r="A51" s="86">
        <v>42</v>
      </c>
      <c r="B51" s="68" t="s">
        <v>698</v>
      </c>
      <c r="C51" s="64">
        <v>0</v>
      </c>
      <c r="D51" s="64">
        <v>0</v>
      </c>
      <c r="E51" s="64">
        <f t="shared" si="4"/>
        <v>0</v>
      </c>
      <c r="F51" s="65" t="s">
        <v>700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86">
        <v>43</v>
      </c>
      <c r="B52" s="68" t="s">
        <v>699</v>
      </c>
      <c r="C52" s="64">
        <v>0</v>
      </c>
      <c r="D52" s="64">
        <v>0</v>
      </c>
      <c r="E52" s="64">
        <f>SUM(C52:D52)</f>
        <v>0</v>
      </c>
      <c r="F52" s="65" t="s">
        <v>701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86">
        <v>44</v>
      </c>
      <c r="B53" s="68" t="s">
        <v>692</v>
      </c>
      <c r="C53" s="64">
        <v>0</v>
      </c>
      <c r="D53" s="64">
        <v>0</v>
      </c>
      <c r="E53" s="64">
        <f>SUM(C53:D53)</f>
        <v>0</v>
      </c>
      <c r="F53" s="68" t="s">
        <v>693</v>
      </c>
      <c r="G53" s="64">
        <v>18041236</v>
      </c>
      <c r="H53" s="64">
        <v>0</v>
      </c>
      <c r="I53" s="64">
        <f>SUM(G53:H53)</f>
        <v>18041236</v>
      </c>
    </row>
    <row r="54" spans="1:9" s="62" customFormat="1" ht="15.75">
      <c r="A54" s="86">
        <v>45</v>
      </c>
      <c r="B54" s="61" t="s">
        <v>433</v>
      </c>
      <c r="C54" s="75">
        <f>SUM(C7,C47,C50)</f>
        <v>1401917905</v>
      </c>
      <c r="D54" s="75">
        <f>SUM(D7,D47,D50)</f>
        <v>674182438</v>
      </c>
      <c r="E54" s="75">
        <f t="shared" si="4"/>
        <v>2076100343</v>
      </c>
      <c r="F54" s="61" t="s">
        <v>356</v>
      </c>
      <c r="G54" s="75">
        <f>SUM(G7,G50)</f>
        <v>1418560653</v>
      </c>
      <c r="H54" s="75">
        <f>SUM(H7,H50)</f>
        <v>657539690</v>
      </c>
      <c r="I54" s="75">
        <f>SUM(G54:H54)</f>
        <v>2076100343</v>
      </c>
    </row>
    <row r="61" ht="15">
      <c r="B61" s="49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D64"/>
  <sheetViews>
    <sheetView zoomScale="95" zoomScaleNormal="95" zoomScalePageLayoutView="0" workbookViewId="0" topLeftCell="C1">
      <pane ySplit="7" topLeftCell="A8" activePane="bottomLeft" state="frozen"/>
      <selection pane="topLeft" activeCell="A1" sqref="A1"/>
      <selection pane="bottomLeft" activeCell="E2" sqref="E2:AA2"/>
    </sheetView>
  </sheetViews>
  <sheetFormatPr defaultColWidth="8.875" defaultRowHeight="12.75"/>
  <cols>
    <col min="1" max="1" width="1.37890625" style="478" hidden="1" customWidth="1"/>
    <col min="2" max="2" width="8.00390625" style="479" hidden="1" customWidth="1"/>
    <col min="3" max="3" width="8.00390625" style="479" customWidth="1"/>
    <col min="4" max="4" width="6.25390625" style="480" customWidth="1"/>
    <col min="5" max="5" width="30.375" style="478" customWidth="1"/>
    <col min="6" max="6" width="9.25390625" style="481" hidden="1" customWidth="1"/>
    <col min="7" max="7" width="11.375" style="478" bestFit="1" customWidth="1"/>
    <col min="8" max="8" width="11.125" style="478" customWidth="1"/>
    <col min="9" max="9" width="11.375" style="478" customWidth="1"/>
    <col min="10" max="11" width="10.25390625" style="478" customWidth="1"/>
    <col min="12" max="14" width="11.625" style="478" customWidth="1"/>
    <col min="15" max="15" width="9.875" style="478" customWidth="1"/>
    <col min="16" max="16" width="9.25390625" style="478" bestFit="1" customWidth="1"/>
    <col min="17" max="17" width="10.375" style="478" bestFit="1" customWidth="1"/>
    <col min="18" max="18" width="9.25390625" style="478" bestFit="1" customWidth="1"/>
    <col min="19" max="19" width="9.25390625" style="478" customWidth="1"/>
    <col min="20" max="20" width="10.00390625" style="478" customWidth="1"/>
    <col min="21" max="22" width="10.375" style="478" bestFit="1" customWidth="1"/>
    <col min="23" max="24" width="11.375" style="478" bestFit="1" customWidth="1"/>
    <col min="25" max="25" width="11.125" style="478" customWidth="1"/>
    <col min="26" max="26" width="10.625" style="478" customWidth="1"/>
    <col min="27" max="27" width="15.75390625" style="535" bestFit="1" customWidth="1"/>
    <col min="28" max="28" width="14.375" style="478" customWidth="1"/>
    <col min="29" max="29" width="9.875" style="478" bestFit="1" customWidth="1"/>
    <col min="30" max="16384" width="8.875" style="478" customWidth="1"/>
  </cols>
  <sheetData>
    <row r="1" spans="3:27" ht="15">
      <c r="C1" s="1006"/>
      <c r="O1" s="146"/>
      <c r="P1" s="146"/>
      <c r="Q1" s="146"/>
      <c r="R1" s="146"/>
      <c r="S1" s="146"/>
      <c r="T1" s="146"/>
      <c r="U1" s="146"/>
      <c r="V1" s="1007" t="s">
        <v>1162</v>
      </c>
      <c r="W1" s="1008"/>
      <c r="X1" s="1008"/>
      <c r="Y1" s="1008"/>
      <c r="Z1" s="1008"/>
      <c r="AA1" s="1008"/>
    </row>
    <row r="2" spans="1:27" ht="15.75">
      <c r="A2" s="482"/>
      <c r="B2" s="483"/>
      <c r="C2" s="1006"/>
      <c r="D2" s="483"/>
      <c r="E2" s="1009" t="s">
        <v>776</v>
      </c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</row>
    <row r="3" ht="12.75" thickBot="1">
      <c r="AA3" s="484"/>
    </row>
    <row r="4" spans="2:27" s="485" customFormat="1" ht="12.75" customHeight="1">
      <c r="B4" s="486"/>
      <c r="C4" s="486"/>
      <c r="D4" s="1010" t="s">
        <v>426</v>
      </c>
      <c r="E4" s="1013" t="s">
        <v>357</v>
      </c>
      <c r="F4" s="992" t="s">
        <v>364</v>
      </c>
      <c r="G4" s="998" t="s">
        <v>365</v>
      </c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1000"/>
      <c r="AA4" s="1001" t="s">
        <v>366</v>
      </c>
    </row>
    <row r="5" spans="2:27" s="487" customFormat="1" ht="12" customHeight="1">
      <c r="B5" s="488"/>
      <c r="C5" s="488"/>
      <c r="D5" s="1011"/>
      <c r="E5" s="1014"/>
      <c r="F5" s="993"/>
      <c r="G5" s="489" t="s">
        <v>1</v>
      </c>
      <c r="H5" s="489" t="s">
        <v>3</v>
      </c>
      <c r="I5" s="489" t="s">
        <v>5</v>
      </c>
      <c r="J5" s="489" t="s">
        <v>8</v>
      </c>
      <c r="K5" s="995" t="s">
        <v>646</v>
      </c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7"/>
      <c r="W5" s="491" t="s">
        <v>129</v>
      </c>
      <c r="X5" s="491" t="s">
        <v>131</v>
      </c>
      <c r="Y5" s="489" t="s">
        <v>133</v>
      </c>
      <c r="Z5" s="489" t="s">
        <v>135</v>
      </c>
      <c r="AA5" s="1002"/>
    </row>
    <row r="6" spans="2:27" s="487" customFormat="1" ht="63.75" customHeight="1">
      <c r="B6" s="488"/>
      <c r="C6" s="488"/>
      <c r="D6" s="1011"/>
      <c r="E6" s="1015"/>
      <c r="F6" s="994"/>
      <c r="G6" s="492" t="s">
        <v>355</v>
      </c>
      <c r="H6" s="492" t="s">
        <v>637</v>
      </c>
      <c r="I6" s="492" t="s">
        <v>359</v>
      </c>
      <c r="J6" s="492" t="s">
        <v>9</v>
      </c>
      <c r="K6" s="492" t="s">
        <v>152</v>
      </c>
      <c r="L6" s="492" t="s">
        <v>996</v>
      </c>
      <c r="M6" s="492" t="s">
        <v>128</v>
      </c>
      <c r="N6" s="492" t="s">
        <v>1129</v>
      </c>
      <c r="O6" s="492" t="s">
        <v>419</v>
      </c>
      <c r="P6" s="492" t="s">
        <v>431</v>
      </c>
      <c r="Q6" s="492" t="s">
        <v>998</v>
      </c>
      <c r="R6" s="492" t="s">
        <v>997</v>
      </c>
      <c r="S6" s="492" t="s">
        <v>456</v>
      </c>
      <c r="T6" s="492" t="s">
        <v>787</v>
      </c>
      <c r="U6" s="492" t="s">
        <v>999</v>
      </c>
      <c r="V6" s="492" t="s">
        <v>785</v>
      </c>
      <c r="W6" s="490" t="s">
        <v>353</v>
      </c>
      <c r="X6" s="490" t="s">
        <v>368</v>
      </c>
      <c r="Y6" s="492" t="s">
        <v>645</v>
      </c>
      <c r="Z6" s="492" t="s">
        <v>134</v>
      </c>
      <c r="AA6" s="1003"/>
    </row>
    <row r="7" spans="2:27" s="493" customFormat="1" ht="12">
      <c r="B7" s="494"/>
      <c r="C7" s="494"/>
      <c r="D7" s="1012"/>
      <c r="E7" s="495" t="s">
        <v>420</v>
      </c>
      <c r="F7" s="496" t="s">
        <v>421</v>
      </c>
      <c r="G7" s="497" t="s">
        <v>421</v>
      </c>
      <c r="H7" s="497" t="s">
        <v>422</v>
      </c>
      <c r="I7" s="498" t="s">
        <v>423</v>
      </c>
      <c r="J7" s="495" t="s">
        <v>424</v>
      </c>
      <c r="K7" s="495" t="s">
        <v>425</v>
      </c>
      <c r="L7" s="498" t="s">
        <v>427</v>
      </c>
      <c r="M7" s="498" t="s">
        <v>427</v>
      </c>
      <c r="N7" s="498"/>
      <c r="O7" s="498" t="s">
        <v>428</v>
      </c>
      <c r="P7" s="498" t="s">
        <v>381</v>
      </c>
      <c r="Q7" s="498"/>
      <c r="R7" s="498"/>
      <c r="S7" s="498" t="s">
        <v>382</v>
      </c>
      <c r="T7" s="497" t="s">
        <v>383</v>
      </c>
      <c r="U7" s="497" t="s">
        <v>384</v>
      </c>
      <c r="V7" s="497" t="s">
        <v>384</v>
      </c>
      <c r="W7" s="498" t="s">
        <v>385</v>
      </c>
      <c r="X7" s="498" t="s">
        <v>386</v>
      </c>
      <c r="Y7" s="499" t="s">
        <v>387</v>
      </c>
      <c r="Z7" s="500" t="s">
        <v>388</v>
      </c>
      <c r="AA7" s="501" t="s">
        <v>942</v>
      </c>
    </row>
    <row r="8" spans="1:27" s="509" customFormat="1" ht="24">
      <c r="A8" s="478"/>
      <c r="B8" s="479"/>
      <c r="C8" s="479" t="s">
        <v>60</v>
      </c>
      <c r="D8" s="502" t="s">
        <v>389</v>
      </c>
      <c r="E8" s="503" t="s">
        <v>61</v>
      </c>
      <c r="F8" s="504"/>
      <c r="G8" s="505">
        <f>29033148+30800</f>
        <v>29063948</v>
      </c>
      <c r="H8" s="505">
        <f>7533426+6006+1492000</f>
        <v>9031432</v>
      </c>
      <c r="I8" s="506">
        <f>14127980+63500+190500+243600</f>
        <v>14625580</v>
      </c>
      <c r="J8" s="506">
        <v>0</v>
      </c>
      <c r="K8" s="506">
        <v>0</v>
      </c>
      <c r="L8" s="506">
        <f>1055350</f>
        <v>1055350</v>
      </c>
      <c r="M8" s="506">
        <f>1031200+100000</f>
        <v>1131200</v>
      </c>
      <c r="N8" s="506">
        <v>1032600</v>
      </c>
      <c r="O8" s="506">
        <v>0</v>
      </c>
      <c r="P8" s="506">
        <v>0</v>
      </c>
      <c r="Q8" s="506"/>
      <c r="R8" s="506"/>
      <c r="S8" s="506">
        <v>0</v>
      </c>
      <c r="T8" s="506">
        <v>0</v>
      </c>
      <c r="U8" s="506">
        <v>0</v>
      </c>
      <c r="V8" s="506">
        <v>0</v>
      </c>
      <c r="W8" s="505">
        <f>0+2316859-243600</f>
        <v>2073259</v>
      </c>
      <c r="X8" s="506">
        <v>0</v>
      </c>
      <c r="Y8" s="507">
        <v>0</v>
      </c>
      <c r="Z8" s="506">
        <v>0</v>
      </c>
      <c r="AA8" s="508">
        <f aca="true" t="shared" si="0" ref="AA8:AA58">SUM(G8:Z8)</f>
        <v>58013369</v>
      </c>
    </row>
    <row r="9" spans="1:27" s="509" customFormat="1" ht="24">
      <c r="A9" s="478"/>
      <c r="B9" s="479" t="s">
        <v>52</v>
      </c>
      <c r="C9" s="479" t="s">
        <v>55</v>
      </c>
      <c r="D9" s="510" t="s">
        <v>390</v>
      </c>
      <c r="E9" s="511" t="s">
        <v>56</v>
      </c>
      <c r="F9" s="512"/>
      <c r="G9" s="513">
        <v>0</v>
      </c>
      <c r="H9" s="513">
        <v>0</v>
      </c>
      <c r="I9" s="507">
        <f>26820278+68000+7679730+1417</f>
        <v>34569425</v>
      </c>
      <c r="J9" s="507">
        <v>0</v>
      </c>
      <c r="K9" s="507">
        <v>0</v>
      </c>
      <c r="L9" s="507">
        <v>0</v>
      </c>
      <c r="M9" s="507">
        <f>38436000+7100000</f>
        <v>45536000</v>
      </c>
      <c r="N9" s="507">
        <v>0</v>
      </c>
      <c r="O9" s="507">
        <v>0</v>
      </c>
      <c r="P9" s="507">
        <v>0</v>
      </c>
      <c r="Q9" s="507"/>
      <c r="R9" s="507"/>
      <c r="S9" s="507">
        <v>0</v>
      </c>
      <c r="T9" s="507">
        <v>0</v>
      </c>
      <c r="U9" s="507">
        <v>0</v>
      </c>
      <c r="V9" s="507">
        <v>0</v>
      </c>
      <c r="W9" s="513">
        <v>0</v>
      </c>
      <c r="X9" s="507">
        <f>2500000+3000000+5000000</f>
        <v>10500000</v>
      </c>
      <c r="Y9" s="507">
        <v>1609020</v>
      </c>
      <c r="Z9" s="507">
        <v>0</v>
      </c>
      <c r="AA9" s="508">
        <f t="shared" si="0"/>
        <v>92214445</v>
      </c>
    </row>
    <row r="10" spans="1:27" s="509" customFormat="1" ht="36">
      <c r="A10" s="478"/>
      <c r="B10" s="479" t="s">
        <v>53</v>
      </c>
      <c r="C10" s="479" t="s">
        <v>57</v>
      </c>
      <c r="D10" s="510" t="s">
        <v>391</v>
      </c>
      <c r="E10" s="511" t="s">
        <v>539</v>
      </c>
      <c r="F10" s="512"/>
      <c r="G10" s="513">
        <v>2158500</v>
      </c>
      <c r="H10" s="513">
        <v>424933</v>
      </c>
      <c r="I10" s="507">
        <f>55480</f>
        <v>55480</v>
      </c>
      <c r="J10" s="507">
        <v>0</v>
      </c>
      <c r="K10" s="507">
        <v>0</v>
      </c>
      <c r="L10" s="507">
        <v>0</v>
      </c>
      <c r="M10" s="507">
        <f>4592665</f>
        <v>4592665</v>
      </c>
      <c r="N10" s="507">
        <v>0</v>
      </c>
      <c r="O10" s="507">
        <v>0</v>
      </c>
      <c r="P10" s="507">
        <v>0</v>
      </c>
      <c r="Q10" s="507"/>
      <c r="R10" s="507"/>
      <c r="S10" s="507">
        <v>0</v>
      </c>
      <c r="T10" s="507">
        <v>0</v>
      </c>
      <c r="U10" s="507">
        <v>0</v>
      </c>
      <c r="V10" s="507">
        <v>0</v>
      </c>
      <c r="W10" s="513">
        <v>0</v>
      </c>
      <c r="X10" s="507">
        <v>0</v>
      </c>
      <c r="Y10" s="507">
        <v>0</v>
      </c>
      <c r="Z10" s="507">
        <v>0</v>
      </c>
      <c r="AA10" s="508">
        <f t="shared" si="0"/>
        <v>7231578</v>
      </c>
    </row>
    <row r="11" spans="1:27" s="509" customFormat="1" ht="24">
      <c r="A11" s="478"/>
      <c r="B11" s="479" t="s">
        <v>54</v>
      </c>
      <c r="C11" s="479" t="s">
        <v>62</v>
      </c>
      <c r="D11" s="510" t="s">
        <v>392</v>
      </c>
      <c r="E11" s="511" t="s">
        <v>373</v>
      </c>
      <c r="F11" s="512"/>
      <c r="G11" s="513">
        <f>514000+420000</f>
        <v>934000</v>
      </c>
      <c r="H11" s="513">
        <f>489933+80000</f>
        <v>569933</v>
      </c>
      <c r="I11" s="507">
        <f>6220254-5500000+1100000+1350000</f>
        <v>3170254</v>
      </c>
      <c r="J11" s="507">
        <v>0</v>
      </c>
      <c r="K11" s="507">
        <v>0</v>
      </c>
      <c r="L11" s="507">
        <v>0</v>
      </c>
      <c r="M11" s="507">
        <v>0</v>
      </c>
      <c r="N11" s="507">
        <v>0</v>
      </c>
      <c r="O11" s="507">
        <v>0</v>
      </c>
      <c r="P11" s="507">
        <v>0</v>
      </c>
      <c r="Q11" s="507"/>
      <c r="R11" s="507"/>
      <c r="S11" s="507">
        <v>0</v>
      </c>
      <c r="T11" s="507">
        <v>0</v>
      </c>
      <c r="U11" s="507">
        <v>0</v>
      </c>
      <c r="V11" s="507">
        <v>0</v>
      </c>
      <c r="W11" s="513">
        <v>0</v>
      </c>
      <c r="X11" s="507">
        <v>0</v>
      </c>
      <c r="Y11" s="507">
        <v>0</v>
      </c>
      <c r="Z11" s="507">
        <v>0</v>
      </c>
      <c r="AA11" s="508">
        <f t="shared" si="0"/>
        <v>4674187</v>
      </c>
    </row>
    <row r="12" spans="1:27" s="509" customFormat="1" ht="23.25" customHeight="1">
      <c r="A12" s="478"/>
      <c r="B12" s="479"/>
      <c r="C12" s="479" t="s">
        <v>868</v>
      </c>
      <c r="D12" s="510" t="s">
        <v>393</v>
      </c>
      <c r="E12" s="511" t="s">
        <v>777</v>
      </c>
      <c r="F12" s="512"/>
      <c r="G12" s="513">
        <v>0</v>
      </c>
      <c r="H12" s="513">
        <v>0</v>
      </c>
      <c r="I12" s="513">
        <v>0</v>
      </c>
      <c r="J12" s="513">
        <v>0</v>
      </c>
      <c r="K12" s="513">
        <f>34037935+66110+32640+20906574</f>
        <v>55043259</v>
      </c>
      <c r="L12" s="513">
        <v>0</v>
      </c>
      <c r="M12" s="513">
        <v>0</v>
      </c>
      <c r="N12" s="513">
        <v>0</v>
      </c>
      <c r="O12" s="513">
        <v>0</v>
      </c>
      <c r="P12" s="513">
        <v>0</v>
      </c>
      <c r="Q12" s="513"/>
      <c r="R12" s="513"/>
      <c r="S12" s="513">
        <v>0</v>
      </c>
      <c r="T12" s="513">
        <v>0</v>
      </c>
      <c r="U12" s="513">
        <v>0</v>
      </c>
      <c r="V12" s="513">
        <v>0</v>
      </c>
      <c r="W12" s="513">
        <v>0</v>
      </c>
      <c r="X12" s="507">
        <v>0</v>
      </c>
      <c r="Y12" s="507">
        <v>0</v>
      </c>
      <c r="Z12" s="507">
        <v>0</v>
      </c>
      <c r="AA12" s="508">
        <f t="shared" si="0"/>
        <v>55043259</v>
      </c>
    </row>
    <row r="13" spans="1:27" s="509" customFormat="1" ht="23.25" customHeight="1">
      <c r="A13" s="478"/>
      <c r="B13" s="479"/>
      <c r="C13" s="479" t="s">
        <v>633</v>
      </c>
      <c r="D13" s="510" t="s">
        <v>394</v>
      </c>
      <c r="E13" s="511" t="s">
        <v>634</v>
      </c>
      <c r="F13" s="512"/>
      <c r="G13" s="513">
        <v>0</v>
      </c>
      <c r="H13" s="513">
        <v>0</v>
      </c>
      <c r="I13" s="513">
        <f>1157503+936+141447+1283275-1150000</f>
        <v>1433161</v>
      </c>
      <c r="J13" s="513">
        <v>0</v>
      </c>
      <c r="K13" s="513">
        <v>0</v>
      </c>
      <c r="L13" s="513">
        <v>0</v>
      </c>
      <c r="M13" s="513">
        <v>0</v>
      </c>
      <c r="N13" s="513">
        <v>0</v>
      </c>
      <c r="O13" s="513">
        <v>0</v>
      </c>
      <c r="P13" s="513">
        <v>0</v>
      </c>
      <c r="Q13" s="513"/>
      <c r="R13" s="513"/>
      <c r="S13" s="513">
        <v>0</v>
      </c>
      <c r="T13" s="513">
        <v>0</v>
      </c>
      <c r="U13" s="513">
        <v>0</v>
      </c>
      <c r="V13" s="513">
        <v>0</v>
      </c>
      <c r="W13" s="513">
        <v>0</v>
      </c>
      <c r="X13" s="507">
        <v>0</v>
      </c>
      <c r="Y13" s="507">
        <v>0</v>
      </c>
      <c r="Z13" s="507">
        <v>18041236</v>
      </c>
      <c r="AA13" s="508">
        <f t="shared" si="0"/>
        <v>19474397</v>
      </c>
    </row>
    <row r="14" spans="1:27" s="509" customFormat="1" ht="24">
      <c r="A14" s="478">
        <v>20215</v>
      </c>
      <c r="B14" s="479" t="s">
        <v>55</v>
      </c>
      <c r="C14" s="479" t="s">
        <v>65</v>
      </c>
      <c r="D14" s="510" t="s">
        <v>395</v>
      </c>
      <c r="E14" s="511" t="s">
        <v>66</v>
      </c>
      <c r="F14" s="512"/>
      <c r="G14" s="513">
        <f>34895474+2200</f>
        <v>34897674</v>
      </c>
      <c r="H14" s="513">
        <f>6862023+429</f>
        <v>6862452</v>
      </c>
      <c r="I14" s="507">
        <f>8729294-120000-73660</f>
        <v>8535634</v>
      </c>
      <c r="J14" s="507">
        <v>0</v>
      </c>
      <c r="K14" s="507">
        <v>0</v>
      </c>
      <c r="L14" s="507">
        <v>0</v>
      </c>
      <c r="M14" s="507">
        <v>0</v>
      </c>
      <c r="N14" s="507">
        <v>0</v>
      </c>
      <c r="O14" s="507">
        <v>0</v>
      </c>
      <c r="P14" s="507">
        <v>0</v>
      </c>
      <c r="Q14" s="507"/>
      <c r="R14" s="507"/>
      <c r="S14" s="507">
        <v>0</v>
      </c>
      <c r="T14" s="507">
        <v>0</v>
      </c>
      <c r="U14" s="507">
        <v>0</v>
      </c>
      <c r="V14" s="507">
        <v>0</v>
      </c>
      <c r="W14" s="513">
        <f>120000+73660</f>
        <v>193660</v>
      </c>
      <c r="X14" s="507">
        <v>508000</v>
      </c>
      <c r="Y14" s="507">
        <v>0</v>
      </c>
      <c r="Z14" s="507">
        <v>0</v>
      </c>
      <c r="AA14" s="508">
        <f t="shared" si="0"/>
        <v>50997420</v>
      </c>
    </row>
    <row r="15" spans="1:27" s="509" customFormat="1" ht="36">
      <c r="A15" s="478"/>
      <c r="B15" s="479"/>
      <c r="C15" s="479"/>
      <c r="D15" s="1004" t="s">
        <v>901</v>
      </c>
      <c r="E15" s="511" t="s">
        <v>902</v>
      </c>
      <c r="F15" s="512"/>
      <c r="G15" s="513">
        <v>0</v>
      </c>
      <c r="H15" s="513">
        <v>0</v>
      </c>
      <c r="I15" s="513">
        <v>0</v>
      </c>
      <c r="J15" s="513">
        <v>0</v>
      </c>
      <c r="K15" s="513">
        <v>0</v>
      </c>
      <c r="L15" s="513">
        <v>0</v>
      </c>
      <c r="M15" s="513">
        <v>0</v>
      </c>
      <c r="N15" s="513">
        <v>0</v>
      </c>
      <c r="O15" s="513">
        <v>0</v>
      </c>
      <c r="P15" s="513">
        <v>0</v>
      </c>
      <c r="Q15" s="513"/>
      <c r="R15" s="513"/>
      <c r="S15" s="513">
        <v>0</v>
      </c>
      <c r="T15" s="513">
        <v>0</v>
      </c>
      <c r="U15" s="513">
        <v>0</v>
      </c>
      <c r="V15" s="513">
        <v>0</v>
      </c>
      <c r="W15" s="513">
        <v>242642019</v>
      </c>
      <c r="X15" s="507">
        <v>0</v>
      </c>
      <c r="Y15" s="513">
        <v>0</v>
      </c>
      <c r="Z15" s="507">
        <v>0</v>
      </c>
      <c r="AA15" s="508">
        <f t="shared" si="0"/>
        <v>242642019</v>
      </c>
    </row>
    <row r="16" spans="1:27" s="509" customFormat="1" ht="36">
      <c r="A16" s="478"/>
      <c r="B16" s="479"/>
      <c r="C16" s="479"/>
      <c r="D16" s="1004"/>
      <c r="E16" s="511" t="s">
        <v>903</v>
      </c>
      <c r="F16" s="512"/>
      <c r="G16" s="513">
        <v>0</v>
      </c>
      <c r="H16" s="513">
        <v>0</v>
      </c>
      <c r="I16" s="513">
        <v>0</v>
      </c>
      <c r="J16" s="513"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>
        <v>0</v>
      </c>
      <c r="Q16" s="513"/>
      <c r="R16" s="513"/>
      <c r="S16" s="513">
        <v>0</v>
      </c>
      <c r="T16" s="513">
        <v>0</v>
      </c>
      <c r="U16" s="513">
        <v>0</v>
      </c>
      <c r="V16" s="513">
        <v>0</v>
      </c>
      <c r="W16" s="513">
        <v>3832400</v>
      </c>
      <c r="X16" s="507">
        <v>0</v>
      </c>
      <c r="Y16" s="513">
        <v>0</v>
      </c>
      <c r="Z16" s="507">
        <v>0</v>
      </c>
      <c r="AA16" s="508">
        <f t="shared" si="0"/>
        <v>3832400</v>
      </c>
    </row>
    <row r="17" spans="1:27" s="509" customFormat="1" ht="36">
      <c r="A17" s="478"/>
      <c r="B17" s="479"/>
      <c r="C17" s="479" t="s">
        <v>788</v>
      </c>
      <c r="D17" s="1004"/>
      <c r="E17" s="511" t="s">
        <v>904</v>
      </c>
      <c r="F17" s="512"/>
      <c r="G17" s="513">
        <v>0</v>
      </c>
      <c r="H17" s="513">
        <v>0</v>
      </c>
      <c r="I17" s="513">
        <v>0</v>
      </c>
      <c r="J17" s="513">
        <v>0</v>
      </c>
      <c r="K17" s="513">
        <v>0</v>
      </c>
      <c r="L17" s="513">
        <v>0</v>
      </c>
      <c r="M17" s="513">
        <v>0</v>
      </c>
      <c r="N17" s="513">
        <v>0</v>
      </c>
      <c r="O17" s="513">
        <v>0</v>
      </c>
      <c r="P17" s="513">
        <v>0</v>
      </c>
      <c r="Q17" s="513"/>
      <c r="R17" s="513"/>
      <c r="S17" s="513">
        <v>0</v>
      </c>
      <c r="T17" s="513">
        <v>0</v>
      </c>
      <c r="U17" s="513">
        <v>0</v>
      </c>
      <c r="V17" s="513">
        <v>0</v>
      </c>
      <c r="W17" s="513">
        <v>17861888</v>
      </c>
      <c r="X17" s="507">
        <v>0</v>
      </c>
      <c r="Y17" s="513">
        <v>0</v>
      </c>
      <c r="Z17" s="507">
        <v>0</v>
      </c>
      <c r="AA17" s="508">
        <f t="shared" si="0"/>
        <v>17861888</v>
      </c>
    </row>
    <row r="18" spans="1:27" s="509" customFormat="1" ht="24">
      <c r="A18" s="478"/>
      <c r="B18" s="479"/>
      <c r="C18" s="479" t="s">
        <v>789</v>
      </c>
      <c r="D18" s="510" t="s">
        <v>397</v>
      </c>
      <c r="E18" s="511" t="s">
        <v>780</v>
      </c>
      <c r="F18" s="512"/>
      <c r="G18" s="513">
        <f>10871880+28103985</f>
        <v>38975865</v>
      </c>
      <c r="H18" s="513">
        <f>1105308+2740077</f>
        <v>3845385</v>
      </c>
      <c r="I18" s="513">
        <f>8057715+246024</f>
        <v>8303739</v>
      </c>
      <c r="J18" s="513">
        <v>0</v>
      </c>
      <c r="K18" s="513">
        <v>0</v>
      </c>
      <c r="L18" s="513">
        <v>0</v>
      </c>
      <c r="M18" s="513">
        <v>0</v>
      </c>
      <c r="N18" s="513">
        <v>0</v>
      </c>
      <c r="O18" s="513">
        <v>0</v>
      </c>
      <c r="P18" s="513">
        <v>0</v>
      </c>
      <c r="Q18" s="513"/>
      <c r="R18" s="513"/>
      <c r="S18" s="513">
        <v>0</v>
      </c>
      <c r="T18" s="513">
        <v>0</v>
      </c>
      <c r="U18" s="513">
        <v>0</v>
      </c>
      <c r="V18" s="513">
        <v>0</v>
      </c>
      <c r="W18" s="513">
        <f>1846997</f>
        <v>1846997</v>
      </c>
      <c r="X18" s="507">
        <v>0</v>
      </c>
      <c r="Y18" s="513">
        <v>0</v>
      </c>
      <c r="Z18" s="507">
        <v>0</v>
      </c>
      <c r="AA18" s="508">
        <f t="shared" si="0"/>
        <v>52971986</v>
      </c>
    </row>
    <row r="19" spans="1:27" s="509" customFormat="1" ht="24">
      <c r="A19" s="478"/>
      <c r="B19" s="479"/>
      <c r="C19" s="479" t="s">
        <v>790</v>
      </c>
      <c r="D19" s="510" t="s">
        <v>398</v>
      </c>
      <c r="E19" s="511" t="s">
        <v>781</v>
      </c>
      <c r="F19" s="512"/>
      <c r="G19" s="513">
        <f>21446460+40610080+9375932</f>
        <v>71432472</v>
      </c>
      <c r="H19" s="513">
        <f>2180390+3959404+914153</f>
        <v>7053947</v>
      </c>
      <c r="I19" s="513">
        <f>2045415+426539+823080</f>
        <v>3295034</v>
      </c>
      <c r="J19" s="513">
        <v>0</v>
      </c>
      <c r="K19" s="513">
        <v>0</v>
      </c>
      <c r="L19" s="513">
        <v>0</v>
      </c>
      <c r="M19" s="513">
        <v>0</v>
      </c>
      <c r="N19" s="513">
        <v>0</v>
      </c>
      <c r="O19" s="513">
        <v>0</v>
      </c>
      <c r="P19" s="513">
        <v>0</v>
      </c>
      <c r="Q19" s="513"/>
      <c r="R19" s="513"/>
      <c r="S19" s="513">
        <v>0</v>
      </c>
      <c r="T19" s="513">
        <v>0</v>
      </c>
      <c r="U19" s="513">
        <v>0</v>
      </c>
      <c r="V19" s="513">
        <v>0</v>
      </c>
      <c r="W19" s="513">
        <f>299888</f>
        <v>299888</v>
      </c>
      <c r="X19" s="507">
        <v>0</v>
      </c>
      <c r="Y19" s="513">
        <v>0</v>
      </c>
      <c r="Z19" s="507">
        <v>0</v>
      </c>
      <c r="AA19" s="508">
        <f t="shared" si="0"/>
        <v>82081341</v>
      </c>
    </row>
    <row r="20" spans="1:27" s="509" customFormat="1" ht="22.5" customHeight="1">
      <c r="A20" s="478"/>
      <c r="B20" s="479"/>
      <c r="C20" s="479" t="s">
        <v>636</v>
      </c>
      <c r="D20" s="510" t="s">
        <v>399</v>
      </c>
      <c r="E20" s="511" t="s">
        <v>635</v>
      </c>
      <c r="F20" s="512"/>
      <c r="G20" s="513">
        <v>0</v>
      </c>
      <c r="H20" s="513">
        <v>0</v>
      </c>
      <c r="I20" s="513">
        <v>0</v>
      </c>
      <c r="J20" s="513">
        <v>0</v>
      </c>
      <c r="K20" s="513">
        <v>0</v>
      </c>
      <c r="L20" s="513">
        <v>0</v>
      </c>
      <c r="M20" s="513">
        <v>0</v>
      </c>
      <c r="N20" s="513">
        <v>0</v>
      </c>
      <c r="O20" s="513">
        <v>0</v>
      </c>
      <c r="P20" s="513">
        <v>0</v>
      </c>
      <c r="Q20" s="513"/>
      <c r="R20" s="513"/>
      <c r="S20" s="513">
        <v>0</v>
      </c>
      <c r="T20" s="513">
        <v>0</v>
      </c>
      <c r="U20" s="513">
        <v>0</v>
      </c>
      <c r="V20" s="513">
        <v>0</v>
      </c>
      <c r="W20" s="513">
        <v>12223750</v>
      </c>
      <c r="X20" s="507">
        <v>0</v>
      </c>
      <c r="Y20" s="513">
        <v>0</v>
      </c>
      <c r="Z20" s="507">
        <v>0</v>
      </c>
      <c r="AA20" s="508">
        <f t="shared" si="0"/>
        <v>12223750</v>
      </c>
    </row>
    <row r="21" spans="2:27" ht="24">
      <c r="B21" s="479" t="s">
        <v>60</v>
      </c>
      <c r="C21" s="479" t="s">
        <v>53</v>
      </c>
      <c r="D21" s="510" t="s">
        <v>400</v>
      </c>
      <c r="E21" s="511" t="s">
        <v>540</v>
      </c>
      <c r="F21" s="512"/>
      <c r="G21" s="513">
        <v>0</v>
      </c>
      <c r="H21" s="513">
        <v>0</v>
      </c>
      <c r="I21" s="507">
        <v>14850000</v>
      </c>
      <c r="J21" s="507">
        <v>0</v>
      </c>
      <c r="K21" s="507">
        <v>0</v>
      </c>
      <c r="L21" s="507">
        <v>0</v>
      </c>
      <c r="M21" s="507">
        <v>868</v>
      </c>
      <c r="N21" s="507">
        <v>0</v>
      </c>
      <c r="O21" s="507">
        <v>0</v>
      </c>
      <c r="P21" s="507">
        <v>0</v>
      </c>
      <c r="Q21" s="507"/>
      <c r="R21" s="507"/>
      <c r="S21" s="507">
        <v>0</v>
      </c>
      <c r="T21" s="507">
        <v>0</v>
      </c>
      <c r="U21" s="507">
        <v>0</v>
      </c>
      <c r="V21" s="507">
        <v>0</v>
      </c>
      <c r="W21" s="507">
        <f>525300+30000</f>
        <v>555300</v>
      </c>
      <c r="X21" s="507">
        <v>17634204</v>
      </c>
      <c r="Y21" s="507">
        <v>0</v>
      </c>
      <c r="Z21" s="507">
        <v>0</v>
      </c>
      <c r="AA21" s="508">
        <f t="shared" si="0"/>
        <v>33040372</v>
      </c>
    </row>
    <row r="22" spans="2:27" ht="24">
      <c r="B22" s="479" t="s">
        <v>62</v>
      </c>
      <c r="C22" s="479" t="s">
        <v>67</v>
      </c>
      <c r="D22" s="510" t="s">
        <v>401</v>
      </c>
      <c r="E22" s="511" t="s">
        <v>68</v>
      </c>
      <c r="F22" s="512"/>
      <c r="G22" s="513">
        <v>0</v>
      </c>
      <c r="H22" s="513">
        <v>0</v>
      </c>
      <c r="I22" s="507">
        <v>1270000</v>
      </c>
      <c r="J22" s="507">
        <v>0</v>
      </c>
      <c r="K22" s="507">
        <v>0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/>
      <c r="R22" s="507"/>
      <c r="S22" s="507">
        <v>0</v>
      </c>
      <c r="T22" s="507">
        <v>0</v>
      </c>
      <c r="U22" s="507">
        <v>0</v>
      </c>
      <c r="V22" s="507">
        <v>0</v>
      </c>
      <c r="W22" s="507">
        <f>8644085+106200000</f>
        <v>114844085</v>
      </c>
      <c r="X22" s="507">
        <v>0</v>
      </c>
      <c r="Y22" s="507">
        <v>0</v>
      </c>
      <c r="Z22" s="507">
        <v>0</v>
      </c>
      <c r="AA22" s="508">
        <f t="shared" si="0"/>
        <v>116114085</v>
      </c>
    </row>
    <row r="23" spans="1:27" ht="16.5" customHeight="1">
      <c r="A23" s="478">
        <v>751791</v>
      </c>
      <c r="B23" s="479" t="s">
        <v>63</v>
      </c>
      <c r="C23" s="479" t="s">
        <v>1000</v>
      </c>
      <c r="D23" s="510" t="s">
        <v>402</v>
      </c>
      <c r="E23" s="511" t="s">
        <v>1001</v>
      </c>
      <c r="F23" s="514"/>
      <c r="G23" s="507">
        <v>0</v>
      </c>
      <c r="H23" s="513">
        <v>0</v>
      </c>
      <c r="I23" s="507">
        <v>0</v>
      </c>
      <c r="J23" s="507">
        <v>0</v>
      </c>
      <c r="K23" s="507">
        <v>0</v>
      </c>
      <c r="L23" s="507">
        <v>0</v>
      </c>
      <c r="M23" s="507">
        <v>7265000</v>
      </c>
      <c r="N23" s="507">
        <v>0</v>
      </c>
      <c r="O23" s="507">
        <v>0</v>
      </c>
      <c r="P23" s="507">
        <v>0</v>
      </c>
      <c r="Q23" s="507"/>
      <c r="R23" s="507"/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8">
        <f>SUM(G23:Z23)</f>
        <v>7265000</v>
      </c>
    </row>
    <row r="24" spans="1:27" ht="24">
      <c r="A24" s="478">
        <v>751791</v>
      </c>
      <c r="B24" s="479" t="s">
        <v>63</v>
      </c>
      <c r="C24" s="479" t="s">
        <v>49</v>
      </c>
      <c r="D24" s="510" t="s">
        <v>403</v>
      </c>
      <c r="E24" s="511" t="s">
        <v>50</v>
      </c>
      <c r="F24" s="514"/>
      <c r="G24" s="507">
        <v>0</v>
      </c>
      <c r="H24" s="513">
        <v>0</v>
      </c>
      <c r="I24" s="507">
        <v>1736016</v>
      </c>
      <c r="J24" s="507">
        <v>0</v>
      </c>
      <c r="K24" s="507">
        <v>0</v>
      </c>
      <c r="L24" s="507">
        <v>0</v>
      </c>
      <c r="M24" s="507">
        <f>300000</f>
        <v>300000</v>
      </c>
      <c r="N24" s="507">
        <v>0</v>
      </c>
      <c r="O24" s="507">
        <v>0</v>
      </c>
      <c r="P24" s="507">
        <v>0</v>
      </c>
      <c r="Q24" s="507"/>
      <c r="R24" s="507"/>
      <c r="S24" s="507">
        <v>0</v>
      </c>
      <c r="T24" s="507">
        <v>0</v>
      </c>
      <c r="U24" s="507">
        <v>0</v>
      </c>
      <c r="V24" s="507">
        <v>0</v>
      </c>
      <c r="W24" s="507">
        <v>0</v>
      </c>
      <c r="X24" s="507">
        <v>0</v>
      </c>
      <c r="Y24" s="507">
        <v>0</v>
      </c>
      <c r="Z24" s="507">
        <v>0</v>
      </c>
      <c r="AA24" s="508">
        <f t="shared" si="0"/>
        <v>2036016</v>
      </c>
    </row>
    <row r="25" spans="1:27" ht="24">
      <c r="A25" s="478">
        <v>751834</v>
      </c>
      <c r="B25" s="479" t="s">
        <v>64</v>
      </c>
      <c r="C25" s="479" t="s">
        <v>51</v>
      </c>
      <c r="D25" s="510" t="s">
        <v>404</v>
      </c>
      <c r="E25" s="511" t="s">
        <v>371</v>
      </c>
      <c r="F25" s="512"/>
      <c r="G25" s="513">
        <v>0</v>
      </c>
      <c r="H25" s="513">
        <v>0</v>
      </c>
      <c r="I25" s="507">
        <f>11239754-848360+3300476</f>
        <v>13691870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/>
      <c r="R25" s="507"/>
      <c r="S25" s="507">
        <v>0</v>
      </c>
      <c r="T25" s="507">
        <v>0</v>
      </c>
      <c r="U25" s="507">
        <v>0</v>
      </c>
      <c r="V25" s="507">
        <v>0</v>
      </c>
      <c r="W25" s="507">
        <v>0</v>
      </c>
      <c r="X25" s="507">
        <v>0</v>
      </c>
      <c r="Y25" s="507">
        <v>0</v>
      </c>
      <c r="Z25" s="507">
        <v>0</v>
      </c>
      <c r="AA25" s="508">
        <f t="shared" si="0"/>
        <v>13691870</v>
      </c>
    </row>
    <row r="26" spans="3:27" ht="24" customHeight="1">
      <c r="C26" s="479" t="s">
        <v>52</v>
      </c>
      <c r="D26" s="510" t="s">
        <v>405</v>
      </c>
      <c r="E26" s="511" t="s">
        <v>995</v>
      </c>
      <c r="F26" s="512"/>
      <c r="G26" s="513">
        <v>0</v>
      </c>
      <c r="H26" s="507">
        <v>0</v>
      </c>
      <c r="I26" s="507">
        <v>15000000</v>
      </c>
      <c r="J26" s="507">
        <v>0</v>
      </c>
      <c r="K26" s="507">
        <v>0</v>
      </c>
      <c r="L26" s="507">
        <v>0</v>
      </c>
      <c r="M26" s="507">
        <v>0</v>
      </c>
      <c r="N26" s="507">
        <v>0</v>
      </c>
      <c r="O26" s="507">
        <v>0</v>
      </c>
      <c r="P26" s="507">
        <v>0</v>
      </c>
      <c r="Q26" s="507"/>
      <c r="R26" s="507"/>
      <c r="S26" s="507">
        <v>0</v>
      </c>
      <c r="T26" s="507">
        <v>0</v>
      </c>
      <c r="U26" s="507">
        <v>0</v>
      </c>
      <c r="V26" s="507">
        <v>0</v>
      </c>
      <c r="W26" s="513">
        <v>0</v>
      </c>
      <c r="X26" s="507">
        <v>0</v>
      </c>
      <c r="Y26" s="507">
        <v>18081467</v>
      </c>
      <c r="Z26" s="507">
        <v>0</v>
      </c>
      <c r="AA26" s="508">
        <f>SUM(G26:Z26)</f>
        <v>33081467</v>
      </c>
    </row>
    <row r="27" spans="3:27" ht="24" customHeight="1">
      <c r="C27" s="479" t="s">
        <v>782</v>
      </c>
      <c r="D27" s="510" t="s">
        <v>406</v>
      </c>
      <c r="E27" s="511" t="s">
        <v>783</v>
      </c>
      <c r="F27" s="512"/>
      <c r="G27" s="513">
        <v>0</v>
      </c>
      <c r="H27" s="507">
        <v>0</v>
      </c>
      <c r="I27" s="507">
        <v>0</v>
      </c>
      <c r="J27" s="507">
        <v>0</v>
      </c>
      <c r="K27" s="507">
        <v>0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/>
      <c r="R27" s="507"/>
      <c r="S27" s="507">
        <v>0</v>
      </c>
      <c r="T27" s="507">
        <v>0</v>
      </c>
      <c r="U27" s="507">
        <v>0</v>
      </c>
      <c r="V27" s="507">
        <v>0</v>
      </c>
      <c r="W27" s="513">
        <v>0</v>
      </c>
      <c r="X27" s="507">
        <v>389000</v>
      </c>
      <c r="Y27" s="507">
        <v>0</v>
      </c>
      <c r="Z27" s="507">
        <v>0</v>
      </c>
      <c r="AA27" s="508">
        <f t="shared" si="0"/>
        <v>389000</v>
      </c>
    </row>
    <row r="28" spans="1:27" ht="24" customHeight="1">
      <c r="A28" s="478">
        <v>751966</v>
      </c>
      <c r="B28" s="479" t="s">
        <v>65</v>
      </c>
      <c r="C28" s="479" t="s">
        <v>63</v>
      </c>
      <c r="D28" s="510" t="s">
        <v>407</v>
      </c>
      <c r="E28" s="511" t="s">
        <v>374</v>
      </c>
      <c r="F28" s="512"/>
      <c r="G28" s="513">
        <v>0</v>
      </c>
      <c r="H28" s="507">
        <v>0</v>
      </c>
      <c r="I28" s="507">
        <v>23139400</v>
      </c>
      <c r="J28" s="507">
        <v>0</v>
      </c>
      <c r="K28" s="507">
        <v>0</v>
      </c>
      <c r="L28" s="507">
        <v>0</v>
      </c>
      <c r="M28" s="507">
        <v>0</v>
      </c>
      <c r="N28" s="507">
        <v>0</v>
      </c>
      <c r="O28" s="507">
        <v>0</v>
      </c>
      <c r="P28" s="507">
        <v>0</v>
      </c>
      <c r="Q28" s="507"/>
      <c r="R28" s="507"/>
      <c r="S28" s="507">
        <v>0</v>
      </c>
      <c r="T28" s="507">
        <v>0</v>
      </c>
      <c r="U28" s="507">
        <v>0</v>
      </c>
      <c r="V28" s="507">
        <v>0</v>
      </c>
      <c r="W28" s="513">
        <v>0</v>
      </c>
      <c r="X28" s="507">
        <v>0</v>
      </c>
      <c r="Y28" s="507">
        <v>0</v>
      </c>
      <c r="Z28" s="507">
        <v>0</v>
      </c>
      <c r="AA28" s="508">
        <f t="shared" si="0"/>
        <v>23139400</v>
      </c>
    </row>
    <row r="29" spans="1:27" ht="24" customHeight="1">
      <c r="A29" s="478">
        <v>751999</v>
      </c>
      <c r="B29" s="479" t="s">
        <v>67</v>
      </c>
      <c r="C29" s="479" t="s">
        <v>59</v>
      </c>
      <c r="D29" s="510" t="s">
        <v>408</v>
      </c>
      <c r="E29" s="511" t="s">
        <v>541</v>
      </c>
      <c r="F29" s="512"/>
      <c r="G29" s="513">
        <v>0</v>
      </c>
      <c r="H29" s="513">
        <v>0</v>
      </c>
      <c r="I29" s="507">
        <f>254000+1100000</f>
        <v>1354000</v>
      </c>
      <c r="J29" s="507">
        <v>0</v>
      </c>
      <c r="K29" s="507">
        <v>0</v>
      </c>
      <c r="L29" s="507">
        <v>0</v>
      </c>
      <c r="M29" s="507">
        <f>25828000-1100000+3692132</f>
        <v>28420132</v>
      </c>
      <c r="N29" s="507">
        <v>0</v>
      </c>
      <c r="O29" s="507">
        <v>0</v>
      </c>
      <c r="P29" s="507">
        <v>0</v>
      </c>
      <c r="Q29" s="507"/>
      <c r="R29" s="507"/>
      <c r="S29" s="507">
        <v>0</v>
      </c>
      <c r="T29" s="507">
        <v>0</v>
      </c>
      <c r="U29" s="507">
        <v>0</v>
      </c>
      <c r="V29" s="507">
        <v>0</v>
      </c>
      <c r="W29" s="513">
        <v>0</v>
      </c>
      <c r="X29" s="507">
        <f>2606050+95000000</f>
        <v>97606050</v>
      </c>
      <c r="Y29" s="507">
        <v>0</v>
      </c>
      <c r="Z29" s="507">
        <v>0</v>
      </c>
      <c r="AA29" s="508">
        <f t="shared" si="0"/>
        <v>127380182</v>
      </c>
    </row>
    <row r="30" spans="2:28" ht="24">
      <c r="B30" s="479" t="s">
        <v>69</v>
      </c>
      <c r="C30" s="479" t="s">
        <v>64</v>
      </c>
      <c r="D30" s="510" t="s">
        <v>409</v>
      </c>
      <c r="E30" s="511" t="s">
        <v>542</v>
      </c>
      <c r="F30" s="512"/>
      <c r="G30" s="513">
        <v>25000</v>
      </c>
      <c r="H30" s="513">
        <v>4388</v>
      </c>
      <c r="I30" s="507">
        <f>19910394+4650000-200000-5715000+90000+146050+550000+500000</f>
        <v>19931444</v>
      </c>
      <c r="J30" s="507">
        <v>0</v>
      </c>
      <c r="K30" s="507">
        <v>0</v>
      </c>
      <c r="L30" s="507">
        <v>0</v>
      </c>
      <c r="M30" s="507">
        <f>17049000-4650000+2800000</f>
        <v>15199000</v>
      </c>
      <c r="N30" s="507">
        <v>0</v>
      </c>
      <c r="O30" s="507">
        <v>0</v>
      </c>
      <c r="P30" s="507">
        <v>0</v>
      </c>
      <c r="Q30" s="507"/>
      <c r="R30" s="507"/>
      <c r="S30" s="507">
        <v>0</v>
      </c>
      <c r="T30" s="507">
        <v>0</v>
      </c>
      <c r="U30" s="507">
        <v>0</v>
      </c>
      <c r="V30" s="507">
        <v>0</v>
      </c>
      <c r="W30" s="513">
        <f>335750+495250</f>
        <v>831000</v>
      </c>
      <c r="X30" s="507">
        <v>0</v>
      </c>
      <c r="Y30" s="507">
        <v>0</v>
      </c>
      <c r="Z30" s="507">
        <v>0</v>
      </c>
      <c r="AA30" s="508">
        <f t="shared" si="0"/>
        <v>35990832</v>
      </c>
      <c r="AB30" s="515"/>
    </row>
    <row r="31" spans="2:28" ht="24" customHeight="1">
      <c r="B31" s="479" t="s">
        <v>70</v>
      </c>
      <c r="C31" s="479" t="s">
        <v>70</v>
      </c>
      <c r="D31" s="1005" t="s">
        <v>1003</v>
      </c>
      <c r="E31" s="511" t="s">
        <v>376</v>
      </c>
      <c r="F31" s="516"/>
      <c r="G31" s="507">
        <v>0</v>
      </c>
      <c r="H31" s="507">
        <v>0</v>
      </c>
      <c r="I31" s="507">
        <v>360000</v>
      </c>
      <c r="J31" s="507">
        <v>0</v>
      </c>
      <c r="K31" s="507">
        <v>0</v>
      </c>
      <c r="L31" s="507">
        <v>0</v>
      </c>
      <c r="M31" s="507">
        <v>0</v>
      </c>
      <c r="N31" s="507">
        <v>0</v>
      </c>
      <c r="O31" s="507">
        <v>0</v>
      </c>
      <c r="P31" s="507">
        <v>0</v>
      </c>
      <c r="Q31" s="507"/>
      <c r="R31" s="507"/>
      <c r="S31" s="507">
        <v>0</v>
      </c>
      <c r="T31" s="507">
        <v>0</v>
      </c>
      <c r="U31" s="507">
        <v>0</v>
      </c>
      <c r="V31" s="507">
        <v>0</v>
      </c>
      <c r="W31" s="507">
        <v>0</v>
      </c>
      <c r="X31" s="507">
        <v>0</v>
      </c>
      <c r="Y31" s="507">
        <v>0</v>
      </c>
      <c r="Z31" s="507">
        <v>0</v>
      </c>
      <c r="AA31" s="508">
        <f t="shared" si="0"/>
        <v>360000</v>
      </c>
      <c r="AB31" s="515"/>
    </row>
    <row r="32" spans="2:29" ht="24" customHeight="1">
      <c r="B32" s="479" t="s">
        <v>71</v>
      </c>
      <c r="C32" s="479" t="s">
        <v>71</v>
      </c>
      <c r="D32" s="1005"/>
      <c r="E32" s="511" t="s">
        <v>377</v>
      </c>
      <c r="F32" s="516"/>
      <c r="G32" s="507">
        <v>2846984</v>
      </c>
      <c r="H32" s="507">
        <v>573827</v>
      </c>
      <c r="I32" s="507">
        <f>18217394+601200-233830</f>
        <v>18584764</v>
      </c>
      <c r="J32" s="507">
        <v>0</v>
      </c>
      <c r="K32" s="507">
        <v>0</v>
      </c>
      <c r="L32" s="507">
        <v>28922</v>
      </c>
      <c r="M32" s="507">
        <v>0</v>
      </c>
      <c r="N32" s="507">
        <v>0</v>
      </c>
      <c r="O32" s="507">
        <v>0</v>
      </c>
      <c r="P32" s="507">
        <v>0</v>
      </c>
      <c r="Q32" s="507"/>
      <c r="R32" s="507"/>
      <c r="S32" s="507">
        <v>0</v>
      </c>
      <c r="T32" s="507">
        <v>0</v>
      </c>
      <c r="U32" s="507">
        <v>0</v>
      </c>
      <c r="V32" s="507">
        <v>0</v>
      </c>
      <c r="W32" s="507">
        <f>76200+233830</f>
        <v>310030</v>
      </c>
      <c r="X32" s="507">
        <v>0</v>
      </c>
      <c r="Y32" s="507">
        <v>0</v>
      </c>
      <c r="Z32" s="507">
        <v>0</v>
      </c>
      <c r="AA32" s="508">
        <f t="shared" si="0"/>
        <v>22344527</v>
      </c>
      <c r="AC32" s="478" t="s">
        <v>748</v>
      </c>
    </row>
    <row r="33" spans="1:29" ht="24" customHeight="1">
      <c r="A33" s="478">
        <v>851286</v>
      </c>
      <c r="B33" s="479" t="s">
        <v>72</v>
      </c>
      <c r="C33" s="479" t="s">
        <v>72</v>
      </c>
      <c r="D33" s="1005"/>
      <c r="E33" s="511" t="s">
        <v>378</v>
      </c>
      <c r="F33" s="516"/>
      <c r="G33" s="507">
        <v>0</v>
      </c>
      <c r="H33" s="507">
        <v>0</v>
      </c>
      <c r="I33" s="507">
        <v>120000</v>
      </c>
      <c r="J33" s="507">
        <v>0</v>
      </c>
      <c r="K33" s="507">
        <v>0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/>
      <c r="R33" s="507"/>
      <c r="S33" s="507">
        <v>0</v>
      </c>
      <c r="T33" s="507">
        <v>0</v>
      </c>
      <c r="U33" s="507">
        <v>0</v>
      </c>
      <c r="V33" s="507">
        <v>0</v>
      </c>
      <c r="W33" s="507">
        <v>0</v>
      </c>
      <c r="X33" s="507">
        <v>0</v>
      </c>
      <c r="Y33" s="507">
        <v>0</v>
      </c>
      <c r="Z33" s="507">
        <v>0</v>
      </c>
      <c r="AA33" s="508">
        <f t="shared" si="0"/>
        <v>120000</v>
      </c>
      <c r="AC33" s="515">
        <f>SUM(AA31:AA34)</f>
        <v>45892718</v>
      </c>
    </row>
    <row r="34" spans="1:27" s="509" customFormat="1" ht="27" customHeight="1">
      <c r="A34" s="478">
        <v>851297</v>
      </c>
      <c r="B34" s="479" t="s">
        <v>73</v>
      </c>
      <c r="C34" s="479" t="s">
        <v>73</v>
      </c>
      <c r="D34" s="1005"/>
      <c r="E34" s="511" t="s">
        <v>430</v>
      </c>
      <c r="F34" s="516"/>
      <c r="G34" s="507">
        <v>16985805</v>
      </c>
      <c r="H34" s="507">
        <v>3345516</v>
      </c>
      <c r="I34" s="507">
        <v>2736870</v>
      </c>
      <c r="J34" s="507">
        <v>0</v>
      </c>
      <c r="K34" s="507">
        <v>0</v>
      </c>
      <c r="L34" s="507">
        <v>0</v>
      </c>
      <c r="M34" s="507">
        <v>0</v>
      </c>
      <c r="N34" s="507">
        <v>0</v>
      </c>
      <c r="O34" s="507">
        <v>0</v>
      </c>
      <c r="P34" s="507">
        <v>0</v>
      </c>
      <c r="Q34" s="507"/>
      <c r="R34" s="507"/>
      <c r="S34" s="507">
        <v>0</v>
      </c>
      <c r="T34" s="507">
        <v>0</v>
      </c>
      <c r="U34" s="507">
        <v>0</v>
      </c>
      <c r="V34" s="507">
        <v>0</v>
      </c>
      <c r="W34" s="507">
        <v>0</v>
      </c>
      <c r="X34" s="507">
        <v>0</v>
      </c>
      <c r="Y34" s="507">
        <v>0</v>
      </c>
      <c r="Z34" s="507">
        <v>0</v>
      </c>
      <c r="AA34" s="508">
        <f t="shared" si="0"/>
        <v>23068191</v>
      </c>
    </row>
    <row r="35" spans="1:27" s="509" customFormat="1" ht="24" customHeight="1">
      <c r="A35" s="478">
        <v>853322</v>
      </c>
      <c r="B35" s="479" t="s">
        <v>74</v>
      </c>
      <c r="C35" s="479" t="s">
        <v>82</v>
      </c>
      <c r="D35" s="510" t="s">
        <v>485</v>
      </c>
      <c r="E35" s="511" t="s">
        <v>83</v>
      </c>
      <c r="F35" s="517"/>
      <c r="G35" s="507">
        <v>0</v>
      </c>
      <c r="H35" s="507">
        <v>0</v>
      </c>
      <c r="I35" s="507">
        <v>0</v>
      </c>
      <c r="J35" s="507">
        <v>0</v>
      </c>
      <c r="K35" s="507">
        <v>0</v>
      </c>
      <c r="L35" s="507">
        <v>0</v>
      </c>
      <c r="M35" s="507">
        <f>16441000+4638836</f>
        <v>21079836</v>
      </c>
      <c r="N35" s="507">
        <v>0</v>
      </c>
      <c r="O35" s="507">
        <v>0</v>
      </c>
      <c r="P35" s="507">
        <v>0</v>
      </c>
      <c r="Q35" s="507"/>
      <c r="R35" s="507"/>
      <c r="S35" s="507">
        <v>0</v>
      </c>
      <c r="T35" s="507">
        <v>0</v>
      </c>
      <c r="U35" s="507">
        <v>0</v>
      </c>
      <c r="V35" s="507">
        <v>0</v>
      </c>
      <c r="W35" s="507">
        <f>15576620-11201400+150000+235153</f>
        <v>4760373</v>
      </c>
      <c r="X35" s="507">
        <v>0</v>
      </c>
      <c r="Y35" s="507">
        <v>0</v>
      </c>
      <c r="Z35" s="507">
        <v>0</v>
      </c>
      <c r="AA35" s="508">
        <f t="shared" si="0"/>
        <v>25840209</v>
      </c>
    </row>
    <row r="36" spans="1:27" s="509" customFormat="1" ht="24">
      <c r="A36" s="478"/>
      <c r="B36" s="479" t="s">
        <v>75</v>
      </c>
      <c r="C36" s="479" t="s">
        <v>538</v>
      </c>
      <c r="D36" s="510" t="s">
        <v>486</v>
      </c>
      <c r="E36" s="518" t="s">
        <v>612</v>
      </c>
      <c r="F36" s="517"/>
      <c r="G36" s="507">
        <v>80000</v>
      </c>
      <c r="H36" s="507">
        <v>41361</v>
      </c>
      <c r="I36" s="507">
        <f>1917850-235153</f>
        <v>1682697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7">
        <v>0</v>
      </c>
      <c r="Q36" s="507"/>
      <c r="R36" s="507"/>
      <c r="S36" s="507">
        <v>0</v>
      </c>
      <c r="T36" s="507">
        <v>0</v>
      </c>
      <c r="U36" s="507">
        <v>0</v>
      </c>
      <c r="V36" s="507">
        <v>0</v>
      </c>
      <c r="W36" s="507">
        <v>0</v>
      </c>
      <c r="X36" s="507">
        <f>22279919+850900</f>
        <v>23130819</v>
      </c>
      <c r="Y36" s="507">
        <v>0</v>
      </c>
      <c r="Z36" s="507">
        <v>0</v>
      </c>
      <c r="AA36" s="508">
        <f t="shared" si="0"/>
        <v>24934877</v>
      </c>
    </row>
    <row r="37" spans="1:27" s="509" customFormat="1" ht="24">
      <c r="A37" s="478"/>
      <c r="B37" s="479" t="s">
        <v>75</v>
      </c>
      <c r="C37" s="479" t="s">
        <v>1002</v>
      </c>
      <c r="D37" s="510" t="s">
        <v>487</v>
      </c>
      <c r="E37" s="518" t="s">
        <v>543</v>
      </c>
      <c r="F37" s="517"/>
      <c r="G37" s="507">
        <v>0</v>
      </c>
      <c r="H37" s="507">
        <v>0</v>
      </c>
      <c r="I37" s="507">
        <v>95585</v>
      </c>
      <c r="J37" s="507">
        <v>0</v>
      </c>
      <c r="K37" s="507">
        <v>0</v>
      </c>
      <c r="L37" s="507">
        <v>0</v>
      </c>
      <c r="M37" s="507">
        <v>0</v>
      </c>
      <c r="N37" s="507">
        <v>0</v>
      </c>
      <c r="O37" s="507">
        <v>0</v>
      </c>
      <c r="P37" s="507">
        <v>0</v>
      </c>
      <c r="Q37" s="507"/>
      <c r="R37" s="507"/>
      <c r="S37" s="507">
        <v>0</v>
      </c>
      <c r="T37" s="507">
        <v>0</v>
      </c>
      <c r="U37" s="507">
        <v>0</v>
      </c>
      <c r="V37" s="507">
        <v>0</v>
      </c>
      <c r="W37" s="507">
        <v>0</v>
      </c>
      <c r="X37" s="507">
        <v>0</v>
      </c>
      <c r="Y37" s="507">
        <v>0</v>
      </c>
      <c r="Z37" s="507">
        <v>0</v>
      </c>
      <c r="AA37" s="508">
        <f>SUM(G37:Z37)</f>
        <v>95585</v>
      </c>
    </row>
    <row r="38" spans="1:27" s="509" customFormat="1" ht="12">
      <c r="A38" s="478"/>
      <c r="B38" s="479"/>
      <c r="C38" s="479" t="s">
        <v>80</v>
      </c>
      <c r="D38" s="510" t="s">
        <v>455</v>
      </c>
      <c r="E38" s="930" t="s">
        <v>379</v>
      </c>
      <c r="F38" s="517"/>
      <c r="G38" s="507">
        <v>0</v>
      </c>
      <c r="H38" s="507">
        <v>0</v>
      </c>
      <c r="I38" s="507">
        <v>0</v>
      </c>
      <c r="J38" s="507">
        <v>0</v>
      </c>
      <c r="K38" s="507">
        <v>0</v>
      </c>
      <c r="L38" s="507">
        <v>0</v>
      </c>
      <c r="M38" s="507">
        <v>0</v>
      </c>
      <c r="N38" s="507">
        <v>0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0</v>
      </c>
      <c r="V38" s="507">
        <v>0</v>
      </c>
      <c r="W38" s="507">
        <v>807720</v>
      </c>
      <c r="X38" s="507">
        <v>0</v>
      </c>
      <c r="Y38" s="507">
        <v>0</v>
      </c>
      <c r="Z38" s="507">
        <v>0</v>
      </c>
      <c r="AA38" s="508">
        <f>SUM(G38:Z38)</f>
        <v>807720</v>
      </c>
    </row>
    <row r="39" spans="1:27" s="509" customFormat="1" ht="36">
      <c r="A39" s="478"/>
      <c r="B39" s="479"/>
      <c r="C39" s="479" t="s">
        <v>892</v>
      </c>
      <c r="D39" s="510" t="s">
        <v>488</v>
      </c>
      <c r="E39" s="234" t="s">
        <v>897</v>
      </c>
      <c r="F39" s="517"/>
      <c r="G39" s="507">
        <v>3600833</v>
      </c>
      <c r="H39" s="507">
        <v>834330</v>
      </c>
      <c r="I39" s="507">
        <v>13337603</v>
      </c>
      <c r="J39" s="507">
        <v>0</v>
      </c>
      <c r="K39" s="507">
        <v>0</v>
      </c>
      <c r="L39" s="507">
        <v>0</v>
      </c>
      <c r="M39" s="507">
        <v>0</v>
      </c>
      <c r="N39" s="507">
        <v>0</v>
      </c>
      <c r="O39" s="507">
        <v>0</v>
      </c>
      <c r="P39" s="507">
        <v>0</v>
      </c>
      <c r="Q39" s="507"/>
      <c r="R39" s="507"/>
      <c r="S39" s="507">
        <v>0</v>
      </c>
      <c r="T39" s="507">
        <v>0</v>
      </c>
      <c r="U39" s="507">
        <v>0</v>
      </c>
      <c r="V39" s="507">
        <v>0</v>
      </c>
      <c r="W39" s="507">
        <v>2497100</v>
      </c>
      <c r="X39" s="507">
        <v>0</v>
      </c>
      <c r="Y39" s="507">
        <v>0</v>
      </c>
      <c r="Z39" s="507">
        <v>0</v>
      </c>
      <c r="AA39" s="508">
        <f>SUM(G39:Z39)</f>
        <v>20269866</v>
      </c>
    </row>
    <row r="40" spans="1:27" s="509" customFormat="1" ht="36">
      <c r="A40" s="478"/>
      <c r="B40" s="479"/>
      <c r="C40" s="479" t="s">
        <v>1130</v>
      </c>
      <c r="D40" s="510" t="s">
        <v>411</v>
      </c>
      <c r="E40" s="234" t="s">
        <v>1131</v>
      </c>
      <c r="F40" s="517"/>
      <c r="G40" s="507">
        <v>0</v>
      </c>
      <c r="H40" s="507">
        <v>0</v>
      </c>
      <c r="I40" s="507">
        <v>0</v>
      </c>
      <c r="J40" s="507">
        <v>0</v>
      </c>
      <c r="K40" s="507">
        <v>0</v>
      </c>
      <c r="L40" s="507">
        <v>0</v>
      </c>
      <c r="M40" s="507">
        <v>0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0</v>
      </c>
      <c r="U40" s="507">
        <v>0</v>
      </c>
      <c r="V40" s="507">
        <v>0</v>
      </c>
      <c r="W40" s="507">
        <v>3055442</v>
      </c>
      <c r="X40" s="507">
        <v>0</v>
      </c>
      <c r="Y40" s="507">
        <v>0</v>
      </c>
      <c r="Z40" s="507">
        <v>0</v>
      </c>
      <c r="AA40" s="508">
        <f>SUM(G40:Z40)</f>
        <v>3055442</v>
      </c>
    </row>
    <row r="41" spans="2:29" ht="24">
      <c r="B41" s="479" t="s">
        <v>77</v>
      </c>
      <c r="C41" s="479" t="s">
        <v>69</v>
      </c>
      <c r="D41" s="510" t="s">
        <v>412</v>
      </c>
      <c r="E41" s="511" t="s">
        <v>994</v>
      </c>
      <c r="F41" s="516"/>
      <c r="G41" s="507">
        <v>0</v>
      </c>
      <c r="H41" s="507">
        <v>0</v>
      </c>
      <c r="I41" s="507">
        <v>46939</v>
      </c>
      <c r="J41" s="507">
        <v>0</v>
      </c>
      <c r="K41" s="519">
        <v>0</v>
      </c>
      <c r="L41" s="519">
        <v>0</v>
      </c>
      <c r="M41" s="519">
        <v>0</v>
      </c>
      <c r="N41" s="507">
        <v>0</v>
      </c>
      <c r="O41" s="507">
        <v>0</v>
      </c>
      <c r="P41" s="507">
        <v>0</v>
      </c>
      <c r="Q41" s="507"/>
      <c r="R41" s="507"/>
      <c r="S41" s="507">
        <v>0</v>
      </c>
      <c r="T41" s="507">
        <v>0</v>
      </c>
      <c r="U41" s="507">
        <v>0</v>
      </c>
      <c r="V41" s="507">
        <v>0</v>
      </c>
      <c r="W41" s="507">
        <v>0</v>
      </c>
      <c r="X41" s="507">
        <f>1576197+29947750</f>
        <v>31523947</v>
      </c>
      <c r="Y41" s="507">
        <v>0</v>
      </c>
      <c r="Z41" s="507">
        <v>0</v>
      </c>
      <c r="AA41" s="508">
        <f>SUM(G41:Z41)</f>
        <v>31570886</v>
      </c>
      <c r="AC41" s="515">
        <f>SUM(AA41:AA41)</f>
        <v>31570886</v>
      </c>
    </row>
    <row r="42" spans="2:29" ht="24">
      <c r="B42" s="479" t="s">
        <v>77</v>
      </c>
      <c r="C42" s="479" t="s">
        <v>607</v>
      </c>
      <c r="D42" s="510" t="s">
        <v>413</v>
      </c>
      <c r="E42" s="511" t="s">
        <v>608</v>
      </c>
      <c r="F42" s="516"/>
      <c r="G42" s="507">
        <v>0</v>
      </c>
      <c r="H42" s="507">
        <v>0</v>
      </c>
      <c r="I42" s="507">
        <v>0</v>
      </c>
      <c r="J42" s="507">
        <v>0</v>
      </c>
      <c r="K42" s="519">
        <v>0</v>
      </c>
      <c r="L42" s="519">
        <v>0</v>
      </c>
      <c r="M42" s="519">
        <f>4592665-4592665</f>
        <v>0</v>
      </c>
      <c r="N42" s="507">
        <v>0</v>
      </c>
      <c r="O42" s="507">
        <v>0</v>
      </c>
      <c r="P42" s="507">
        <v>0</v>
      </c>
      <c r="Q42" s="507"/>
      <c r="R42" s="507"/>
      <c r="S42" s="507">
        <v>0</v>
      </c>
      <c r="T42" s="507">
        <v>0</v>
      </c>
      <c r="U42" s="507">
        <v>0</v>
      </c>
      <c r="V42" s="507">
        <v>0</v>
      </c>
      <c r="W42" s="507">
        <v>0</v>
      </c>
      <c r="X42" s="507">
        <v>0</v>
      </c>
      <c r="Y42" s="507">
        <v>0</v>
      </c>
      <c r="Z42" s="507">
        <v>0</v>
      </c>
      <c r="AA42" s="508">
        <f t="shared" si="0"/>
        <v>0</v>
      </c>
      <c r="AC42" s="515">
        <f>SUM(AA42:AA42)</f>
        <v>0</v>
      </c>
    </row>
    <row r="43" spans="3:27" ht="24">
      <c r="C43" s="479" t="s">
        <v>641</v>
      </c>
      <c r="D43" s="520" t="s">
        <v>489</v>
      </c>
      <c r="E43" s="511" t="s">
        <v>642</v>
      </c>
      <c r="F43" s="516"/>
      <c r="G43" s="507">
        <v>2168500</v>
      </c>
      <c r="H43" s="507">
        <v>426883</v>
      </c>
      <c r="I43" s="507">
        <v>54297921</v>
      </c>
      <c r="J43" s="507">
        <v>0</v>
      </c>
      <c r="K43" s="507">
        <v>0</v>
      </c>
      <c r="L43" s="507">
        <v>0</v>
      </c>
      <c r="M43" s="507">
        <v>0</v>
      </c>
      <c r="N43" s="507">
        <v>0</v>
      </c>
      <c r="O43" s="507">
        <v>0</v>
      </c>
      <c r="P43" s="507">
        <v>0</v>
      </c>
      <c r="Q43" s="507"/>
      <c r="R43" s="507"/>
      <c r="S43" s="507">
        <v>0</v>
      </c>
      <c r="T43" s="507">
        <v>0</v>
      </c>
      <c r="U43" s="507">
        <v>0</v>
      </c>
      <c r="V43" s="507">
        <v>0</v>
      </c>
      <c r="W43" s="507">
        <v>10986734</v>
      </c>
      <c r="X43" s="507">
        <v>0</v>
      </c>
      <c r="Y43" s="507">
        <v>0</v>
      </c>
      <c r="Z43" s="507">
        <v>0</v>
      </c>
      <c r="AA43" s="508">
        <f t="shared" si="0"/>
        <v>67880038</v>
      </c>
    </row>
    <row r="44" spans="3:27" ht="24">
      <c r="C44" s="479" t="s">
        <v>609</v>
      </c>
      <c r="D44" s="520" t="s">
        <v>414</v>
      </c>
      <c r="E44" s="511" t="s">
        <v>610</v>
      </c>
      <c r="F44" s="516"/>
      <c r="G44" s="507">
        <v>0</v>
      </c>
      <c r="H44" s="507">
        <v>0</v>
      </c>
      <c r="I44" s="507">
        <v>117194</v>
      </c>
      <c r="J44" s="507">
        <v>0</v>
      </c>
      <c r="K44" s="519">
        <v>0</v>
      </c>
      <c r="L44" s="519">
        <v>0</v>
      </c>
      <c r="M44" s="519">
        <v>0</v>
      </c>
      <c r="N44" s="507">
        <v>0</v>
      </c>
      <c r="O44" s="507">
        <v>0</v>
      </c>
      <c r="P44" s="507">
        <v>0</v>
      </c>
      <c r="Q44" s="507"/>
      <c r="R44" s="507"/>
      <c r="S44" s="507">
        <v>0</v>
      </c>
      <c r="T44" s="507">
        <v>0</v>
      </c>
      <c r="U44" s="507">
        <v>0</v>
      </c>
      <c r="V44" s="507">
        <v>0</v>
      </c>
      <c r="W44" s="507">
        <v>0</v>
      </c>
      <c r="X44" s="507">
        <v>0</v>
      </c>
      <c r="Y44" s="507">
        <v>0</v>
      </c>
      <c r="Z44" s="507">
        <v>0</v>
      </c>
      <c r="AA44" s="508">
        <f t="shared" si="0"/>
        <v>117194</v>
      </c>
    </row>
    <row r="45" spans="2:27" ht="24" customHeight="1">
      <c r="B45" s="479" t="s">
        <v>78</v>
      </c>
      <c r="C45" s="479" t="s">
        <v>638</v>
      </c>
      <c r="D45" s="520" t="s">
        <v>429</v>
      </c>
      <c r="E45" s="511" t="s">
        <v>639</v>
      </c>
      <c r="F45" s="516"/>
      <c r="G45" s="507">
        <v>0</v>
      </c>
      <c r="H45" s="507">
        <v>0</v>
      </c>
      <c r="I45" s="507">
        <f>17800000-2600000</f>
        <v>15200000</v>
      </c>
      <c r="J45" s="507">
        <v>0</v>
      </c>
      <c r="K45" s="507">
        <v>0</v>
      </c>
      <c r="L45" s="507">
        <v>0</v>
      </c>
      <c r="M45" s="507">
        <f>21971000+5275000-3663000</f>
        <v>23583000</v>
      </c>
      <c r="N45" s="507">
        <v>0</v>
      </c>
      <c r="O45" s="507">
        <v>0</v>
      </c>
      <c r="P45" s="507">
        <v>0</v>
      </c>
      <c r="Q45" s="507"/>
      <c r="R45" s="507"/>
      <c r="S45" s="507">
        <v>0</v>
      </c>
      <c r="T45" s="507">
        <v>0</v>
      </c>
      <c r="U45" s="507">
        <v>0</v>
      </c>
      <c r="V45" s="507">
        <v>0</v>
      </c>
      <c r="W45" s="507">
        <v>0</v>
      </c>
      <c r="X45" s="507">
        <v>0</v>
      </c>
      <c r="Y45" s="507">
        <v>0</v>
      </c>
      <c r="Z45" s="507">
        <v>0</v>
      </c>
      <c r="AA45" s="508">
        <f t="shared" si="0"/>
        <v>38783000</v>
      </c>
    </row>
    <row r="46" spans="3:27" ht="24" customHeight="1">
      <c r="C46" s="479" t="s">
        <v>869</v>
      </c>
      <c r="D46" s="520" t="s">
        <v>490</v>
      </c>
      <c r="E46" s="511" t="s">
        <v>870</v>
      </c>
      <c r="F46" s="516"/>
      <c r="G46" s="507">
        <v>0</v>
      </c>
      <c r="H46" s="507">
        <v>0</v>
      </c>
      <c r="I46" s="507">
        <v>0</v>
      </c>
      <c r="J46" s="507">
        <v>0</v>
      </c>
      <c r="K46" s="507">
        <v>0</v>
      </c>
      <c r="L46" s="507">
        <v>0</v>
      </c>
      <c r="M46" s="507">
        <f>4562000+3015000-760000</f>
        <v>6817000</v>
      </c>
      <c r="N46" s="507">
        <v>0</v>
      </c>
      <c r="O46" s="507">
        <v>0</v>
      </c>
      <c r="P46" s="507">
        <v>0</v>
      </c>
      <c r="Q46" s="507"/>
      <c r="R46" s="507"/>
      <c r="S46" s="507">
        <v>0</v>
      </c>
      <c r="T46" s="507">
        <v>0</v>
      </c>
      <c r="U46" s="507">
        <v>0</v>
      </c>
      <c r="V46" s="507">
        <v>0</v>
      </c>
      <c r="W46" s="507">
        <v>0</v>
      </c>
      <c r="X46" s="507">
        <v>0</v>
      </c>
      <c r="Y46" s="507">
        <v>0</v>
      </c>
      <c r="Z46" s="507">
        <v>0</v>
      </c>
      <c r="AA46" s="508">
        <f t="shared" si="0"/>
        <v>6817000</v>
      </c>
    </row>
    <row r="47" spans="3:27" ht="36">
      <c r="C47" s="479" t="s">
        <v>1032</v>
      </c>
      <c r="D47" s="520" t="s">
        <v>491</v>
      </c>
      <c r="E47" s="511" t="s">
        <v>1033</v>
      </c>
      <c r="F47" s="516"/>
      <c r="G47" s="507">
        <v>0</v>
      </c>
      <c r="H47" s="507">
        <v>0</v>
      </c>
      <c r="I47" s="507">
        <v>0</v>
      </c>
      <c r="J47" s="507"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07">
        <v>0</v>
      </c>
      <c r="R47" s="507">
        <v>0</v>
      </c>
      <c r="S47" s="507">
        <v>0</v>
      </c>
      <c r="T47" s="507">
        <v>0</v>
      </c>
      <c r="U47" s="507">
        <v>0</v>
      </c>
      <c r="V47" s="507">
        <v>0</v>
      </c>
      <c r="W47" s="507">
        <v>1920000</v>
      </c>
      <c r="X47" s="507">
        <v>0</v>
      </c>
      <c r="Y47" s="507">
        <v>0</v>
      </c>
      <c r="Z47" s="507">
        <v>0</v>
      </c>
      <c r="AA47" s="508">
        <f t="shared" si="0"/>
        <v>1920000</v>
      </c>
    </row>
    <row r="48" spans="3:27" ht="24">
      <c r="C48" s="479" t="s">
        <v>643</v>
      </c>
      <c r="D48" s="520" t="s">
        <v>877</v>
      </c>
      <c r="E48" s="511" t="s">
        <v>644</v>
      </c>
      <c r="F48" s="516"/>
      <c r="G48" s="507">
        <v>0</v>
      </c>
      <c r="H48" s="507">
        <v>0</v>
      </c>
      <c r="I48" s="507">
        <v>2114700</v>
      </c>
      <c r="J48" s="507">
        <v>0</v>
      </c>
      <c r="K48" s="507">
        <v>0</v>
      </c>
      <c r="L48" s="507">
        <v>0</v>
      </c>
      <c r="M48" s="507">
        <v>0</v>
      </c>
      <c r="N48" s="507">
        <v>0</v>
      </c>
      <c r="O48" s="507">
        <v>0</v>
      </c>
      <c r="P48" s="507">
        <v>0</v>
      </c>
      <c r="Q48" s="507"/>
      <c r="R48" s="507"/>
      <c r="S48" s="507">
        <v>0</v>
      </c>
      <c r="T48" s="507">
        <v>0</v>
      </c>
      <c r="U48" s="507">
        <v>0</v>
      </c>
      <c r="V48" s="507">
        <v>0</v>
      </c>
      <c r="W48" s="507">
        <v>0</v>
      </c>
      <c r="X48" s="507">
        <v>0</v>
      </c>
      <c r="Y48" s="507">
        <v>0</v>
      </c>
      <c r="Z48" s="507">
        <v>0</v>
      </c>
      <c r="AA48" s="508">
        <f t="shared" si="0"/>
        <v>2114700</v>
      </c>
    </row>
    <row r="49" spans="4:27" ht="36">
      <c r="D49" s="1004" t="s">
        <v>1132</v>
      </c>
      <c r="E49" s="262" t="s">
        <v>905</v>
      </c>
      <c r="F49" s="516"/>
      <c r="G49" s="507">
        <v>27815502</v>
      </c>
      <c r="H49" s="507">
        <v>6738701</v>
      </c>
      <c r="I49" s="507">
        <f>54417221+10976885</f>
        <v>65394106</v>
      </c>
      <c r="J49" s="507">
        <v>0</v>
      </c>
      <c r="K49" s="507">
        <v>0</v>
      </c>
      <c r="L49" s="507">
        <v>0</v>
      </c>
      <c r="M49" s="507">
        <v>0</v>
      </c>
      <c r="N49" s="507">
        <v>0</v>
      </c>
      <c r="O49" s="507">
        <v>0</v>
      </c>
      <c r="P49" s="507">
        <v>0</v>
      </c>
      <c r="Q49" s="507"/>
      <c r="R49" s="507"/>
      <c r="S49" s="507">
        <v>0</v>
      </c>
      <c r="T49" s="507">
        <v>0</v>
      </c>
      <c r="U49" s="507">
        <v>0</v>
      </c>
      <c r="V49" s="507">
        <v>0</v>
      </c>
      <c r="W49" s="507">
        <v>8983129</v>
      </c>
      <c r="X49" s="507">
        <v>6528562</v>
      </c>
      <c r="Y49" s="507">
        <v>0</v>
      </c>
      <c r="Z49" s="507">
        <v>0</v>
      </c>
      <c r="AA49" s="508">
        <f t="shared" si="0"/>
        <v>115460000</v>
      </c>
    </row>
    <row r="50" spans="4:27" ht="48">
      <c r="D50" s="1004"/>
      <c r="E50" s="262" t="s">
        <v>895</v>
      </c>
      <c r="F50" s="516"/>
      <c r="G50" s="507">
        <v>12762600</v>
      </c>
      <c r="H50" s="507">
        <v>2999211</v>
      </c>
      <c r="I50" s="507">
        <v>15053577</v>
      </c>
      <c r="J50" s="507">
        <v>0</v>
      </c>
      <c r="K50" s="507">
        <v>0</v>
      </c>
      <c r="L50" s="507">
        <v>0</v>
      </c>
      <c r="M50" s="507">
        <v>1564044</v>
      </c>
      <c r="N50" s="507">
        <v>0</v>
      </c>
      <c r="O50" s="507">
        <v>0</v>
      </c>
      <c r="P50" s="507">
        <v>0</v>
      </c>
      <c r="Q50" s="507"/>
      <c r="R50" s="507"/>
      <c r="S50" s="507">
        <v>0</v>
      </c>
      <c r="T50" s="507">
        <v>0</v>
      </c>
      <c r="U50" s="507">
        <v>0</v>
      </c>
      <c r="V50" s="507">
        <v>0</v>
      </c>
      <c r="W50" s="507">
        <v>0</v>
      </c>
      <c r="X50" s="507">
        <v>0</v>
      </c>
      <c r="Y50" s="507">
        <v>0</v>
      </c>
      <c r="Z50" s="507">
        <v>0</v>
      </c>
      <c r="AA50" s="508">
        <f t="shared" si="0"/>
        <v>32379432</v>
      </c>
    </row>
    <row r="51" spans="3:29" ht="24" customHeight="1">
      <c r="C51" s="479" t="s">
        <v>78</v>
      </c>
      <c r="D51" s="1004"/>
      <c r="E51" s="262" t="s">
        <v>1133</v>
      </c>
      <c r="F51" s="516"/>
      <c r="G51" s="507">
        <f>27145152</f>
        <v>27145152</v>
      </c>
      <c r="H51" s="507">
        <f>6999328</f>
        <v>6999328</v>
      </c>
      <c r="I51" s="507">
        <f>26209434-2893619</f>
        <v>23315815</v>
      </c>
      <c r="J51" s="507">
        <v>0</v>
      </c>
      <c r="K51" s="507">
        <v>0</v>
      </c>
      <c r="L51" s="507">
        <v>0</v>
      </c>
      <c r="M51" s="507">
        <v>0</v>
      </c>
      <c r="N51" s="507">
        <v>0</v>
      </c>
      <c r="O51" s="507">
        <v>0</v>
      </c>
      <c r="P51" s="507">
        <v>0</v>
      </c>
      <c r="Q51" s="507"/>
      <c r="R51" s="507"/>
      <c r="S51" s="507">
        <v>0</v>
      </c>
      <c r="T51" s="507">
        <v>0</v>
      </c>
      <c r="U51" s="507">
        <v>0</v>
      </c>
      <c r="V51" s="507">
        <v>0</v>
      </c>
      <c r="W51" s="507">
        <v>2893619</v>
      </c>
      <c r="X51" s="507">
        <v>0</v>
      </c>
      <c r="Y51" s="507">
        <v>0</v>
      </c>
      <c r="Z51" s="507">
        <v>0</v>
      </c>
      <c r="AA51" s="508">
        <f t="shared" si="0"/>
        <v>60353914</v>
      </c>
      <c r="AC51" s="515">
        <f>SUM(AA49:AA51)</f>
        <v>208193346</v>
      </c>
    </row>
    <row r="52" spans="3:29" ht="24" customHeight="1">
      <c r="C52" s="479" t="s">
        <v>871</v>
      </c>
      <c r="D52" s="520" t="s">
        <v>884</v>
      </c>
      <c r="E52" s="511" t="s">
        <v>872</v>
      </c>
      <c r="F52" s="516"/>
      <c r="G52" s="507">
        <v>0</v>
      </c>
      <c r="H52" s="507">
        <v>0</v>
      </c>
      <c r="I52" s="507">
        <v>0</v>
      </c>
      <c r="J52" s="507">
        <v>0</v>
      </c>
      <c r="K52" s="507">
        <v>0</v>
      </c>
      <c r="L52" s="507">
        <v>0</v>
      </c>
      <c r="M52" s="507">
        <f>3712000+922000-618000</f>
        <v>4016000</v>
      </c>
      <c r="N52" s="507">
        <v>0</v>
      </c>
      <c r="O52" s="507">
        <v>0</v>
      </c>
      <c r="P52" s="507">
        <v>0</v>
      </c>
      <c r="Q52" s="507"/>
      <c r="R52" s="507"/>
      <c r="S52" s="507">
        <v>0</v>
      </c>
      <c r="T52" s="507">
        <v>0</v>
      </c>
      <c r="U52" s="507">
        <v>0</v>
      </c>
      <c r="V52" s="507">
        <v>0</v>
      </c>
      <c r="W52" s="507">
        <v>0</v>
      </c>
      <c r="X52" s="507">
        <v>0</v>
      </c>
      <c r="Y52" s="507">
        <v>0</v>
      </c>
      <c r="Z52" s="507">
        <v>0</v>
      </c>
      <c r="AA52" s="508">
        <f t="shared" si="0"/>
        <v>4016000</v>
      </c>
      <c r="AC52" s="515"/>
    </row>
    <row r="53" spans="3:29" ht="24" customHeight="1">
      <c r="C53" s="479" t="s">
        <v>873</v>
      </c>
      <c r="D53" s="520" t="s">
        <v>885</v>
      </c>
      <c r="E53" s="511" t="s">
        <v>874</v>
      </c>
      <c r="F53" s="516"/>
      <c r="G53" s="507">
        <v>0</v>
      </c>
      <c r="H53" s="507">
        <v>0</v>
      </c>
      <c r="I53" s="507">
        <v>0</v>
      </c>
      <c r="J53" s="507">
        <v>0</v>
      </c>
      <c r="K53" s="507">
        <v>0</v>
      </c>
      <c r="L53" s="507">
        <v>0</v>
      </c>
      <c r="M53" s="507">
        <f>4717000+1397000-787000</f>
        <v>5327000</v>
      </c>
      <c r="N53" s="507">
        <v>0</v>
      </c>
      <c r="O53" s="507">
        <v>0</v>
      </c>
      <c r="P53" s="507">
        <v>0</v>
      </c>
      <c r="Q53" s="507"/>
      <c r="R53" s="507"/>
      <c r="S53" s="507">
        <v>0</v>
      </c>
      <c r="T53" s="507">
        <v>0</v>
      </c>
      <c r="U53" s="507">
        <v>0</v>
      </c>
      <c r="V53" s="507">
        <v>0</v>
      </c>
      <c r="W53" s="507">
        <v>0</v>
      </c>
      <c r="X53" s="507">
        <v>0</v>
      </c>
      <c r="Y53" s="507">
        <v>0</v>
      </c>
      <c r="Z53" s="507">
        <v>0</v>
      </c>
      <c r="AA53" s="508">
        <f t="shared" si="0"/>
        <v>5327000</v>
      </c>
      <c r="AC53" s="515"/>
    </row>
    <row r="54" spans="2:27" ht="24" customHeight="1">
      <c r="B54" s="479" t="s">
        <v>80</v>
      </c>
      <c r="C54" s="479" t="s">
        <v>76</v>
      </c>
      <c r="D54" s="520" t="s">
        <v>898</v>
      </c>
      <c r="E54" s="511" t="s">
        <v>451</v>
      </c>
      <c r="F54" s="516"/>
      <c r="G54" s="507">
        <v>0</v>
      </c>
      <c r="H54" s="507">
        <v>0</v>
      </c>
      <c r="I54" s="507">
        <f>2400000+200000</f>
        <v>2600000</v>
      </c>
      <c r="J54" s="507">
        <v>0</v>
      </c>
      <c r="K54" s="507">
        <v>0</v>
      </c>
      <c r="L54" s="507">
        <v>0</v>
      </c>
      <c r="M54" s="507">
        <f>1838000+2261329-306000</f>
        <v>3793329</v>
      </c>
      <c r="N54" s="507">
        <v>0</v>
      </c>
      <c r="O54" s="507">
        <v>0</v>
      </c>
      <c r="P54" s="507">
        <v>0</v>
      </c>
      <c r="Q54" s="507"/>
      <c r="R54" s="507"/>
      <c r="S54" s="507">
        <v>0</v>
      </c>
      <c r="T54" s="507">
        <v>0</v>
      </c>
      <c r="U54" s="507">
        <v>0</v>
      </c>
      <c r="V54" s="507">
        <v>0</v>
      </c>
      <c r="W54" s="507">
        <v>0</v>
      </c>
      <c r="X54" s="507">
        <v>0</v>
      </c>
      <c r="Y54" s="507">
        <v>0</v>
      </c>
      <c r="Z54" s="507">
        <v>0</v>
      </c>
      <c r="AA54" s="508">
        <f t="shared" si="0"/>
        <v>6393329</v>
      </c>
    </row>
    <row r="55" spans="2:27" ht="24" customHeight="1">
      <c r="B55" s="479" t="s">
        <v>80</v>
      </c>
      <c r="C55" s="479" t="s">
        <v>875</v>
      </c>
      <c r="D55" s="520" t="s">
        <v>1004</v>
      </c>
      <c r="E55" s="511" t="s">
        <v>876</v>
      </c>
      <c r="F55" s="516"/>
      <c r="G55" s="507">
        <v>0</v>
      </c>
      <c r="H55" s="507">
        <v>0</v>
      </c>
      <c r="I55" s="507">
        <v>0</v>
      </c>
      <c r="J55" s="507">
        <v>0</v>
      </c>
      <c r="K55" s="507">
        <v>0</v>
      </c>
      <c r="L55" s="507">
        <v>0</v>
      </c>
      <c r="M55" s="507">
        <f>3719000+1625335-619000</f>
        <v>4725335</v>
      </c>
      <c r="N55" s="507">
        <v>0</v>
      </c>
      <c r="O55" s="507">
        <v>0</v>
      </c>
      <c r="P55" s="507">
        <v>0</v>
      </c>
      <c r="Q55" s="507"/>
      <c r="R55" s="507"/>
      <c r="S55" s="507">
        <v>0</v>
      </c>
      <c r="T55" s="507">
        <v>0</v>
      </c>
      <c r="U55" s="507">
        <v>0</v>
      </c>
      <c r="V55" s="507">
        <v>0</v>
      </c>
      <c r="W55" s="507">
        <v>0</v>
      </c>
      <c r="X55" s="507">
        <v>0</v>
      </c>
      <c r="Y55" s="507">
        <v>0</v>
      </c>
      <c r="Z55" s="507">
        <v>0</v>
      </c>
      <c r="AA55" s="508">
        <f t="shared" si="0"/>
        <v>4725335</v>
      </c>
    </row>
    <row r="56" spans="2:27" ht="24">
      <c r="B56" s="479" t="s">
        <v>82</v>
      </c>
      <c r="C56" s="479" t="s">
        <v>79</v>
      </c>
      <c r="D56" s="520" t="s">
        <v>1005</v>
      </c>
      <c r="E56" s="511" t="s">
        <v>640</v>
      </c>
      <c r="F56" s="516"/>
      <c r="G56" s="507">
        <v>0</v>
      </c>
      <c r="H56" s="507">
        <v>0</v>
      </c>
      <c r="I56" s="507">
        <v>0</v>
      </c>
      <c r="J56" s="507">
        <v>2942222</v>
      </c>
      <c r="K56" s="507">
        <v>0</v>
      </c>
      <c r="L56" s="507">
        <v>0</v>
      </c>
      <c r="M56" s="507">
        <f>0+15000</f>
        <v>15000</v>
      </c>
      <c r="N56" s="507">
        <v>0</v>
      </c>
      <c r="O56" s="507">
        <v>0</v>
      </c>
      <c r="P56" s="507">
        <v>0</v>
      </c>
      <c r="Q56" s="507"/>
      <c r="R56" s="507"/>
      <c r="S56" s="507">
        <v>0</v>
      </c>
      <c r="T56" s="507">
        <v>0</v>
      </c>
      <c r="U56" s="507">
        <v>0</v>
      </c>
      <c r="V56" s="507">
        <v>0</v>
      </c>
      <c r="W56" s="507">
        <v>0</v>
      </c>
      <c r="X56" s="507">
        <v>0</v>
      </c>
      <c r="Y56" s="521">
        <v>0</v>
      </c>
      <c r="Z56" s="507">
        <v>0</v>
      </c>
      <c r="AA56" s="508">
        <f t="shared" si="0"/>
        <v>2957222</v>
      </c>
    </row>
    <row r="57" spans="4:27" ht="24">
      <c r="D57" s="520" t="s">
        <v>1034</v>
      </c>
      <c r="E57" s="511" t="s">
        <v>375</v>
      </c>
      <c r="F57" s="522"/>
      <c r="G57" s="523">
        <v>0</v>
      </c>
      <c r="H57" s="521">
        <v>0</v>
      </c>
      <c r="I57" s="521">
        <v>0</v>
      </c>
      <c r="J57" s="521">
        <v>0</v>
      </c>
      <c r="K57" s="521">
        <v>0</v>
      </c>
      <c r="L57" s="521">
        <v>0</v>
      </c>
      <c r="M57" s="521">
        <v>0</v>
      </c>
      <c r="N57" s="521">
        <v>0</v>
      </c>
      <c r="O57" s="521">
        <v>1000000</v>
      </c>
      <c r="P57" s="521">
        <f>495000+553029</f>
        <v>1048029</v>
      </c>
      <c r="Q57" s="521">
        <f>59808757-7679730-553029-602617-1492000-8045171-7935168-4176519-28922-20906574-217072-8171955</f>
        <v>0</v>
      </c>
      <c r="R57" s="521">
        <f>9782649-6323709-100000-3358940</f>
        <v>0</v>
      </c>
      <c r="S57" s="521">
        <f>1000000-63500-68000-30000-90000-146050-190500-150000-261950</f>
        <v>0</v>
      </c>
      <c r="T57" s="521">
        <f>23433000-20000000-1576197-1055350-288050-513403</f>
        <v>0</v>
      </c>
      <c r="U57" s="521">
        <f>4176519</f>
        <v>4176519</v>
      </c>
      <c r="V57" s="521">
        <f>5000000-1269600</f>
        <v>3730400</v>
      </c>
      <c r="W57" s="521">
        <v>0</v>
      </c>
      <c r="X57" s="521">
        <v>0</v>
      </c>
      <c r="Y57" s="523">
        <v>0</v>
      </c>
      <c r="Z57" s="521">
        <v>0</v>
      </c>
      <c r="AA57" s="508">
        <f t="shared" si="0"/>
        <v>9954948</v>
      </c>
    </row>
    <row r="58" spans="3:27" ht="24">
      <c r="C58" s="479" t="s">
        <v>786</v>
      </c>
      <c r="D58" s="520" t="s">
        <v>1036</v>
      </c>
      <c r="E58" s="525" t="s">
        <v>611</v>
      </c>
      <c r="F58" s="522"/>
      <c r="G58" s="523">
        <v>0</v>
      </c>
      <c r="H58" s="523">
        <v>0</v>
      </c>
      <c r="I58" s="523">
        <v>7848600</v>
      </c>
      <c r="J58" s="523">
        <v>0</v>
      </c>
      <c r="K58" s="523">
        <v>0</v>
      </c>
      <c r="L58" s="523">
        <v>0</v>
      </c>
      <c r="M58" s="523">
        <v>0</v>
      </c>
      <c r="N58" s="523">
        <v>0</v>
      </c>
      <c r="O58" s="523">
        <v>0</v>
      </c>
      <c r="P58" s="523">
        <v>0</v>
      </c>
      <c r="Q58" s="523"/>
      <c r="R58" s="523"/>
      <c r="S58" s="523">
        <v>0</v>
      </c>
      <c r="T58" s="523">
        <v>0</v>
      </c>
      <c r="U58" s="523">
        <v>0</v>
      </c>
      <c r="V58" s="523">
        <v>0</v>
      </c>
      <c r="W58" s="523">
        <v>0</v>
      </c>
      <c r="X58" s="523">
        <v>0</v>
      </c>
      <c r="Y58" s="523">
        <v>0</v>
      </c>
      <c r="Z58" s="523">
        <v>0</v>
      </c>
      <c r="AA58" s="508">
        <f t="shared" si="0"/>
        <v>7848600</v>
      </c>
    </row>
    <row r="59" spans="1:30" s="526" customFormat="1" ht="24" customHeight="1" thickBot="1">
      <c r="A59" s="526">
        <v>999997</v>
      </c>
      <c r="B59" s="524"/>
      <c r="D59" s="527" t="s">
        <v>1037</v>
      </c>
      <c r="E59" s="528" t="s">
        <v>361</v>
      </c>
      <c r="F59" s="529">
        <f>SUM(F8:F56)</f>
        <v>0</v>
      </c>
      <c r="G59" s="530">
        <f aca="true" t="shared" si="1" ref="G59:AA59">SUM(G8:G58)</f>
        <v>270892835</v>
      </c>
      <c r="H59" s="530">
        <f t="shared" si="1"/>
        <v>49751627</v>
      </c>
      <c r="I59" s="530">
        <f t="shared" si="1"/>
        <v>387867408</v>
      </c>
      <c r="J59" s="530">
        <f t="shared" si="1"/>
        <v>2942222</v>
      </c>
      <c r="K59" s="530">
        <f t="shared" si="1"/>
        <v>55043259</v>
      </c>
      <c r="L59" s="530">
        <f t="shared" si="1"/>
        <v>1084272</v>
      </c>
      <c r="M59" s="530">
        <f t="shared" si="1"/>
        <v>173365409</v>
      </c>
      <c r="N59" s="530">
        <f>SUM(N8:N58)</f>
        <v>1032600</v>
      </c>
      <c r="O59" s="530">
        <f t="shared" si="1"/>
        <v>1000000</v>
      </c>
      <c r="P59" s="530">
        <f t="shared" si="1"/>
        <v>1048029</v>
      </c>
      <c r="Q59" s="530">
        <f t="shared" si="1"/>
        <v>0</v>
      </c>
      <c r="R59" s="530">
        <f t="shared" si="1"/>
        <v>0</v>
      </c>
      <c r="S59" s="530">
        <f t="shared" si="1"/>
        <v>0</v>
      </c>
      <c r="T59" s="530">
        <f t="shared" si="1"/>
        <v>0</v>
      </c>
      <c r="U59" s="530">
        <f>SUM(U8:U58)</f>
        <v>4176519</v>
      </c>
      <c r="V59" s="530">
        <f t="shared" si="1"/>
        <v>3730400</v>
      </c>
      <c r="W59" s="530">
        <f t="shared" si="1"/>
        <v>433418393</v>
      </c>
      <c r="X59" s="530">
        <f t="shared" si="1"/>
        <v>187820582</v>
      </c>
      <c r="Y59" s="530">
        <f t="shared" si="1"/>
        <v>19690487</v>
      </c>
      <c r="Z59" s="530">
        <f t="shared" si="1"/>
        <v>18041236</v>
      </c>
      <c r="AA59" s="531">
        <f t="shared" si="1"/>
        <v>1610905278</v>
      </c>
      <c r="AB59" s="532">
        <f>SUM(G59:Z59)</f>
        <v>1610905278</v>
      </c>
      <c r="AC59" s="533"/>
      <c r="AD59" s="533"/>
    </row>
    <row r="60" ht="12.75">
      <c r="E60" s="534"/>
    </row>
    <row r="64" ht="12">
      <c r="F64" s="536"/>
    </row>
  </sheetData>
  <sheetProtection/>
  <mergeCells count="12">
    <mergeCell ref="C1:C2"/>
    <mergeCell ref="V1:AA1"/>
    <mergeCell ref="E2:AA2"/>
    <mergeCell ref="D4:D7"/>
    <mergeCell ref="E4:E6"/>
    <mergeCell ref="F4:F6"/>
    <mergeCell ref="K5:V5"/>
    <mergeCell ref="G4:Z4"/>
    <mergeCell ref="AA4:AA6"/>
    <mergeCell ref="D15:D17"/>
    <mergeCell ref="D49:D51"/>
    <mergeCell ref="D31:D34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5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zoomScalePageLayoutView="0" workbookViewId="0" topLeftCell="A28">
      <selection activeCell="I3" sqref="I3"/>
    </sheetView>
  </sheetViews>
  <sheetFormatPr defaultColWidth="8.875" defaultRowHeight="12.75"/>
  <cols>
    <col min="1" max="1" width="7.625" style="480" customWidth="1"/>
    <col min="2" max="2" width="38.00390625" style="478" customWidth="1"/>
    <col min="3" max="8" width="13.125" style="478" customWidth="1"/>
    <col min="9" max="9" width="16.75390625" style="535" customWidth="1"/>
    <col min="10" max="10" width="14.375" style="478" customWidth="1"/>
    <col min="11" max="11" width="9.875" style="478" bestFit="1" customWidth="1"/>
    <col min="12" max="16384" width="8.875" style="478" customWidth="1"/>
  </cols>
  <sheetData>
    <row r="1" spans="7:9" ht="15">
      <c r="G1" s="1008"/>
      <c r="H1" s="1008"/>
      <c r="I1" s="1008"/>
    </row>
    <row r="2" spans="5:12" ht="15">
      <c r="E2" s="592"/>
      <c r="F2" s="592"/>
      <c r="G2" s="592"/>
      <c r="H2" s="593"/>
      <c r="I2" s="592" t="s">
        <v>1163</v>
      </c>
      <c r="J2" s="593"/>
      <c r="K2" s="593"/>
      <c r="L2" s="593"/>
    </row>
    <row r="3" spans="5:12" ht="15">
      <c r="E3" s="592"/>
      <c r="F3" s="592"/>
      <c r="G3" s="592"/>
      <c r="H3" s="593"/>
      <c r="I3" s="592"/>
      <c r="J3" s="593"/>
      <c r="K3" s="593"/>
      <c r="L3" s="593"/>
    </row>
    <row r="4" spans="1:9" s="728" customFormat="1" ht="39" customHeight="1">
      <c r="A4" s="1016" t="s">
        <v>854</v>
      </c>
      <c r="B4" s="1016"/>
      <c r="C4" s="1016"/>
      <c r="D4" s="1016"/>
      <c r="E4" s="1016"/>
      <c r="F4" s="1016"/>
      <c r="G4" s="1016"/>
      <c r="H4" s="1016"/>
      <c r="I4" s="1016"/>
    </row>
    <row r="5" ht="12">
      <c r="I5" s="729"/>
    </row>
    <row r="6" ht="12">
      <c r="I6" s="729"/>
    </row>
    <row r="7" ht="12.75" thickBot="1">
      <c r="I7" s="484"/>
    </row>
    <row r="8" spans="1:9" s="485" customFormat="1" ht="12.75" customHeight="1">
      <c r="A8" s="1010" t="s">
        <v>426</v>
      </c>
      <c r="B8" s="1013" t="s">
        <v>357</v>
      </c>
      <c r="C8" s="998" t="s">
        <v>365</v>
      </c>
      <c r="D8" s="999"/>
      <c r="E8" s="999"/>
      <c r="F8" s="999"/>
      <c r="G8" s="999"/>
      <c r="H8" s="999"/>
      <c r="I8" s="1001" t="s">
        <v>366</v>
      </c>
    </row>
    <row r="9" spans="1:9" s="487" customFormat="1" ht="12" customHeight="1">
      <c r="A9" s="1011"/>
      <c r="B9" s="1014"/>
      <c r="C9" s="489" t="s">
        <v>1</v>
      </c>
      <c r="D9" s="489" t="s">
        <v>3</v>
      </c>
      <c r="E9" s="489" t="s">
        <v>5</v>
      </c>
      <c r="F9" s="491" t="s">
        <v>8</v>
      </c>
      <c r="G9" s="491" t="s">
        <v>129</v>
      </c>
      <c r="H9" s="491" t="s">
        <v>131</v>
      </c>
      <c r="I9" s="1002"/>
    </row>
    <row r="10" spans="1:9" s="487" customFormat="1" ht="63.75" customHeight="1">
      <c r="A10" s="1011"/>
      <c r="B10" s="1015"/>
      <c r="C10" s="492" t="s">
        <v>355</v>
      </c>
      <c r="D10" s="492" t="s">
        <v>637</v>
      </c>
      <c r="E10" s="492" t="s">
        <v>359</v>
      </c>
      <c r="F10" s="490" t="s">
        <v>9</v>
      </c>
      <c r="G10" s="490" t="s">
        <v>353</v>
      </c>
      <c r="H10" s="490" t="s">
        <v>368</v>
      </c>
      <c r="I10" s="1003"/>
    </row>
    <row r="11" spans="1:9" s="600" customFormat="1" ht="12.75" thickBot="1">
      <c r="A11" s="1011"/>
      <c r="B11" s="601" t="s">
        <v>420</v>
      </c>
      <c r="C11" s="602" t="s">
        <v>421</v>
      </c>
      <c r="D11" s="602" t="s">
        <v>422</v>
      </c>
      <c r="E11" s="603" t="s">
        <v>423</v>
      </c>
      <c r="F11" s="603" t="s">
        <v>424</v>
      </c>
      <c r="G11" s="603" t="s">
        <v>425</v>
      </c>
      <c r="H11" s="604" t="s">
        <v>427</v>
      </c>
      <c r="I11" s="604" t="s">
        <v>428</v>
      </c>
    </row>
    <row r="12" spans="1:9" s="509" customFormat="1" ht="36" customHeight="1">
      <c r="A12" s="1023" t="s">
        <v>367</v>
      </c>
      <c r="B12" s="1024"/>
      <c r="C12" s="1024"/>
      <c r="D12" s="1024"/>
      <c r="E12" s="1024"/>
      <c r="F12" s="1024"/>
      <c r="G12" s="1024"/>
      <c r="H12" s="1024"/>
      <c r="I12" s="1025"/>
    </row>
    <row r="13" spans="1:9" s="606" customFormat="1" ht="34.5" customHeight="1">
      <c r="A13" s="607" t="s">
        <v>389</v>
      </c>
      <c r="B13" s="608" t="s">
        <v>859</v>
      </c>
      <c r="C13" s="610">
        <f>83641200+385000+1083000</f>
        <v>85109200</v>
      </c>
      <c r="D13" s="610">
        <f>15658358+75075+211188</f>
        <v>15944621</v>
      </c>
      <c r="E13" s="610">
        <f>20108238+439819</f>
        <v>20548057</v>
      </c>
      <c r="F13" s="610">
        <v>0</v>
      </c>
      <c r="G13" s="610">
        <f>1229404-139700+1269600</f>
        <v>2359304</v>
      </c>
      <c r="H13" s="610">
        <v>0</v>
      </c>
      <c r="I13" s="611">
        <f>SUM(C13:H13)</f>
        <v>123961182</v>
      </c>
    </row>
    <row r="14" spans="1:9" s="606" customFormat="1" ht="30.75" customHeight="1">
      <c r="A14" s="607" t="s">
        <v>390</v>
      </c>
      <c r="B14" s="608" t="s">
        <v>855</v>
      </c>
      <c r="C14" s="610">
        <v>0</v>
      </c>
      <c r="D14" s="610">
        <v>0</v>
      </c>
      <c r="E14" s="610">
        <v>0</v>
      </c>
      <c r="F14" s="610">
        <v>6018160</v>
      </c>
      <c r="G14" s="610">
        <v>0</v>
      </c>
      <c r="H14" s="610">
        <v>0</v>
      </c>
      <c r="I14" s="611">
        <f>SUM(C14:H14)</f>
        <v>6018160</v>
      </c>
    </row>
    <row r="15" spans="1:9" s="606" customFormat="1" ht="30.75" customHeight="1">
      <c r="A15" s="612" t="s">
        <v>391</v>
      </c>
      <c r="B15" s="613" t="s">
        <v>893</v>
      </c>
      <c r="C15" s="614">
        <f>1420400+6373+34746</f>
        <v>1461519</v>
      </c>
      <c r="D15" s="614">
        <f>293205-8607</f>
        <v>284598</v>
      </c>
      <c r="E15" s="614">
        <f>256193+2370+2234</f>
        <v>260797</v>
      </c>
      <c r="F15" s="614">
        <v>0</v>
      </c>
      <c r="G15" s="614">
        <f>139700</f>
        <v>139700</v>
      </c>
      <c r="H15" s="614">
        <v>0</v>
      </c>
      <c r="I15" s="611">
        <f>SUM(C15:H15)</f>
        <v>2146614</v>
      </c>
    </row>
    <row r="16" spans="1:12" s="615" customFormat="1" ht="24" customHeight="1" thickBot="1">
      <c r="A16" s="622" t="s">
        <v>392</v>
      </c>
      <c r="B16" s="623" t="s">
        <v>361</v>
      </c>
      <c r="C16" s="624">
        <f aca="true" t="shared" si="0" ref="C16:H16">SUM(C13:C15)</f>
        <v>86570719</v>
      </c>
      <c r="D16" s="624">
        <f t="shared" si="0"/>
        <v>16229219</v>
      </c>
      <c r="E16" s="624">
        <f t="shared" si="0"/>
        <v>20808854</v>
      </c>
      <c r="F16" s="624">
        <f t="shared" si="0"/>
        <v>6018160</v>
      </c>
      <c r="G16" s="624">
        <f t="shared" si="0"/>
        <v>2499004</v>
      </c>
      <c r="H16" s="624">
        <f t="shared" si="0"/>
        <v>0</v>
      </c>
      <c r="I16" s="625">
        <f>SUM(I10:I15)</f>
        <v>132125956</v>
      </c>
      <c r="J16" s="620">
        <f>SUM(C16:H16)</f>
        <v>132125956</v>
      </c>
      <c r="K16" s="621"/>
      <c r="L16" s="621"/>
    </row>
    <row r="17" spans="1:9" s="605" customFormat="1" ht="36.75" customHeight="1">
      <c r="A17" s="1017" t="s">
        <v>770</v>
      </c>
      <c r="B17" s="1018"/>
      <c r="C17" s="1018"/>
      <c r="D17" s="1018"/>
      <c r="E17" s="1018"/>
      <c r="F17" s="1018"/>
      <c r="G17" s="1018"/>
      <c r="H17" s="1018"/>
      <c r="I17" s="1019"/>
    </row>
    <row r="18" spans="1:9" s="606" customFormat="1" ht="23.25" customHeight="1">
      <c r="A18" s="607" t="s">
        <v>389</v>
      </c>
      <c r="B18" s="608" t="s">
        <v>791</v>
      </c>
      <c r="C18" s="609">
        <v>0</v>
      </c>
      <c r="D18" s="609">
        <v>0</v>
      </c>
      <c r="E18" s="609">
        <v>30823296</v>
      </c>
      <c r="F18" s="610">
        <v>0</v>
      </c>
      <c r="G18" s="609">
        <v>0</v>
      </c>
      <c r="H18" s="610">
        <v>0</v>
      </c>
      <c r="I18" s="611">
        <f aca="true" t="shared" si="1" ref="I18:I28">SUM(C18:H18)</f>
        <v>30823296</v>
      </c>
    </row>
    <row r="19" spans="1:9" s="606" customFormat="1" ht="23.25" customHeight="1">
      <c r="A19" s="607" t="s">
        <v>390</v>
      </c>
      <c r="B19" s="608" t="s">
        <v>792</v>
      </c>
      <c r="C19" s="609">
        <f>94274236-7297240-336000+433600</f>
        <v>87074596</v>
      </c>
      <c r="D19" s="609">
        <f>21189574-1422962-65520+84552</f>
        <v>19785644</v>
      </c>
      <c r="E19" s="609">
        <f>12894538-96000-170000-84541-195000-79900-198285</f>
        <v>12070812</v>
      </c>
      <c r="F19" s="610">
        <v>0</v>
      </c>
      <c r="G19" s="609">
        <f>139700+84541+79900</f>
        <v>304141</v>
      </c>
      <c r="H19" s="610">
        <v>0</v>
      </c>
      <c r="I19" s="611">
        <f t="shared" si="1"/>
        <v>119235193</v>
      </c>
    </row>
    <row r="20" spans="1:9" s="606" customFormat="1" ht="23.25" customHeight="1">
      <c r="A20" s="607" t="s">
        <v>391</v>
      </c>
      <c r="B20" s="608" t="s">
        <v>793</v>
      </c>
      <c r="C20" s="609">
        <v>10997572</v>
      </c>
      <c r="D20" s="609">
        <v>2155423</v>
      </c>
      <c r="E20" s="609">
        <v>296100</v>
      </c>
      <c r="F20" s="610">
        <v>0</v>
      </c>
      <c r="G20" s="609">
        <v>0</v>
      </c>
      <c r="H20" s="610">
        <v>0</v>
      </c>
      <c r="I20" s="611">
        <f t="shared" si="1"/>
        <v>13449095</v>
      </c>
    </row>
    <row r="21" spans="1:9" s="606" customFormat="1" ht="23.25" customHeight="1">
      <c r="A21" s="607" t="s">
        <v>392</v>
      </c>
      <c r="B21" s="608" t="s">
        <v>1150</v>
      </c>
      <c r="C21" s="609">
        <v>621002</v>
      </c>
      <c r="D21" s="609">
        <v>121098</v>
      </c>
      <c r="E21" s="609">
        <v>0</v>
      </c>
      <c r="F21" s="610">
        <v>0</v>
      </c>
      <c r="G21" s="609">
        <v>0</v>
      </c>
      <c r="H21" s="610">
        <v>0</v>
      </c>
      <c r="I21" s="611">
        <f t="shared" si="1"/>
        <v>742100</v>
      </c>
    </row>
    <row r="22" spans="1:9" s="606" customFormat="1" ht="23.25" customHeight="1">
      <c r="A22" s="607" t="s">
        <v>393</v>
      </c>
      <c r="B22" s="608" t="s">
        <v>544</v>
      </c>
      <c r="C22" s="609">
        <v>4613500</v>
      </c>
      <c r="D22" s="609">
        <v>910195</v>
      </c>
      <c r="E22" s="609">
        <f>721417+3+17240-10240</f>
        <v>728420</v>
      </c>
      <c r="F22" s="610">
        <v>0</v>
      </c>
      <c r="G22" s="892">
        <f>123070+198285-39190</f>
        <v>282165</v>
      </c>
      <c r="H22" s="610">
        <f>700924+49430</f>
        <v>750354</v>
      </c>
      <c r="I22" s="611">
        <f t="shared" si="1"/>
        <v>7284634</v>
      </c>
    </row>
    <row r="23" spans="1:9" s="606" customFormat="1" ht="23.25" customHeight="1">
      <c r="A23" s="607" t="s">
        <v>394</v>
      </c>
      <c r="B23" s="608" t="s">
        <v>584</v>
      </c>
      <c r="C23" s="609">
        <v>15997239</v>
      </c>
      <c r="D23" s="609">
        <v>3155478</v>
      </c>
      <c r="E23" s="609">
        <f>4844076-152273</f>
        <v>4691803</v>
      </c>
      <c r="F23" s="610">
        <v>0</v>
      </c>
      <c r="G23" s="609">
        <f>88900+152273</f>
        <v>241173</v>
      </c>
      <c r="H23" s="610">
        <v>0</v>
      </c>
      <c r="I23" s="611">
        <f t="shared" si="1"/>
        <v>24085693</v>
      </c>
    </row>
    <row r="24" spans="1:9" s="606" customFormat="1" ht="23.25" customHeight="1">
      <c r="A24" s="607" t="s">
        <v>395</v>
      </c>
      <c r="B24" s="608" t="s">
        <v>707</v>
      </c>
      <c r="C24" s="609">
        <v>13019321</v>
      </c>
      <c r="D24" s="609">
        <v>2547963</v>
      </c>
      <c r="E24" s="609">
        <f>2803888-151629</f>
        <v>2652259</v>
      </c>
      <c r="F24" s="610">
        <v>0</v>
      </c>
      <c r="G24" s="609">
        <f>76200+151629</f>
        <v>227829</v>
      </c>
      <c r="H24" s="610">
        <v>0</v>
      </c>
      <c r="I24" s="611">
        <f t="shared" si="1"/>
        <v>18447372</v>
      </c>
    </row>
    <row r="25" spans="1:9" s="606" customFormat="1" ht="23.25" customHeight="1">
      <c r="A25" s="607" t="s">
        <v>396</v>
      </c>
      <c r="B25" s="608" t="s">
        <v>708</v>
      </c>
      <c r="C25" s="609">
        <f>8646048+66000</f>
        <v>8712048</v>
      </c>
      <c r="D25" s="609">
        <f>1701132+12870</f>
        <v>1714002</v>
      </c>
      <c r="E25" s="609">
        <v>1159551</v>
      </c>
      <c r="F25" s="610">
        <v>0</v>
      </c>
      <c r="G25" s="609">
        <f>195000</f>
        <v>195000</v>
      </c>
      <c r="H25" s="610">
        <v>0</v>
      </c>
      <c r="I25" s="611">
        <f t="shared" si="1"/>
        <v>11780601</v>
      </c>
    </row>
    <row r="26" spans="1:9" s="606" customFormat="1" ht="23.25" customHeight="1">
      <c r="A26" s="607" t="s">
        <v>397</v>
      </c>
      <c r="B26" s="608" t="s">
        <v>794</v>
      </c>
      <c r="C26" s="610">
        <v>0</v>
      </c>
      <c r="D26" s="610">
        <v>0</v>
      </c>
      <c r="E26" s="610">
        <v>2665263</v>
      </c>
      <c r="F26" s="610">
        <v>0</v>
      </c>
      <c r="G26" s="610">
        <v>0</v>
      </c>
      <c r="H26" s="610">
        <v>0</v>
      </c>
      <c r="I26" s="611">
        <f t="shared" si="1"/>
        <v>2665263</v>
      </c>
    </row>
    <row r="27" spans="1:9" s="606" customFormat="1" ht="57">
      <c r="A27" s="612" t="s">
        <v>398</v>
      </c>
      <c r="B27" s="608" t="s">
        <v>895</v>
      </c>
      <c r="C27" s="610">
        <v>21649000</v>
      </c>
      <c r="D27" s="610">
        <v>5088000</v>
      </c>
      <c r="E27" s="610">
        <v>16670259</v>
      </c>
      <c r="F27" s="610">
        <v>0</v>
      </c>
      <c r="G27" s="610">
        <v>1687190</v>
      </c>
      <c r="H27" s="610">
        <v>0</v>
      </c>
      <c r="I27" s="611">
        <f t="shared" si="1"/>
        <v>45094449</v>
      </c>
    </row>
    <row r="28" spans="1:9" s="606" customFormat="1" ht="32.25" customHeight="1" thickBot="1">
      <c r="A28" s="612" t="s">
        <v>399</v>
      </c>
      <c r="B28" s="613" t="s">
        <v>894</v>
      </c>
      <c r="C28" s="899">
        <v>9187815</v>
      </c>
      <c r="D28" s="899">
        <v>2040168</v>
      </c>
      <c r="E28" s="899">
        <v>19871884</v>
      </c>
      <c r="F28" s="899">
        <v>0</v>
      </c>
      <c r="G28" s="899">
        <v>2412553</v>
      </c>
      <c r="H28" s="899">
        <v>0</v>
      </c>
      <c r="I28" s="900">
        <f t="shared" si="1"/>
        <v>33512420</v>
      </c>
    </row>
    <row r="29" spans="1:12" s="615" customFormat="1" ht="24" customHeight="1" thickBot="1">
      <c r="A29" s="616" t="s">
        <v>400</v>
      </c>
      <c r="B29" s="617" t="s">
        <v>361</v>
      </c>
      <c r="C29" s="618">
        <f aca="true" t="shared" si="2" ref="C29:I29">SUM(C18:C28)</f>
        <v>171872093</v>
      </c>
      <c r="D29" s="618">
        <f t="shared" si="2"/>
        <v>37517971</v>
      </c>
      <c r="E29" s="618">
        <f t="shared" si="2"/>
        <v>91629647</v>
      </c>
      <c r="F29" s="618">
        <f t="shared" si="2"/>
        <v>0</v>
      </c>
      <c r="G29" s="618">
        <f t="shared" si="2"/>
        <v>5350051</v>
      </c>
      <c r="H29" s="618">
        <f t="shared" si="2"/>
        <v>750354</v>
      </c>
      <c r="I29" s="619">
        <f t="shared" si="2"/>
        <v>307120116</v>
      </c>
      <c r="J29" s="620">
        <f>SUM(C29:H29)</f>
        <v>307120116</v>
      </c>
      <c r="K29" s="621"/>
      <c r="L29" s="621"/>
    </row>
    <row r="30" spans="1:9" s="509" customFormat="1" ht="39" customHeight="1">
      <c r="A30" s="1020" t="s">
        <v>860</v>
      </c>
      <c r="B30" s="1021"/>
      <c r="C30" s="1021"/>
      <c r="D30" s="1021"/>
      <c r="E30" s="1021"/>
      <c r="F30" s="1021"/>
      <c r="G30" s="1021"/>
      <c r="H30" s="1021"/>
      <c r="I30" s="1022"/>
    </row>
    <row r="31" spans="1:9" s="606" customFormat="1" ht="31.5" customHeight="1">
      <c r="A31" s="607" t="s">
        <v>389</v>
      </c>
      <c r="B31" s="608" t="s">
        <v>543</v>
      </c>
      <c r="C31" s="610">
        <v>0</v>
      </c>
      <c r="D31" s="610">
        <v>0</v>
      </c>
      <c r="E31" s="610">
        <f>1100000</f>
        <v>1100000</v>
      </c>
      <c r="F31" s="610">
        <v>0</v>
      </c>
      <c r="G31" s="610">
        <v>0</v>
      </c>
      <c r="H31" s="610">
        <v>0</v>
      </c>
      <c r="I31" s="611">
        <f>SUM(C31:H31)</f>
        <v>1100000</v>
      </c>
    </row>
    <row r="32" spans="1:9" s="606" customFormat="1" ht="23.25" customHeight="1">
      <c r="A32" s="607" t="s">
        <v>390</v>
      </c>
      <c r="B32" s="608" t="s">
        <v>379</v>
      </c>
      <c r="C32" s="610">
        <v>2428400</v>
      </c>
      <c r="D32" s="610">
        <v>478841</v>
      </c>
      <c r="E32" s="610">
        <f>3400630-574597</f>
        <v>2826033</v>
      </c>
      <c r="F32" s="610">
        <v>0</v>
      </c>
      <c r="G32" s="610">
        <v>0</v>
      </c>
      <c r="H32" s="610">
        <v>0</v>
      </c>
      <c r="I32" s="611">
        <f>SUM(C32:H32)</f>
        <v>5733274</v>
      </c>
    </row>
    <row r="33" spans="1:9" s="606" customFormat="1" ht="23.25" customHeight="1">
      <c r="A33" s="607" t="s">
        <v>391</v>
      </c>
      <c r="B33" s="608" t="s">
        <v>85</v>
      </c>
      <c r="C33" s="610">
        <v>0</v>
      </c>
      <c r="D33" s="610">
        <v>0</v>
      </c>
      <c r="E33" s="610">
        <v>49530</v>
      </c>
      <c r="F33" s="610">
        <v>0</v>
      </c>
      <c r="G33" s="610">
        <v>0</v>
      </c>
      <c r="H33" s="610">
        <v>0</v>
      </c>
      <c r="I33" s="611">
        <f>SUM(C33:H33)</f>
        <v>49530</v>
      </c>
    </row>
    <row r="34" spans="1:9" s="606" customFormat="1" ht="33" customHeight="1">
      <c r="A34" s="607" t="s">
        <v>392</v>
      </c>
      <c r="B34" s="608" t="s">
        <v>795</v>
      </c>
      <c r="C34" s="610">
        <v>7343000</v>
      </c>
      <c r="D34" s="610">
        <v>1437188</v>
      </c>
      <c r="E34" s="610">
        <f>13986001-3000000-103900-700000</f>
        <v>10182101</v>
      </c>
      <c r="F34" s="610">
        <v>0</v>
      </c>
      <c r="G34" s="610">
        <v>103900</v>
      </c>
      <c r="H34" s="610">
        <v>0</v>
      </c>
      <c r="I34" s="611">
        <f>SUM(C34:H34)</f>
        <v>19066189</v>
      </c>
    </row>
    <row r="35" spans="1:12" s="615" customFormat="1" ht="24" customHeight="1" thickBot="1">
      <c r="A35" s="622" t="s">
        <v>393</v>
      </c>
      <c r="B35" s="623" t="s">
        <v>361</v>
      </c>
      <c r="C35" s="624">
        <f aca="true" t="shared" si="3" ref="C35:I35">SUM(C30:C34)</f>
        <v>9771400</v>
      </c>
      <c r="D35" s="624">
        <f t="shared" si="3"/>
        <v>1916029</v>
      </c>
      <c r="E35" s="624">
        <f t="shared" si="3"/>
        <v>14157664</v>
      </c>
      <c r="F35" s="624">
        <f>SUM(F30:F34)</f>
        <v>0</v>
      </c>
      <c r="G35" s="624">
        <f t="shared" si="3"/>
        <v>103900</v>
      </c>
      <c r="H35" s="624">
        <f t="shared" si="3"/>
        <v>0</v>
      </c>
      <c r="I35" s="625">
        <f t="shared" si="3"/>
        <v>25948993</v>
      </c>
      <c r="J35" s="620">
        <f>SUM(C35:H35)</f>
        <v>25948993</v>
      </c>
      <c r="K35" s="621"/>
      <c r="L35" s="621"/>
    </row>
  </sheetData>
  <sheetProtection/>
  <mergeCells count="9">
    <mergeCell ref="A4:I4"/>
    <mergeCell ref="A17:I17"/>
    <mergeCell ref="A30:I30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7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8"/>
  <sheetViews>
    <sheetView workbookViewId="0" topLeftCell="A25">
      <selection activeCell="G2" sqref="G2"/>
    </sheetView>
  </sheetViews>
  <sheetFormatPr defaultColWidth="9.00390625" defaultRowHeight="12.75"/>
  <cols>
    <col min="1" max="1" width="7.75390625" style="142" customWidth="1"/>
    <col min="2" max="2" width="31.75390625" style="142" customWidth="1"/>
    <col min="3" max="3" width="14.375" style="142" customWidth="1"/>
    <col min="4" max="5" width="13.75390625" style="142" bestFit="1" customWidth="1"/>
    <col min="6" max="6" width="16.25390625" style="142" bestFit="1" customWidth="1"/>
    <col min="7" max="9" width="14.375" style="142" bestFit="1" customWidth="1"/>
    <col min="10" max="11" width="12.875" style="142" customWidth="1"/>
    <col min="12" max="12" width="15.00390625" style="142" customWidth="1"/>
    <col min="13" max="13" width="17.00390625" style="142" bestFit="1" customWidth="1"/>
    <col min="14" max="15" width="9.125" style="142" customWidth="1"/>
    <col min="16" max="16" width="12.875" style="142" bestFit="1" customWidth="1"/>
    <col min="17" max="16384" width="9.125" style="142" customWidth="1"/>
  </cols>
  <sheetData>
    <row r="1" spans="1:21" ht="15">
      <c r="A1" s="209"/>
      <c r="B1" s="210"/>
      <c r="C1" s="211"/>
      <c r="D1" s="211"/>
      <c r="E1" s="211"/>
      <c r="F1" s="211"/>
      <c r="G1" s="1049" t="s">
        <v>1164</v>
      </c>
      <c r="H1" s="1049"/>
      <c r="I1" s="1050"/>
      <c r="J1" s="1050"/>
      <c r="K1" s="1050"/>
      <c r="L1" s="1050"/>
      <c r="M1" s="1050"/>
      <c r="N1" s="210"/>
      <c r="O1" s="210"/>
      <c r="P1" s="210"/>
      <c r="Q1" s="210"/>
      <c r="R1" s="212"/>
      <c r="S1" s="212"/>
      <c r="T1" s="212"/>
      <c r="U1" s="210"/>
    </row>
    <row r="2" spans="1:21" ht="12.75">
      <c r="A2" s="209"/>
      <c r="B2" s="210"/>
      <c r="C2" s="211"/>
      <c r="D2" s="211"/>
      <c r="E2" s="211"/>
      <c r="F2" s="211"/>
      <c r="G2" s="213"/>
      <c r="H2" s="213"/>
      <c r="I2" s="214"/>
      <c r="J2" s="214"/>
      <c r="K2" s="214"/>
      <c r="L2" s="214"/>
      <c r="M2" s="214"/>
      <c r="N2" s="210"/>
      <c r="O2" s="210"/>
      <c r="P2" s="210"/>
      <c r="Q2" s="210"/>
      <c r="R2" s="212"/>
      <c r="S2" s="212"/>
      <c r="T2" s="212"/>
      <c r="U2" s="210"/>
    </row>
    <row r="3" spans="1:27" ht="15.75" customHeight="1">
      <c r="A3" s="1054" t="s">
        <v>796</v>
      </c>
      <c r="B3" s="1054"/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3.5" thickBot="1">
      <c r="A4" s="1054"/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27" ht="16.5" thickBot="1">
      <c r="A5" s="1044" t="s">
        <v>426</v>
      </c>
      <c r="B5" s="1041" t="s">
        <v>357</v>
      </c>
      <c r="C5" s="1047" t="s">
        <v>480</v>
      </c>
      <c r="D5" s="1047"/>
      <c r="E5" s="1047"/>
      <c r="F5" s="1047"/>
      <c r="G5" s="1047"/>
      <c r="H5" s="1047"/>
      <c r="I5" s="1047"/>
      <c r="J5" s="1047"/>
      <c r="K5" s="1047"/>
      <c r="L5" s="1047"/>
      <c r="M5" s="1048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7"/>
    </row>
    <row r="6" spans="1:13" ht="12.75" customHeight="1">
      <c r="A6" s="1045"/>
      <c r="B6" s="1042"/>
      <c r="C6" s="1055" t="s">
        <v>481</v>
      </c>
      <c r="D6" s="1032" t="s">
        <v>482</v>
      </c>
      <c r="E6" s="1033"/>
      <c r="F6" s="1034"/>
      <c r="G6" s="1032" t="s">
        <v>483</v>
      </c>
      <c r="H6" s="1033"/>
      <c r="I6" s="1034"/>
      <c r="J6" s="1032" t="s">
        <v>484</v>
      </c>
      <c r="K6" s="1033"/>
      <c r="L6" s="1034"/>
      <c r="M6" s="1051" t="s">
        <v>366</v>
      </c>
    </row>
    <row r="7" spans="1:13" ht="12.75" customHeight="1">
      <c r="A7" s="1045"/>
      <c r="B7" s="1042"/>
      <c r="C7" s="1056"/>
      <c r="D7" s="1035"/>
      <c r="E7" s="1036"/>
      <c r="F7" s="1037"/>
      <c r="G7" s="1035"/>
      <c r="H7" s="1036"/>
      <c r="I7" s="1037"/>
      <c r="J7" s="1035"/>
      <c r="K7" s="1036"/>
      <c r="L7" s="1037"/>
      <c r="M7" s="1052"/>
    </row>
    <row r="8" spans="1:13" ht="24" customHeight="1" thickBot="1">
      <c r="A8" s="1046"/>
      <c r="B8" s="1043"/>
      <c r="C8" s="1057"/>
      <c r="D8" s="218" t="s">
        <v>86</v>
      </c>
      <c r="E8" s="219" t="s">
        <v>87</v>
      </c>
      <c r="F8" s="220" t="s">
        <v>88</v>
      </c>
      <c r="G8" s="221" t="s">
        <v>86</v>
      </c>
      <c r="H8" s="219" t="s">
        <v>87</v>
      </c>
      <c r="I8" s="220" t="s">
        <v>88</v>
      </c>
      <c r="J8" s="221" t="s">
        <v>86</v>
      </c>
      <c r="K8" s="219" t="s">
        <v>87</v>
      </c>
      <c r="L8" s="220" t="s">
        <v>88</v>
      </c>
      <c r="M8" s="1053"/>
    </row>
    <row r="9" spans="1:13" ht="29.25" customHeight="1">
      <c r="A9" s="222" t="s">
        <v>389</v>
      </c>
      <c r="B9" s="223" t="s">
        <v>61</v>
      </c>
      <c r="C9" s="224" t="s">
        <v>724</v>
      </c>
      <c r="D9" s="225">
        <f>50694554+1031200+30800+6006+63500+190500+1055350+1492000+100000+1032600+243600</f>
        <v>55940110</v>
      </c>
      <c r="E9" s="226">
        <f>2316859-243600</f>
        <v>2073259</v>
      </c>
      <c r="F9" s="227">
        <f aca="true" t="shared" si="0" ref="F9:F55">SUM(D9:E9)</f>
        <v>58013369</v>
      </c>
      <c r="G9" s="228"/>
      <c r="H9" s="627"/>
      <c r="I9" s="227">
        <f aca="true" t="shared" si="1" ref="I9:I55">SUM(G9:H9)</f>
        <v>0</v>
      </c>
      <c r="J9" s="229"/>
      <c r="K9" s="230"/>
      <c r="L9" s="227">
        <f aca="true" t="shared" si="2" ref="L9:L45">SUM(J9:K9)</f>
        <v>0</v>
      </c>
      <c r="M9" s="231">
        <f aca="true" t="shared" si="3" ref="M9:M55">SUM(F9+I9+L9)</f>
        <v>58013369</v>
      </c>
    </row>
    <row r="10" spans="1:13" ht="29.25" customHeight="1">
      <c r="A10" s="232" t="s">
        <v>390</v>
      </c>
      <c r="B10" s="234" t="s">
        <v>56</v>
      </c>
      <c r="C10" s="233" t="s">
        <v>710</v>
      </c>
      <c r="D10" s="225">
        <f>65256278+68000+7679730+1417+7100000</f>
        <v>80105425</v>
      </c>
      <c r="E10" s="226">
        <f>2949520+3000000+5000000</f>
        <v>10949520</v>
      </c>
      <c r="F10" s="227">
        <f t="shared" si="0"/>
        <v>91054945</v>
      </c>
      <c r="G10" s="632"/>
      <c r="H10" s="226">
        <v>1159500</v>
      </c>
      <c r="I10" s="227">
        <f t="shared" si="1"/>
        <v>1159500</v>
      </c>
      <c r="J10" s="229"/>
      <c r="K10" s="230"/>
      <c r="L10" s="227">
        <f t="shared" si="2"/>
        <v>0</v>
      </c>
      <c r="M10" s="231">
        <f t="shared" si="3"/>
        <v>92214445</v>
      </c>
    </row>
    <row r="11" spans="1:13" ht="29.25" customHeight="1">
      <c r="A11" s="232" t="s">
        <v>391</v>
      </c>
      <c r="B11" s="234" t="s">
        <v>58</v>
      </c>
      <c r="C11" s="233" t="s">
        <v>799</v>
      </c>
      <c r="D11" s="225">
        <v>2638913</v>
      </c>
      <c r="E11" s="627"/>
      <c r="F11" s="227">
        <f t="shared" si="0"/>
        <v>2638913</v>
      </c>
      <c r="G11" s="228">
        <v>4592665</v>
      </c>
      <c r="H11" s="627"/>
      <c r="I11" s="227">
        <f t="shared" si="1"/>
        <v>4592665</v>
      </c>
      <c r="J11" s="229"/>
      <c r="K11" s="230"/>
      <c r="L11" s="227">
        <f t="shared" si="2"/>
        <v>0</v>
      </c>
      <c r="M11" s="231">
        <f t="shared" si="3"/>
        <v>7231578</v>
      </c>
    </row>
    <row r="12" spans="1:13" ht="29.25" customHeight="1">
      <c r="A12" s="232" t="s">
        <v>392</v>
      </c>
      <c r="B12" s="234" t="s">
        <v>373</v>
      </c>
      <c r="C12" s="235"/>
      <c r="D12" s="626"/>
      <c r="E12" s="627"/>
      <c r="F12" s="227">
        <f t="shared" si="0"/>
        <v>0</v>
      </c>
      <c r="G12" s="228">
        <f>7224187-5500000+1100000+420000+80000+1350000</f>
        <v>4674187</v>
      </c>
      <c r="H12" s="627"/>
      <c r="I12" s="227">
        <f t="shared" si="1"/>
        <v>4674187</v>
      </c>
      <c r="J12" s="229"/>
      <c r="K12" s="230"/>
      <c r="L12" s="227">
        <f t="shared" si="2"/>
        <v>0</v>
      </c>
      <c r="M12" s="231">
        <f t="shared" si="3"/>
        <v>4674187</v>
      </c>
    </row>
    <row r="13" spans="1:13" ht="29.25" customHeight="1">
      <c r="A13" s="232" t="s">
        <v>393</v>
      </c>
      <c r="B13" s="234" t="s">
        <v>777</v>
      </c>
      <c r="C13" s="227" t="s">
        <v>800</v>
      </c>
      <c r="D13" s="225">
        <f>34037935+66110+32640+20906574</f>
        <v>55043259</v>
      </c>
      <c r="E13" s="627"/>
      <c r="F13" s="227">
        <f t="shared" si="0"/>
        <v>55043259</v>
      </c>
      <c r="G13" s="632"/>
      <c r="H13" s="627"/>
      <c r="I13" s="227">
        <f t="shared" si="1"/>
        <v>0</v>
      </c>
      <c r="J13" s="229"/>
      <c r="K13" s="230"/>
      <c r="L13" s="227">
        <f t="shared" si="2"/>
        <v>0</v>
      </c>
      <c r="M13" s="231">
        <f t="shared" si="3"/>
        <v>55043259</v>
      </c>
    </row>
    <row r="14" spans="1:13" ht="21.75" customHeight="1">
      <c r="A14" s="232" t="s">
        <v>394</v>
      </c>
      <c r="B14" s="250" t="s">
        <v>634</v>
      </c>
      <c r="C14" s="227" t="s">
        <v>800</v>
      </c>
      <c r="D14" s="237">
        <f>19198739+936+141447+1283275-1150000</f>
        <v>19474397</v>
      </c>
      <c r="E14" s="629"/>
      <c r="F14" s="227">
        <f t="shared" si="0"/>
        <v>19474397</v>
      </c>
      <c r="G14" s="633"/>
      <c r="H14" s="629"/>
      <c r="I14" s="227">
        <f t="shared" si="1"/>
        <v>0</v>
      </c>
      <c r="J14" s="240"/>
      <c r="K14" s="241"/>
      <c r="L14" s="227">
        <f t="shared" si="2"/>
        <v>0</v>
      </c>
      <c r="M14" s="231">
        <f t="shared" si="3"/>
        <v>19474397</v>
      </c>
    </row>
    <row r="15" spans="1:13" ht="29.25" customHeight="1">
      <c r="A15" s="232" t="s">
        <v>395</v>
      </c>
      <c r="B15" s="234" t="s">
        <v>66</v>
      </c>
      <c r="C15" s="227" t="s">
        <v>711</v>
      </c>
      <c r="D15" s="626"/>
      <c r="E15" s="627"/>
      <c r="F15" s="227">
        <f t="shared" si="0"/>
        <v>0</v>
      </c>
      <c r="G15" s="632"/>
      <c r="H15" s="627"/>
      <c r="I15" s="227">
        <f t="shared" si="1"/>
        <v>0</v>
      </c>
      <c r="J15" s="229">
        <f>50486791+2200+429-120000-73660</f>
        <v>50295760</v>
      </c>
      <c r="K15" s="230">
        <f>508000+120000+73660</f>
        <v>701660</v>
      </c>
      <c r="L15" s="227">
        <f t="shared" si="2"/>
        <v>50997420</v>
      </c>
      <c r="M15" s="231">
        <f t="shared" si="3"/>
        <v>50997420</v>
      </c>
    </row>
    <row r="16" spans="1:13" ht="29.25" customHeight="1">
      <c r="A16" s="232" t="s">
        <v>396</v>
      </c>
      <c r="B16" s="234" t="s">
        <v>778</v>
      </c>
      <c r="C16" s="233"/>
      <c r="D16" s="626"/>
      <c r="E16" s="627"/>
      <c r="F16" s="227">
        <f t="shared" si="0"/>
        <v>0</v>
      </c>
      <c r="G16" s="632"/>
      <c r="H16" s="226">
        <f>264185263+151044</f>
        <v>264336307</v>
      </c>
      <c r="I16" s="227">
        <f t="shared" si="1"/>
        <v>264336307</v>
      </c>
      <c r="J16" s="229"/>
      <c r="K16" s="230"/>
      <c r="L16" s="227">
        <f t="shared" si="2"/>
        <v>0</v>
      </c>
      <c r="M16" s="231">
        <f t="shared" si="3"/>
        <v>264336307</v>
      </c>
    </row>
    <row r="17" spans="1:13" ht="29.25" customHeight="1">
      <c r="A17" s="232" t="s">
        <v>397</v>
      </c>
      <c r="B17" s="234" t="s">
        <v>780</v>
      </c>
      <c r="C17" s="233" t="s">
        <v>797</v>
      </c>
      <c r="D17" s="225">
        <f>11977188+28103985+2740077+8057715+246024</f>
        <v>51124989</v>
      </c>
      <c r="E17" s="226">
        <v>1846997</v>
      </c>
      <c r="F17" s="227">
        <f t="shared" si="0"/>
        <v>52971986</v>
      </c>
      <c r="G17" s="632"/>
      <c r="H17" s="627"/>
      <c r="I17" s="227">
        <f t="shared" si="1"/>
        <v>0</v>
      </c>
      <c r="J17" s="229"/>
      <c r="K17" s="230"/>
      <c r="L17" s="227">
        <f t="shared" si="2"/>
        <v>0</v>
      </c>
      <c r="M17" s="231">
        <f t="shared" si="3"/>
        <v>52971986</v>
      </c>
    </row>
    <row r="18" spans="1:13" ht="29.25" customHeight="1">
      <c r="A18" s="232" t="s">
        <v>398</v>
      </c>
      <c r="B18" s="234" t="s">
        <v>781</v>
      </c>
      <c r="C18" s="233" t="s">
        <v>797</v>
      </c>
      <c r="D18" s="225">
        <f>23626850+40610080+3959404+2045415+426539+9375932+914153+823080</f>
        <v>81781453</v>
      </c>
      <c r="E18" s="226">
        <v>299888</v>
      </c>
      <c r="F18" s="227">
        <f t="shared" si="0"/>
        <v>82081341</v>
      </c>
      <c r="G18" s="632"/>
      <c r="H18" s="627"/>
      <c r="I18" s="227">
        <f t="shared" si="1"/>
        <v>0</v>
      </c>
      <c r="J18" s="229"/>
      <c r="K18" s="230"/>
      <c r="L18" s="227">
        <f t="shared" si="2"/>
        <v>0</v>
      </c>
      <c r="M18" s="231">
        <f t="shared" si="3"/>
        <v>82081341</v>
      </c>
    </row>
    <row r="19" spans="1:13" ht="21.75" customHeight="1">
      <c r="A19" s="232" t="s">
        <v>399</v>
      </c>
      <c r="B19" s="250" t="s">
        <v>635</v>
      </c>
      <c r="C19" s="233" t="s">
        <v>712</v>
      </c>
      <c r="D19" s="628"/>
      <c r="E19" s="629"/>
      <c r="F19" s="227">
        <f t="shared" si="0"/>
        <v>0</v>
      </c>
      <c r="G19" s="633"/>
      <c r="H19" s="238">
        <v>12223750</v>
      </c>
      <c r="I19" s="227">
        <f t="shared" si="1"/>
        <v>12223750</v>
      </c>
      <c r="J19" s="240"/>
      <c r="K19" s="241"/>
      <c r="L19" s="227">
        <f t="shared" si="2"/>
        <v>0</v>
      </c>
      <c r="M19" s="231">
        <f t="shared" si="3"/>
        <v>12223750</v>
      </c>
    </row>
    <row r="20" spans="1:13" ht="29.25" customHeight="1">
      <c r="A20" s="236" t="s">
        <v>400</v>
      </c>
      <c r="B20" s="234" t="s">
        <v>354</v>
      </c>
      <c r="C20" s="233" t="s">
        <v>712</v>
      </c>
      <c r="D20" s="225">
        <f>9850000+5000000+868</f>
        <v>14850868</v>
      </c>
      <c r="E20" s="226">
        <f>18159504+30000</f>
        <v>18189504</v>
      </c>
      <c r="F20" s="227">
        <f t="shared" si="0"/>
        <v>33040372</v>
      </c>
      <c r="G20" s="632"/>
      <c r="H20" s="627"/>
      <c r="I20" s="227">
        <f t="shared" si="1"/>
        <v>0</v>
      </c>
      <c r="J20" s="229"/>
      <c r="K20" s="230"/>
      <c r="L20" s="227">
        <f t="shared" si="2"/>
        <v>0</v>
      </c>
      <c r="M20" s="231">
        <f t="shared" si="3"/>
        <v>33040372</v>
      </c>
    </row>
    <row r="21" spans="1:13" ht="29.25" customHeight="1">
      <c r="A21" s="232" t="s">
        <v>401</v>
      </c>
      <c r="B21" s="234" t="s">
        <v>68</v>
      </c>
      <c r="C21" s="233" t="s">
        <v>713</v>
      </c>
      <c r="D21" s="225">
        <v>1270000</v>
      </c>
      <c r="E21" s="226">
        <f>8644085+106200000</f>
        <v>114844085</v>
      </c>
      <c r="F21" s="227">
        <f t="shared" si="0"/>
        <v>116114085</v>
      </c>
      <c r="G21" s="632"/>
      <c r="H21" s="627"/>
      <c r="I21" s="227">
        <f t="shared" si="1"/>
        <v>0</v>
      </c>
      <c r="J21" s="229"/>
      <c r="K21" s="230"/>
      <c r="L21" s="227">
        <f t="shared" si="2"/>
        <v>0</v>
      </c>
      <c r="M21" s="231">
        <f t="shared" si="3"/>
        <v>116114085</v>
      </c>
    </row>
    <row r="22" spans="1:13" ht="29.25" customHeight="1">
      <c r="A22" s="232" t="s">
        <v>402</v>
      </c>
      <c r="B22" s="234" t="s">
        <v>1001</v>
      </c>
      <c r="C22" s="233" t="s">
        <v>712</v>
      </c>
      <c r="D22" s="225">
        <v>7265000</v>
      </c>
      <c r="E22" s="226"/>
      <c r="F22" s="227">
        <f t="shared" si="0"/>
        <v>7265000</v>
      </c>
      <c r="G22" s="632"/>
      <c r="H22" s="627"/>
      <c r="I22" s="227">
        <f t="shared" si="1"/>
        <v>0</v>
      </c>
      <c r="J22" s="229"/>
      <c r="K22" s="230"/>
      <c r="L22" s="227">
        <f t="shared" si="2"/>
        <v>0</v>
      </c>
      <c r="M22" s="231">
        <f t="shared" si="3"/>
        <v>7265000</v>
      </c>
    </row>
    <row r="23" spans="1:13" ht="30.75" customHeight="1">
      <c r="A23" s="232" t="s">
        <v>403</v>
      </c>
      <c r="B23" s="234" t="s">
        <v>50</v>
      </c>
      <c r="C23" s="233" t="s">
        <v>714</v>
      </c>
      <c r="D23" s="237">
        <f>1736016+300000</f>
        <v>2036016</v>
      </c>
      <c r="E23" s="629"/>
      <c r="F23" s="227">
        <f t="shared" si="0"/>
        <v>2036016</v>
      </c>
      <c r="G23" s="633"/>
      <c r="H23" s="629"/>
      <c r="I23" s="227">
        <f t="shared" si="1"/>
        <v>0</v>
      </c>
      <c r="J23" s="240"/>
      <c r="K23" s="241"/>
      <c r="L23" s="227">
        <f t="shared" si="2"/>
        <v>0</v>
      </c>
      <c r="M23" s="231">
        <f t="shared" si="3"/>
        <v>2036016</v>
      </c>
    </row>
    <row r="24" spans="1:13" ht="31.5" customHeight="1">
      <c r="A24" s="232" t="s">
        <v>404</v>
      </c>
      <c r="B24" s="234" t="s">
        <v>371</v>
      </c>
      <c r="C24" s="233" t="s">
        <v>715</v>
      </c>
      <c r="D24" s="237">
        <f>11239754-848360+3300476</f>
        <v>13691870</v>
      </c>
      <c r="E24" s="629"/>
      <c r="F24" s="227">
        <f t="shared" si="0"/>
        <v>13691870</v>
      </c>
      <c r="G24" s="633"/>
      <c r="H24" s="629"/>
      <c r="I24" s="227">
        <f t="shared" si="1"/>
        <v>0</v>
      </c>
      <c r="J24" s="240"/>
      <c r="K24" s="241"/>
      <c r="L24" s="227">
        <f t="shared" si="2"/>
        <v>0</v>
      </c>
      <c r="M24" s="231">
        <f t="shared" si="3"/>
        <v>13691870</v>
      </c>
    </row>
    <row r="25" spans="1:13" ht="31.5" customHeight="1">
      <c r="A25" s="232" t="s">
        <v>405</v>
      </c>
      <c r="B25" s="234" t="s">
        <v>995</v>
      </c>
      <c r="C25" s="245" t="s">
        <v>798</v>
      </c>
      <c r="D25" s="237">
        <v>15000000</v>
      </c>
      <c r="E25" s="238">
        <v>18081467</v>
      </c>
      <c r="F25" s="227">
        <f t="shared" si="0"/>
        <v>33081467</v>
      </c>
      <c r="G25" s="633"/>
      <c r="H25" s="629"/>
      <c r="I25" s="227"/>
      <c r="J25" s="240"/>
      <c r="K25" s="241"/>
      <c r="L25" s="227"/>
      <c r="M25" s="231">
        <f t="shared" si="3"/>
        <v>33081467</v>
      </c>
    </row>
    <row r="26" spans="1:13" ht="21.75" customHeight="1">
      <c r="A26" s="232" t="s">
        <v>406</v>
      </c>
      <c r="B26" s="250" t="s">
        <v>783</v>
      </c>
      <c r="C26" s="245" t="s">
        <v>798</v>
      </c>
      <c r="D26" s="237">
        <v>0</v>
      </c>
      <c r="E26" s="238">
        <v>389000</v>
      </c>
      <c r="F26" s="227">
        <f t="shared" si="0"/>
        <v>389000</v>
      </c>
      <c r="G26" s="633"/>
      <c r="H26" s="629"/>
      <c r="I26" s="227">
        <f t="shared" si="1"/>
        <v>0</v>
      </c>
      <c r="J26" s="240"/>
      <c r="K26" s="241"/>
      <c r="L26" s="227">
        <f t="shared" si="2"/>
        <v>0</v>
      </c>
      <c r="M26" s="231">
        <f t="shared" si="3"/>
        <v>389000</v>
      </c>
    </row>
    <row r="27" spans="1:13" ht="21.75" customHeight="1">
      <c r="A27" s="232" t="s">
        <v>407</v>
      </c>
      <c r="B27" s="250" t="s">
        <v>374</v>
      </c>
      <c r="C27" s="245" t="s">
        <v>712</v>
      </c>
      <c r="D27" s="237">
        <v>23139400</v>
      </c>
      <c r="E27" s="629"/>
      <c r="F27" s="227">
        <f t="shared" si="0"/>
        <v>23139400</v>
      </c>
      <c r="G27" s="633"/>
      <c r="H27" s="629"/>
      <c r="I27" s="227">
        <f t="shared" si="1"/>
        <v>0</v>
      </c>
      <c r="J27" s="240"/>
      <c r="K27" s="241"/>
      <c r="L27" s="227">
        <f t="shared" si="2"/>
        <v>0</v>
      </c>
      <c r="M27" s="231">
        <f t="shared" si="3"/>
        <v>23139400</v>
      </c>
    </row>
    <row r="28" spans="1:13" ht="21.75" customHeight="1">
      <c r="A28" s="232" t="s">
        <v>408</v>
      </c>
      <c r="B28" s="250" t="s">
        <v>372</v>
      </c>
      <c r="C28" s="245" t="s">
        <v>712</v>
      </c>
      <c r="D28" s="237">
        <f>26082000+3692132</f>
        <v>29774132</v>
      </c>
      <c r="E28" s="238">
        <f>2606050+95000000</f>
        <v>97606050</v>
      </c>
      <c r="F28" s="227">
        <f t="shared" si="0"/>
        <v>127380182</v>
      </c>
      <c r="G28" s="633"/>
      <c r="H28" s="629"/>
      <c r="I28" s="227">
        <f t="shared" si="1"/>
        <v>0</v>
      </c>
      <c r="J28" s="240"/>
      <c r="K28" s="241"/>
      <c r="L28" s="227">
        <f t="shared" si="2"/>
        <v>0</v>
      </c>
      <c r="M28" s="231">
        <f t="shared" si="3"/>
        <v>127380182</v>
      </c>
    </row>
    <row r="29" spans="1:13" ht="22.5" customHeight="1">
      <c r="A29" s="232" t="s">
        <v>409</v>
      </c>
      <c r="B29" s="250" t="s">
        <v>84</v>
      </c>
      <c r="C29" s="245" t="s">
        <v>716</v>
      </c>
      <c r="D29" s="237">
        <f>28083700+90000+146050+2600000+500000</f>
        <v>31419750</v>
      </c>
      <c r="E29" s="238">
        <v>831000</v>
      </c>
      <c r="F29" s="227">
        <f t="shared" si="0"/>
        <v>32250750</v>
      </c>
      <c r="G29" s="239">
        <f>2990082+200000+550000</f>
        <v>3740082</v>
      </c>
      <c r="H29" s="629"/>
      <c r="I29" s="227">
        <f t="shared" si="1"/>
        <v>3740082</v>
      </c>
      <c r="J29" s="240"/>
      <c r="K29" s="241"/>
      <c r="L29" s="227">
        <f t="shared" si="2"/>
        <v>0</v>
      </c>
      <c r="M29" s="231">
        <f t="shared" si="3"/>
        <v>35990832</v>
      </c>
    </row>
    <row r="30" spans="1:13" ht="23.25" customHeight="1">
      <c r="A30" s="232" t="s">
        <v>410</v>
      </c>
      <c r="B30" s="250" t="s">
        <v>376</v>
      </c>
      <c r="C30" s="245" t="s">
        <v>717</v>
      </c>
      <c r="D30" s="237">
        <v>360000</v>
      </c>
      <c r="E30" s="629"/>
      <c r="F30" s="227">
        <f t="shared" si="0"/>
        <v>360000</v>
      </c>
      <c r="G30" s="633"/>
      <c r="H30" s="629"/>
      <c r="I30" s="227">
        <f t="shared" si="1"/>
        <v>0</v>
      </c>
      <c r="J30" s="240"/>
      <c r="K30" s="241"/>
      <c r="L30" s="227">
        <f t="shared" si="2"/>
        <v>0</v>
      </c>
      <c r="M30" s="231">
        <f t="shared" si="3"/>
        <v>360000</v>
      </c>
    </row>
    <row r="31" spans="1:13" ht="22.5" customHeight="1">
      <c r="A31" s="232" t="s">
        <v>485</v>
      </c>
      <c r="B31" s="250" t="s">
        <v>377</v>
      </c>
      <c r="C31" s="245" t="s">
        <v>717</v>
      </c>
      <c r="D31" s="237">
        <f>21638205+601200+28922-233830</f>
        <v>22034497</v>
      </c>
      <c r="E31" s="238">
        <f>76200+233830</f>
        <v>310030</v>
      </c>
      <c r="F31" s="227">
        <f t="shared" si="0"/>
        <v>22344527</v>
      </c>
      <c r="G31" s="633"/>
      <c r="H31" s="629"/>
      <c r="I31" s="227">
        <f t="shared" si="1"/>
        <v>0</v>
      </c>
      <c r="J31" s="240"/>
      <c r="K31" s="241"/>
      <c r="L31" s="227">
        <f t="shared" si="2"/>
        <v>0</v>
      </c>
      <c r="M31" s="231">
        <f t="shared" si="3"/>
        <v>22344527</v>
      </c>
    </row>
    <row r="32" spans="1:13" ht="22.5" customHeight="1">
      <c r="A32" s="232" t="s">
        <v>486</v>
      </c>
      <c r="B32" s="250" t="s">
        <v>378</v>
      </c>
      <c r="C32" s="245" t="s">
        <v>717</v>
      </c>
      <c r="D32" s="237">
        <v>120000</v>
      </c>
      <c r="E32" s="629"/>
      <c r="F32" s="227">
        <f t="shared" si="0"/>
        <v>120000</v>
      </c>
      <c r="G32" s="633"/>
      <c r="H32" s="629"/>
      <c r="I32" s="227">
        <f t="shared" si="1"/>
        <v>0</v>
      </c>
      <c r="J32" s="240"/>
      <c r="K32" s="241"/>
      <c r="L32" s="227">
        <f t="shared" si="2"/>
        <v>0</v>
      </c>
      <c r="M32" s="231">
        <f t="shared" si="3"/>
        <v>120000</v>
      </c>
    </row>
    <row r="33" spans="1:13" ht="29.25" customHeight="1">
      <c r="A33" s="232" t="s">
        <v>487</v>
      </c>
      <c r="B33" s="234" t="s">
        <v>726</v>
      </c>
      <c r="C33" s="233" t="s">
        <v>717</v>
      </c>
      <c r="D33" s="237">
        <v>23068191</v>
      </c>
      <c r="E33" s="238"/>
      <c r="F33" s="227">
        <f t="shared" si="0"/>
        <v>23068191</v>
      </c>
      <c r="G33" s="633"/>
      <c r="H33" s="629"/>
      <c r="I33" s="227">
        <f t="shared" si="1"/>
        <v>0</v>
      </c>
      <c r="J33" s="240"/>
      <c r="K33" s="241"/>
      <c r="L33" s="227">
        <f t="shared" si="2"/>
        <v>0</v>
      </c>
      <c r="M33" s="231">
        <f t="shared" si="3"/>
        <v>23068191</v>
      </c>
    </row>
    <row r="34" spans="1:13" ht="29.25" customHeight="1">
      <c r="A34" s="232" t="s">
        <v>455</v>
      </c>
      <c r="B34" s="242" t="s">
        <v>83</v>
      </c>
      <c r="C34" s="227" t="s">
        <v>718</v>
      </c>
      <c r="D34" s="237">
        <f>16441000+4638836</f>
        <v>21079836</v>
      </c>
      <c r="E34" s="629"/>
      <c r="F34" s="227">
        <f t="shared" si="0"/>
        <v>21079836</v>
      </c>
      <c r="G34" s="634"/>
      <c r="H34" s="238">
        <f>15576620-11201400+150000+235153</f>
        <v>4760373</v>
      </c>
      <c r="I34" s="227">
        <f t="shared" si="1"/>
        <v>4760373</v>
      </c>
      <c r="J34" s="240"/>
      <c r="K34" s="241"/>
      <c r="L34" s="227">
        <f t="shared" si="2"/>
        <v>0</v>
      </c>
      <c r="M34" s="231">
        <f t="shared" si="3"/>
        <v>25840209</v>
      </c>
    </row>
    <row r="35" spans="1:13" ht="30.75" customHeight="1">
      <c r="A35" s="232" t="s">
        <v>488</v>
      </c>
      <c r="B35" s="257" t="s">
        <v>613</v>
      </c>
      <c r="C35" s="227"/>
      <c r="D35" s="628"/>
      <c r="E35" s="629"/>
      <c r="F35" s="227">
        <f t="shared" si="0"/>
        <v>0</v>
      </c>
      <c r="G35" s="244">
        <f>2039211-235153</f>
        <v>1804058</v>
      </c>
      <c r="H35" s="238">
        <f>22279919+850900</f>
        <v>23130819</v>
      </c>
      <c r="I35" s="227">
        <f t="shared" si="1"/>
        <v>24934877</v>
      </c>
      <c r="J35" s="240"/>
      <c r="K35" s="241"/>
      <c r="L35" s="227">
        <f t="shared" si="2"/>
        <v>0</v>
      </c>
      <c r="M35" s="231">
        <f t="shared" si="3"/>
        <v>24934877</v>
      </c>
    </row>
    <row r="36" spans="1:13" ht="30.75" customHeight="1">
      <c r="A36" s="232" t="s">
        <v>411</v>
      </c>
      <c r="B36" s="234" t="s">
        <v>543</v>
      </c>
      <c r="C36" s="233" t="s">
        <v>719</v>
      </c>
      <c r="D36" s="237">
        <v>95585</v>
      </c>
      <c r="E36" s="629"/>
      <c r="F36" s="227">
        <f t="shared" si="0"/>
        <v>95585</v>
      </c>
      <c r="G36" s="244"/>
      <c r="H36" s="238"/>
      <c r="I36" s="227">
        <f t="shared" si="1"/>
        <v>0</v>
      </c>
      <c r="J36" s="240"/>
      <c r="K36" s="241"/>
      <c r="L36" s="227">
        <f t="shared" si="2"/>
        <v>0</v>
      </c>
      <c r="M36" s="231">
        <f t="shared" si="3"/>
        <v>95585</v>
      </c>
    </row>
    <row r="37" spans="1:13" ht="30.75" customHeight="1">
      <c r="A37" s="232" t="s">
        <v>412</v>
      </c>
      <c r="B37" s="234" t="s">
        <v>379</v>
      </c>
      <c r="C37" s="233" t="s">
        <v>719</v>
      </c>
      <c r="D37" s="237"/>
      <c r="E37" s="238">
        <v>807720</v>
      </c>
      <c r="F37" s="227">
        <f t="shared" si="0"/>
        <v>807720</v>
      </c>
      <c r="G37" s="244"/>
      <c r="H37" s="238"/>
      <c r="I37" s="227">
        <f t="shared" si="1"/>
        <v>0</v>
      </c>
      <c r="J37" s="240"/>
      <c r="K37" s="241"/>
      <c r="L37" s="227">
        <f t="shared" si="2"/>
        <v>0</v>
      </c>
      <c r="M37" s="231">
        <f t="shared" si="3"/>
        <v>807720</v>
      </c>
    </row>
    <row r="38" spans="1:13" ht="34.5" customHeight="1">
      <c r="A38" s="232" t="s">
        <v>413</v>
      </c>
      <c r="B38" s="234" t="s">
        <v>897</v>
      </c>
      <c r="C38" s="233"/>
      <c r="D38" s="628"/>
      <c r="E38" s="629"/>
      <c r="F38" s="227">
        <f t="shared" si="0"/>
        <v>0</v>
      </c>
      <c r="G38" s="244">
        <v>17772766</v>
      </c>
      <c r="H38" s="238">
        <v>2497100</v>
      </c>
      <c r="I38" s="227">
        <f t="shared" si="1"/>
        <v>20269866</v>
      </c>
      <c r="J38" s="240"/>
      <c r="K38" s="241"/>
      <c r="L38" s="227">
        <f t="shared" si="2"/>
        <v>0</v>
      </c>
      <c r="M38" s="231">
        <f t="shared" si="3"/>
        <v>20269866</v>
      </c>
    </row>
    <row r="39" spans="1:13" ht="34.5" customHeight="1">
      <c r="A39" s="232" t="s">
        <v>489</v>
      </c>
      <c r="B39" s="234" t="s">
        <v>1131</v>
      </c>
      <c r="C39" s="249" t="s">
        <v>721</v>
      </c>
      <c r="D39" s="628"/>
      <c r="E39" s="238">
        <v>3055442</v>
      </c>
      <c r="F39" s="227">
        <f t="shared" si="0"/>
        <v>3055442</v>
      </c>
      <c r="G39" s="244"/>
      <c r="H39" s="238"/>
      <c r="I39" s="227">
        <f t="shared" si="1"/>
        <v>0</v>
      </c>
      <c r="J39" s="240"/>
      <c r="K39" s="241"/>
      <c r="L39" s="227">
        <f t="shared" si="2"/>
        <v>0</v>
      </c>
      <c r="M39" s="231">
        <f t="shared" si="3"/>
        <v>3055442</v>
      </c>
    </row>
    <row r="40" spans="1:13" ht="34.5" customHeight="1">
      <c r="A40" s="232" t="s">
        <v>414</v>
      </c>
      <c r="B40" s="234" t="s">
        <v>994</v>
      </c>
      <c r="C40" s="233"/>
      <c r="D40" s="237">
        <v>46939</v>
      </c>
      <c r="E40" s="238">
        <f>1576197+29947750</f>
        <v>31523947</v>
      </c>
      <c r="F40" s="227">
        <f t="shared" si="0"/>
        <v>31570886</v>
      </c>
      <c r="G40" s="244"/>
      <c r="H40" s="238"/>
      <c r="I40" s="227">
        <f t="shared" si="1"/>
        <v>0</v>
      </c>
      <c r="J40" s="240"/>
      <c r="K40" s="241"/>
      <c r="L40" s="227">
        <f t="shared" si="2"/>
        <v>0</v>
      </c>
      <c r="M40" s="231">
        <f t="shared" si="3"/>
        <v>31570886</v>
      </c>
    </row>
    <row r="41" spans="1:13" ht="23.25" customHeight="1">
      <c r="A41" s="232" t="s">
        <v>429</v>
      </c>
      <c r="B41" s="234" t="s">
        <v>608</v>
      </c>
      <c r="C41" s="249"/>
      <c r="D41" s="630"/>
      <c r="E41" s="631"/>
      <c r="F41" s="227">
        <f t="shared" si="0"/>
        <v>0</v>
      </c>
      <c r="G41" s="248">
        <f>4592665-4592665</f>
        <v>0</v>
      </c>
      <c r="H41" s="631"/>
      <c r="I41" s="227">
        <f t="shared" si="1"/>
        <v>0</v>
      </c>
      <c r="J41" s="240"/>
      <c r="K41" s="241"/>
      <c r="L41" s="227">
        <f t="shared" si="2"/>
        <v>0</v>
      </c>
      <c r="M41" s="231">
        <f t="shared" si="3"/>
        <v>0</v>
      </c>
    </row>
    <row r="42" spans="1:13" ht="24" customHeight="1">
      <c r="A42" s="232" t="s">
        <v>490</v>
      </c>
      <c r="B42" s="234" t="s">
        <v>642</v>
      </c>
      <c r="C42" s="243" t="s">
        <v>729</v>
      </c>
      <c r="D42" s="246">
        <v>56893304</v>
      </c>
      <c r="E42" s="247">
        <v>10986734</v>
      </c>
      <c r="F42" s="227">
        <f t="shared" si="0"/>
        <v>67880038</v>
      </c>
      <c r="G42" s="635"/>
      <c r="H42" s="631"/>
      <c r="I42" s="227">
        <f t="shared" si="1"/>
        <v>0</v>
      </c>
      <c r="J42" s="240"/>
      <c r="K42" s="241"/>
      <c r="L42" s="227">
        <f t="shared" si="2"/>
        <v>0</v>
      </c>
      <c r="M42" s="231">
        <f t="shared" si="3"/>
        <v>67880038</v>
      </c>
    </row>
    <row r="43" spans="1:13" ht="24">
      <c r="A43" s="232" t="s">
        <v>491</v>
      </c>
      <c r="B43" s="234" t="s">
        <v>610</v>
      </c>
      <c r="C43" s="233"/>
      <c r="D43" s="630"/>
      <c r="E43" s="631"/>
      <c r="F43" s="227">
        <f>SUM(D43:E43)</f>
        <v>0</v>
      </c>
      <c r="G43" s="248">
        <v>117194</v>
      </c>
      <c r="H43" s="631"/>
      <c r="I43" s="227">
        <f>SUM(G43:H43)</f>
        <v>117194</v>
      </c>
      <c r="J43" s="240"/>
      <c r="K43" s="241"/>
      <c r="L43" s="227">
        <f>SUM(J43:K43)</f>
        <v>0</v>
      </c>
      <c r="M43" s="231">
        <f>SUM(F43+I43+L43)</f>
        <v>117194</v>
      </c>
    </row>
    <row r="44" spans="1:13" ht="21.75" customHeight="1">
      <c r="A44" s="232" t="s">
        <v>877</v>
      </c>
      <c r="B44" s="250" t="s">
        <v>705</v>
      </c>
      <c r="C44" s="245"/>
      <c r="D44" s="628"/>
      <c r="E44" s="629"/>
      <c r="F44" s="227">
        <f t="shared" si="0"/>
        <v>0</v>
      </c>
      <c r="G44" s="239">
        <f>37171000+5275000-3663000</f>
        <v>38783000</v>
      </c>
      <c r="H44" s="629"/>
      <c r="I44" s="227">
        <f t="shared" si="1"/>
        <v>38783000</v>
      </c>
      <c r="J44" s="240"/>
      <c r="K44" s="241"/>
      <c r="L44" s="227">
        <f t="shared" si="2"/>
        <v>0</v>
      </c>
      <c r="M44" s="231">
        <f t="shared" si="3"/>
        <v>38783000</v>
      </c>
    </row>
    <row r="45" spans="1:13" ht="21.75" customHeight="1">
      <c r="A45" s="232" t="s">
        <v>878</v>
      </c>
      <c r="B45" s="250" t="s">
        <v>870</v>
      </c>
      <c r="C45" s="245" t="s">
        <v>879</v>
      </c>
      <c r="D45" s="237">
        <f>4562000+3015000-760000</f>
        <v>6817000</v>
      </c>
      <c r="E45" s="629"/>
      <c r="F45" s="227">
        <f t="shared" si="0"/>
        <v>6817000</v>
      </c>
      <c r="G45" s="239"/>
      <c r="H45" s="629"/>
      <c r="I45" s="227">
        <f t="shared" si="1"/>
        <v>0</v>
      </c>
      <c r="J45" s="240"/>
      <c r="K45" s="241"/>
      <c r="L45" s="227">
        <f t="shared" si="2"/>
        <v>0</v>
      </c>
      <c r="M45" s="231">
        <f t="shared" si="3"/>
        <v>6817000</v>
      </c>
    </row>
    <row r="46" spans="1:13" ht="36">
      <c r="A46" s="232" t="s">
        <v>884</v>
      </c>
      <c r="B46" s="262" t="s">
        <v>1029</v>
      </c>
      <c r="C46" s="243"/>
      <c r="D46" s="246"/>
      <c r="E46" s="247"/>
      <c r="F46" s="261">
        <f>SUM(D46:E46)</f>
        <v>0</v>
      </c>
      <c r="G46" s="246">
        <v>0</v>
      </c>
      <c r="H46" s="247">
        <v>1920000</v>
      </c>
      <c r="I46" s="261">
        <f>SUM(G46:H46)</f>
        <v>1920000</v>
      </c>
      <c r="J46" s="240"/>
      <c r="K46" s="240"/>
      <c r="L46" s="261">
        <f>SUM(J46:K46)</f>
        <v>0</v>
      </c>
      <c r="M46" s="231">
        <f>SUM(L46,I46,F46)</f>
        <v>1920000</v>
      </c>
    </row>
    <row r="47" spans="1:13" ht="24" customHeight="1">
      <c r="A47" s="232" t="s">
        <v>885</v>
      </c>
      <c r="B47" s="234" t="s">
        <v>644</v>
      </c>
      <c r="C47" s="243" t="s">
        <v>734</v>
      </c>
      <c r="D47" s="246">
        <v>2114700</v>
      </c>
      <c r="E47" s="631"/>
      <c r="F47" s="227">
        <f>SUM(D47:E47)</f>
        <v>2114700</v>
      </c>
      <c r="G47" s="635"/>
      <c r="H47" s="631"/>
      <c r="I47" s="227">
        <f>SUM(G47:H47)</f>
        <v>0</v>
      </c>
      <c r="J47" s="240"/>
      <c r="K47" s="241"/>
      <c r="L47" s="227">
        <f aca="true" t="shared" si="4" ref="L47:L55">SUM(J47:K47)</f>
        <v>0</v>
      </c>
      <c r="M47" s="231">
        <f>SUM(F47+I47+L47)</f>
        <v>2114700</v>
      </c>
    </row>
    <row r="48" spans="1:13" ht="29.25" customHeight="1">
      <c r="A48" s="232" t="s">
        <v>898</v>
      </c>
      <c r="B48" s="250" t="s">
        <v>784</v>
      </c>
      <c r="C48" s="245"/>
      <c r="D48" s="628"/>
      <c r="E48" s="629"/>
      <c r="F48" s="227">
        <f t="shared" si="0"/>
        <v>0</v>
      </c>
      <c r="G48" s="239">
        <f>60353914+27815502+6738701+54417221+12762600+2999211+15053577+1564044+10976885-2893619</f>
        <v>189788036</v>
      </c>
      <c r="H48" s="238">
        <f>8983129+6528562+2893619</f>
        <v>18405310</v>
      </c>
      <c r="I48" s="227">
        <f t="shared" si="1"/>
        <v>208193346</v>
      </c>
      <c r="J48" s="240"/>
      <c r="K48" s="241"/>
      <c r="L48" s="227">
        <f t="shared" si="4"/>
        <v>0</v>
      </c>
      <c r="M48" s="231">
        <f t="shared" si="3"/>
        <v>208193346</v>
      </c>
    </row>
    <row r="49" spans="1:13" ht="29.25" customHeight="1">
      <c r="A49" s="232" t="s">
        <v>1004</v>
      </c>
      <c r="B49" s="250" t="s">
        <v>881</v>
      </c>
      <c r="C49" s="227" t="s">
        <v>880</v>
      </c>
      <c r="D49" s="628"/>
      <c r="E49" s="629"/>
      <c r="F49" s="227">
        <f t="shared" si="0"/>
        <v>0</v>
      </c>
      <c r="G49" s="239">
        <f>3712000+922000-618000</f>
        <v>4016000</v>
      </c>
      <c r="H49" s="629"/>
      <c r="I49" s="227">
        <f t="shared" si="1"/>
        <v>4016000</v>
      </c>
      <c r="J49" s="240"/>
      <c r="K49" s="241"/>
      <c r="L49" s="227">
        <f t="shared" si="4"/>
        <v>0</v>
      </c>
      <c r="M49" s="231">
        <f t="shared" si="3"/>
        <v>4016000</v>
      </c>
    </row>
    <row r="50" spans="1:13" ht="29.25" customHeight="1">
      <c r="A50" s="232" t="s">
        <v>1005</v>
      </c>
      <c r="B50" s="250" t="s">
        <v>882</v>
      </c>
      <c r="C50" s="227" t="s">
        <v>880</v>
      </c>
      <c r="D50" s="628"/>
      <c r="E50" s="629"/>
      <c r="F50" s="227">
        <f t="shared" si="0"/>
        <v>0</v>
      </c>
      <c r="G50" s="239">
        <f>4717000+1397000-787000</f>
        <v>5327000</v>
      </c>
      <c r="H50" s="629"/>
      <c r="I50" s="227">
        <f t="shared" si="1"/>
        <v>5327000</v>
      </c>
      <c r="J50" s="240"/>
      <c r="K50" s="241"/>
      <c r="L50" s="227">
        <f t="shared" si="4"/>
        <v>0</v>
      </c>
      <c r="M50" s="231">
        <f t="shared" si="3"/>
        <v>5327000</v>
      </c>
    </row>
    <row r="51" spans="1:13" ht="21.75" customHeight="1">
      <c r="A51" s="232" t="s">
        <v>1034</v>
      </c>
      <c r="B51" s="250" t="s">
        <v>451</v>
      </c>
      <c r="C51" s="245" t="s">
        <v>722</v>
      </c>
      <c r="D51" s="237">
        <f>2400000+200000+1838000+2261329-306000</f>
        <v>6393329</v>
      </c>
      <c r="E51" s="629"/>
      <c r="F51" s="227">
        <f t="shared" si="0"/>
        <v>6393329</v>
      </c>
      <c r="G51" s="633"/>
      <c r="H51" s="629"/>
      <c r="I51" s="227">
        <f t="shared" si="1"/>
        <v>0</v>
      </c>
      <c r="J51" s="240"/>
      <c r="K51" s="241"/>
      <c r="L51" s="227">
        <f t="shared" si="4"/>
        <v>0</v>
      </c>
      <c r="M51" s="231">
        <f t="shared" si="3"/>
        <v>6393329</v>
      </c>
    </row>
    <row r="52" spans="1:13" ht="21.75" customHeight="1">
      <c r="A52" s="232" t="s">
        <v>1036</v>
      </c>
      <c r="B52" s="250" t="s">
        <v>876</v>
      </c>
      <c r="C52" s="245" t="s">
        <v>883</v>
      </c>
      <c r="D52" s="237">
        <f>3719000+1625335-619000</f>
        <v>4725335</v>
      </c>
      <c r="E52" s="629"/>
      <c r="F52" s="227">
        <f t="shared" si="0"/>
        <v>4725335</v>
      </c>
      <c r="G52" s="633"/>
      <c r="H52" s="629"/>
      <c r="I52" s="227">
        <f t="shared" si="1"/>
        <v>0</v>
      </c>
      <c r="J52" s="240"/>
      <c r="K52" s="241"/>
      <c r="L52" s="227">
        <f t="shared" si="4"/>
        <v>0</v>
      </c>
      <c r="M52" s="231">
        <f t="shared" si="3"/>
        <v>4725335</v>
      </c>
    </row>
    <row r="53" spans="1:13" ht="26.25" customHeight="1">
      <c r="A53" s="232" t="s">
        <v>1037</v>
      </c>
      <c r="B53" s="234" t="s">
        <v>614</v>
      </c>
      <c r="C53" s="227" t="s">
        <v>730</v>
      </c>
      <c r="D53" s="237">
        <f>2942222+15000</f>
        <v>2957222</v>
      </c>
      <c r="E53" s="629"/>
      <c r="F53" s="227">
        <f t="shared" si="0"/>
        <v>2957222</v>
      </c>
      <c r="G53" s="633"/>
      <c r="H53" s="629"/>
      <c r="I53" s="227">
        <f t="shared" si="1"/>
        <v>0</v>
      </c>
      <c r="J53" s="240"/>
      <c r="K53" s="241"/>
      <c r="L53" s="227">
        <f t="shared" si="4"/>
        <v>0</v>
      </c>
      <c r="M53" s="231">
        <f t="shared" si="3"/>
        <v>2957222</v>
      </c>
    </row>
    <row r="54" spans="1:13" s="203" customFormat="1" ht="27.75" customHeight="1">
      <c r="A54" s="232" t="s">
        <v>1134</v>
      </c>
      <c r="B54" s="234" t="s">
        <v>375</v>
      </c>
      <c r="C54" s="233" t="s">
        <v>723</v>
      </c>
      <c r="D54" s="237">
        <f>2495000-63500-68000-30000-90000-146050-190500-150000-261950+59808757+9782649-7679730+553029-553029-602617-1492000-8045171-7935168-4176519-28922-20906574-217072-8171955-6323709-100000-3358940</f>
        <v>2048029</v>
      </c>
      <c r="E54" s="238">
        <f>5000000+4176519-1269600</f>
        <v>7906919</v>
      </c>
      <c r="F54" s="227">
        <f t="shared" si="0"/>
        <v>9954948</v>
      </c>
      <c r="G54" s="237">
        <f>3433000-1576197-1055350-288050-513403</f>
        <v>0</v>
      </c>
      <c r="H54" s="629"/>
      <c r="I54" s="227">
        <f t="shared" si="1"/>
        <v>0</v>
      </c>
      <c r="J54" s="252"/>
      <c r="K54" s="252"/>
      <c r="L54" s="227">
        <f t="shared" si="4"/>
        <v>0</v>
      </c>
      <c r="M54" s="231">
        <f t="shared" si="3"/>
        <v>9954948</v>
      </c>
    </row>
    <row r="55" spans="1:13" ht="24.75" customHeight="1" thickBot="1">
      <c r="A55" s="232" t="s">
        <v>1135</v>
      </c>
      <c r="B55" s="234" t="s">
        <v>611</v>
      </c>
      <c r="C55" s="254"/>
      <c r="D55" s="639"/>
      <c r="E55" s="640"/>
      <c r="F55" s="261">
        <f t="shared" si="0"/>
        <v>0</v>
      </c>
      <c r="G55" s="641">
        <v>7848600</v>
      </c>
      <c r="H55" s="640"/>
      <c r="I55" s="261">
        <f t="shared" si="1"/>
        <v>7848600</v>
      </c>
      <c r="J55" s="642"/>
      <c r="K55" s="642"/>
      <c r="L55" s="261">
        <f t="shared" si="4"/>
        <v>0</v>
      </c>
      <c r="M55" s="643">
        <f t="shared" si="3"/>
        <v>7848600</v>
      </c>
    </row>
    <row r="56" spans="1:16" s="203" customFormat="1" ht="14.25" thickBot="1">
      <c r="A56" s="1029" t="s">
        <v>706</v>
      </c>
      <c r="B56" s="1030"/>
      <c r="C56" s="1031"/>
      <c r="D56" s="259">
        <f aca="true" t="shared" si="5" ref="D56:M56">SUM(D9:D55)</f>
        <v>633309549</v>
      </c>
      <c r="E56" s="644">
        <f t="shared" si="5"/>
        <v>319701562</v>
      </c>
      <c r="F56" s="645">
        <f t="shared" si="5"/>
        <v>953011111</v>
      </c>
      <c r="G56" s="644">
        <f t="shared" si="5"/>
        <v>278463588</v>
      </c>
      <c r="H56" s="644">
        <f t="shared" si="5"/>
        <v>328433159</v>
      </c>
      <c r="I56" s="645">
        <f t="shared" si="5"/>
        <v>606896747</v>
      </c>
      <c r="J56" s="644">
        <f t="shared" si="5"/>
        <v>50295760</v>
      </c>
      <c r="K56" s="644">
        <f t="shared" si="5"/>
        <v>701660</v>
      </c>
      <c r="L56" s="645">
        <f t="shared" si="5"/>
        <v>50997420</v>
      </c>
      <c r="M56" s="645">
        <f t="shared" si="5"/>
        <v>1610905278</v>
      </c>
      <c r="P56" s="476">
        <f>SUM(L56,I56,F56)</f>
        <v>1610905278</v>
      </c>
    </row>
    <row r="57" spans="1:13" ht="30.75" customHeight="1">
      <c r="A57" s="236" t="s">
        <v>389</v>
      </c>
      <c r="B57" s="234" t="s">
        <v>61</v>
      </c>
      <c r="C57" s="224" t="s">
        <v>724</v>
      </c>
      <c r="D57" s="255">
        <f>119407796+385000+75075+439819+1083000+211188</f>
        <v>121601878</v>
      </c>
      <c r="E57" s="256">
        <f>1229404-139700+1269600</f>
        <v>2359304</v>
      </c>
      <c r="F57" s="227">
        <f>SUM(D57:E57)</f>
        <v>123961182</v>
      </c>
      <c r="G57" s="255"/>
      <c r="H57" s="256"/>
      <c r="I57" s="224">
        <f>SUM(G57:H57)</f>
        <v>0</v>
      </c>
      <c r="J57" s="255"/>
      <c r="K57" s="256"/>
      <c r="L57" s="224">
        <f>SUM(J57:K57)</f>
        <v>0</v>
      </c>
      <c r="M57" s="231">
        <f>SUM(L57,I57,F57)</f>
        <v>123961182</v>
      </c>
    </row>
    <row r="58" spans="1:13" ht="36">
      <c r="A58" s="236" t="s">
        <v>390</v>
      </c>
      <c r="B58" s="257" t="s">
        <v>617</v>
      </c>
      <c r="C58" s="258" t="s">
        <v>619</v>
      </c>
      <c r="D58" s="237">
        <v>6018160</v>
      </c>
      <c r="E58" s="238"/>
      <c r="F58" s="227">
        <f>SUM(D58:E58)</f>
        <v>6018160</v>
      </c>
      <c r="G58" s="237"/>
      <c r="H58" s="238"/>
      <c r="I58" s="227">
        <f>SUM(G58:H58)</f>
        <v>0</v>
      </c>
      <c r="J58" s="237"/>
      <c r="K58" s="238"/>
      <c r="L58" s="227">
        <f>SUM(J58:K58)</f>
        <v>0</v>
      </c>
      <c r="M58" s="231">
        <f>SUM(L58,I58,F58)</f>
        <v>6018160</v>
      </c>
    </row>
    <row r="59" spans="1:13" ht="24.75" thickBot="1">
      <c r="A59" s="783" t="s">
        <v>391</v>
      </c>
      <c r="B59" s="784" t="s">
        <v>893</v>
      </c>
      <c r="C59" s="785" t="s">
        <v>900</v>
      </c>
      <c r="D59" s="781">
        <f>1969798+34746+2370+6373+2234-8607</f>
        <v>2006914</v>
      </c>
      <c r="E59" s="782">
        <v>139700</v>
      </c>
      <c r="F59" s="227">
        <f>SUM(D59:E59)</f>
        <v>2146614</v>
      </c>
      <c r="G59" s="781"/>
      <c r="H59" s="782"/>
      <c r="I59" s="227">
        <f>SUM(G59:H59)</f>
        <v>0</v>
      </c>
      <c r="J59" s="781"/>
      <c r="K59" s="782"/>
      <c r="L59" s="227">
        <f>SUM(J59:K59)</f>
        <v>0</v>
      </c>
      <c r="M59" s="231">
        <f>SUM(L59,I59,F59)</f>
        <v>2146614</v>
      </c>
    </row>
    <row r="60" spans="1:16" s="203" customFormat="1" ht="16.5" customHeight="1" thickBot="1">
      <c r="A60" s="1029" t="s">
        <v>492</v>
      </c>
      <c r="B60" s="1030"/>
      <c r="C60" s="1031"/>
      <c r="D60" s="259">
        <f aca="true" t="shared" si="6" ref="D60:M60">SUM(D57:D59)</f>
        <v>129626952</v>
      </c>
      <c r="E60" s="644">
        <f t="shared" si="6"/>
        <v>2499004</v>
      </c>
      <c r="F60" s="645">
        <f t="shared" si="6"/>
        <v>132125956</v>
      </c>
      <c r="G60" s="644">
        <f t="shared" si="6"/>
        <v>0</v>
      </c>
      <c r="H60" s="644">
        <f t="shared" si="6"/>
        <v>0</v>
      </c>
      <c r="I60" s="645">
        <f t="shared" si="6"/>
        <v>0</v>
      </c>
      <c r="J60" s="644">
        <f t="shared" si="6"/>
        <v>0</v>
      </c>
      <c r="K60" s="644">
        <f t="shared" si="6"/>
        <v>0</v>
      </c>
      <c r="L60" s="645">
        <f t="shared" si="6"/>
        <v>0</v>
      </c>
      <c r="M60" s="645">
        <f t="shared" si="6"/>
        <v>132125956</v>
      </c>
      <c r="P60" s="476"/>
    </row>
    <row r="61" spans="1:13" ht="23.25" customHeight="1">
      <c r="A61" s="222" t="s">
        <v>389</v>
      </c>
      <c r="B61" s="262" t="s">
        <v>493</v>
      </c>
      <c r="C61" s="243" t="s">
        <v>729</v>
      </c>
      <c r="D61" s="263">
        <v>30823296</v>
      </c>
      <c r="E61" s="264"/>
      <c r="F61" s="261">
        <f aca="true" t="shared" si="7" ref="F61:F70">SUM(D61:E61)</f>
        <v>30823296</v>
      </c>
      <c r="G61" s="263"/>
      <c r="H61" s="264"/>
      <c r="I61" s="261">
        <f aca="true" t="shared" si="8" ref="I61:I70">SUM(G61:H61)</f>
        <v>0</v>
      </c>
      <c r="J61" s="263"/>
      <c r="K61" s="264"/>
      <c r="L61" s="261">
        <f aca="true" t="shared" si="9" ref="L61:L70">SUM(J61:K61)</f>
        <v>0</v>
      </c>
      <c r="M61" s="231">
        <f aca="true" t="shared" si="10" ref="M61:M70">SUM(L61,I61,F61)</f>
        <v>30823296</v>
      </c>
    </row>
    <row r="62" spans="1:13" ht="23.25" customHeight="1">
      <c r="A62" s="232" t="s">
        <v>390</v>
      </c>
      <c r="B62" s="234" t="s">
        <v>494</v>
      </c>
      <c r="C62" s="276" t="s">
        <v>725</v>
      </c>
      <c r="D62" s="246">
        <f>128358348-7297240-1422962-336000-65520-96000-170000+433600+84552-84541-195000-79900-198285</f>
        <v>118931052</v>
      </c>
      <c r="E62" s="247">
        <f>139700+84541+79900</f>
        <v>304141</v>
      </c>
      <c r="F62" s="227">
        <f t="shared" si="7"/>
        <v>119235193</v>
      </c>
      <c r="G62" s="253"/>
      <c r="H62" s="251"/>
      <c r="I62" s="227">
        <f t="shared" si="8"/>
        <v>0</v>
      </c>
      <c r="J62" s="240"/>
      <c r="K62" s="240"/>
      <c r="L62" s="227">
        <f t="shared" si="9"/>
        <v>0</v>
      </c>
      <c r="M62" s="231">
        <f t="shared" si="10"/>
        <v>119235193</v>
      </c>
    </row>
    <row r="63" spans="1:13" ht="23.25" customHeight="1">
      <c r="A63" s="232" t="s">
        <v>391</v>
      </c>
      <c r="B63" s="234" t="s">
        <v>495</v>
      </c>
      <c r="C63" s="243" t="s">
        <v>725</v>
      </c>
      <c r="D63" s="246">
        <v>13449095</v>
      </c>
      <c r="E63" s="247"/>
      <c r="F63" s="227">
        <f t="shared" si="7"/>
        <v>13449095</v>
      </c>
      <c r="G63" s="253"/>
      <c r="H63" s="251"/>
      <c r="I63" s="227">
        <f t="shared" si="8"/>
        <v>0</v>
      </c>
      <c r="J63" s="240"/>
      <c r="K63" s="240"/>
      <c r="L63" s="227">
        <f t="shared" si="9"/>
        <v>0</v>
      </c>
      <c r="M63" s="231">
        <f t="shared" si="10"/>
        <v>13449095</v>
      </c>
    </row>
    <row r="64" spans="1:13" ht="23.25" customHeight="1">
      <c r="A64" s="232" t="s">
        <v>392</v>
      </c>
      <c r="B64" s="234" t="s">
        <v>1150</v>
      </c>
      <c r="C64" s="276"/>
      <c r="D64" s="246"/>
      <c r="E64" s="247"/>
      <c r="F64" s="227">
        <f t="shared" si="7"/>
        <v>0</v>
      </c>
      <c r="G64" s="248">
        <f>621002+121098</f>
        <v>742100</v>
      </c>
      <c r="H64" s="251"/>
      <c r="I64" s="227">
        <f t="shared" si="8"/>
        <v>742100</v>
      </c>
      <c r="J64" s="240"/>
      <c r="K64" s="240"/>
      <c r="L64" s="227">
        <f t="shared" si="9"/>
        <v>0</v>
      </c>
      <c r="M64" s="231">
        <f t="shared" si="10"/>
        <v>742100</v>
      </c>
    </row>
    <row r="65" spans="1:13" ht="23.25" customHeight="1">
      <c r="A65" s="232" t="s">
        <v>393</v>
      </c>
      <c r="B65" s="234" t="s">
        <v>584</v>
      </c>
      <c r="C65" s="276" t="s">
        <v>618</v>
      </c>
      <c r="D65" s="246">
        <f>23996793-152273</f>
        <v>23844520</v>
      </c>
      <c r="E65" s="247">
        <f>88900+152273</f>
        <v>241173</v>
      </c>
      <c r="F65" s="227">
        <f t="shared" si="7"/>
        <v>24085693</v>
      </c>
      <c r="G65" s="253"/>
      <c r="H65" s="251"/>
      <c r="I65" s="227">
        <f t="shared" si="8"/>
        <v>0</v>
      </c>
      <c r="J65" s="240"/>
      <c r="K65" s="240"/>
      <c r="L65" s="227">
        <f t="shared" si="9"/>
        <v>0</v>
      </c>
      <c r="M65" s="231">
        <f t="shared" si="10"/>
        <v>24085693</v>
      </c>
    </row>
    <row r="66" spans="1:13" ht="23.25" customHeight="1">
      <c r="A66" s="232" t="s">
        <v>394</v>
      </c>
      <c r="B66" s="234" t="s">
        <v>707</v>
      </c>
      <c r="C66" s="276" t="s">
        <v>731</v>
      </c>
      <c r="D66" s="246">
        <f>18371172-151629</f>
        <v>18219543</v>
      </c>
      <c r="E66" s="247">
        <f>76200+151629</f>
        <v>227829</v>
      </c>
      <c r="F66" s="227">
        <f t="shared" si="7"/>
        <v>18447372</v>
      </c>
      <c r="G66" s="253"/>
      <c r="H66" s="251"/>
      <c r="I66" s="227">
        <f t="shared" si="8"/>
        <v>0</v>
      </c>
      <c r="J66" s="240"/>
      <c r="K66" s="240"/>
      <c r="L66" s="227">
        <f t="shared" si="9"/>
        <v>0</v>
      </c>
      <c r="M66" s="231">
        <f t="shared" si="10"/>
        <v>18447372</v>
      </c>
    </row>
    <row r="67" spans="1:13" ht="23.25" customHeight="1">
      <c r="A67" s="232" t="s">
        <v>395</v>
      </c>
      <c r="B67" s="234" t="s">
        <v>708</v>
      </c>
      <c r="C67" s="276" t="s">
        <v>732</v>
      </c>
      <c r="D67" s="246"/>
      <c r="E67" s="247"/>
      <c r="F67" s="227">
        <f t="shared" si="7"/>
        <v>0</v>
      </c>
      <c r="G67" s="246">
        <f>11506731+66000+12870</f>
        <v>11585601</v>
      </c>
      <c r="H67" s="247">
        <f>195000</f>
        <v>195000</v>
      </c>
      <c r="I67" s="227">
        <f t="shared" si="8"/>
        <v>11780601</v>
      </c>
      <c r="J67" s="240"/>
      <c r="K67" s="240"/>
      <c r="L67" s="227">
        <f t="shared" si="9"/>
        <v>0</v>
      </c>
      <c r="M67" s="231">
        <f t="shared" si="10"/>
        <v>11780601</v>
      </c>
    </row>
    <row r="68" spans="1:13" ht="23.25" customHeight="1">
      <c r="A68" s="232" t="s">
        <v>396</v>
      </c>
      <c r="B68" s="234" t="s">
        <v>709</v>
      </c>
      <c r="C68" s="243" t="s">
        <v>729</v>
      </c>
      <c r="D68" s="246"/>
      <c r="E68" s="247"/>
      <c r="F68" s="227">
        <f t="shared" si="7"/>
        <v>0</v>
      </c>
      <c r="G68" s="246">
        <v>2665263</v>
      </c>
      <c r="H68" s="247"/>
      <c r="I68" s="227">
        <f t="shared" si="8"/>
        <v>2665263</v>
      </c>
      <c r="J68" s="240"/>
      <c r="K68" s="240"/>
      <c r="L68" s="227">
        <f t="shared" si="9"/>
        <v>0</v>
      </c>
      <c r="M68" s="231">
        <f t="shared" si="10"/>
        <v>2665263</v>
      </c>
    </row>
    <row r="69" spans="1:13" ht="23.25" customHeight="1">
      <c r="A69" s="232" t="s">
        <v>397</v>
      </c>
      <c r="B69" s="262" t="s">
        <v>544</v>
      </c>
      <c r="C69" s="243" t="s">
        <v>733</v>
      </c>
      <c r="D69" s="263"/>
      <c r="E69" s="264"/>
      <c r="F69" s="261">
        <f t="shared" si="7"/>
        <v>0</v>
      </c>
      <c r="G69" s="263">
        <f>6245112+3+17240-10240</f>
        <v>6252115</v>
      </c>
      <c r="H69" s="264">
        <f>123070+700924+198285+49430-39190</f>
        <v>1032519</v>
      </c>
      <c r="I69" s="261">
        <f t="shared" si="8"/>
        <v>7284634</v>
      </c>
      <c r="J69" s="263"/>
      <c r="K69" s="264"/>
      <c r="L69" s="261">
        <f t="shared" si="9"/>
        <v>0</v>
      </c>
      <c r="M69" s="231">
        <f t="shared" si="10"/>
        <v>7284634</v>
      </c>
    </row>
    <row r="70" spans="1:13" ht="39" customHeight="1">
      <c r="A70" s="232" t="s">
        <v>398</v>
      </c>
      <c r="B70" s="262" t="s">
        <v>895</v>
      </c>
      <c r="C70" s="276"/>
      <c r="D70" s="246"/>
      <c r="E70" s="247"/>
      <c r="F70" s="261">
        <f t="shared" si="7"/>
        <v>0</v>
      </c>
      <c r="G70" s="246">
        <v>43407259</v>
      </c>
      <c r="H70" s="247">
        <v>1687190</v>
      </c>
      <c r="I70" s="261">
        <f t="shared" si="8"/>
        <v>45094449</v>
      </c>
      <c r="J70" s="240"/>
      <c r="K70" s="240"/>
      <c r="L70" s="261">
        <f t="shared" si="9"/>
        <v>0</v>
      </c>
      <c r="M70" s="231">
        <f t="shared" si="10"/>
        <v>45094449</v>
      </c>
    </row>
    <row r="71" spans="1:13" ht="26.25" customHeight="1" thickBot="1">
      <c r="A71" s="232" t="s">
        <v>399</v>
      </c>
      <c r="B71" s="262" t="s">
        <v>894</v>
      </c>
      <c r="C71" s="243"/>
      <c r="D71" s="246"/>
      <c r="E71" s="247"/>
      <c r="F71" s="261">
        <f>SUM(D71:E71)</f>
        <v>0</v>
      </c>
      <c r="G71" s="246">
        <v>31099867</v>
      </c>
      <c r="H71" s="247">
        <v>2412553</v>
      </c>
      <c r="I71" s="261">
        <f>SUM(G71:H71)</f>
        <v>33512420</v>
      </c>
      <c r="J71" s="240"/>
      <c r="K71" s="240"/>
      <c r="L71" s="261">
        <f>SUM(J71:K71)</f>
        <v>0</v>
      </c>
      <c r="M71" s="231">
        <f>SUM(L71,I71,F71)</f>
        <v>33512420</v>
      </c>
    </row>
    <row r="72" spans="1:16" s="203" customFormat="1" ht="29.25" customHeight="1" thickBot="1">
      <c r="A72" s="1038" t="s">
        <v>803</v>
      </c>
      <c r="B72" s="1039"/>
      <c r="C72" s="1040"/>
      <c r="D72" s="259">
        <f aca="true" t="shared" si="11" ref="D72:M72">SUM(D61:D71)</f>
        <v>205267506</v>
      </c>
      <c r="E72" s="644">
        <f t="shared" si="11"/>
        <v>773143</v>
      </c>
      <c r="F72" s="645">
        <f t="shared" si="11"/>
        <v>206040649</v>
      </c>
      <c r="G72" s="644">
        <f t="shared" si="11"/>
        <v>95752205</v>
      </c>
      <c r="H72" s="644">
        <f t="shared" si="11"/>
        <v>5327262</v>
      </c>
      <c r="I72" s="645">
        <f t="shared" si="11"/>
        <v>101079467</v>
      </c>
      <c r="J72" s="644">
        <f t="shared" si="11"/>
        <v>0</v>
      </c>
      <c r="K72" s="644">
        <f t="shared" si="11"/>
        <v>0</v>
      </c>
      <c r="L72" s="645">
        <f t="shared" si="11"/>
        <v>0</v>
      </c>
      <c r="M72" s="645">
        <f t="shared" si="11"/>
        <v>307120116</v>
      </c>
      <c r="P72" s="476">
        <f>SUM(L72,I72,F72)</f>
        <v>307120116</v>
      </c>
    </row>
    <row r="73" spans="1:13" ht="32.25" customHeight="1">
      <c r="A73" s="232" t="s">
        <v>389</v>
      </c>
      <c r="B73" s="242" t="s">
        <v>543</v>
      </c>
      <c r="C73" s="233" t="s">
        <v>719</v>
      </c>
      <c r="D73" s="237">
        <v>1100000</v>
      </c>
      <c r="E73" s="238"/>
      <c r="F73" s="227">
        <f>SUM(D73:E73)</f>
        <v>1100000</v>
      </c>
      <c r="G73" s="239"/>
      <c r="H73" s="238"/>
      <c r="I73" s="227">
        <f>SUM(G73:H73)</f>
        <v>0</v>
      </c>
      <c r="J73" s="240"/>
      <c r="K73" s="241"/>
      <c r="L73" s="227">
        <f>SUM(J73:K73)</f>
        <v>0</v>
      </c>
      <c r="M73" s="231">
        <f>SUM(F73+I73+L73)</f>
        <v>1100000</v>
      </c>
    </row>
    <row r="74" spans="1:13" ht="22.5" customHeight="1">
      <c r="A74" s="232" t="s">
        <v>390</v>
      </c>
      <c r="B74" s="250" t="s">
        <v>379</v>
      </c>
      <c r="C74" s="245" t="s">
        <v>719</v>
      </c>
      <c r="D74" s="237">
        <f>6307871-574597</f>
        <v>5733274</v>
      </c>
      <c r="E74" s="238"/>
      <c r="F74" s="227">
        <f>SUM(D74:E74)</f>
        <v>5733274</v>
      </c>
      <c r="G74" s="239"/>
      <c r="H74" s="238"/>
      <c r="I74" s="227">
        <f>SUM(G74:H74)</f>
        <v>0</v>
      </c>
      <c r="J74" s="240"/>
      <c r="K74" s="241"/>
      <c r="L74" s="227">
        <f>SUM(J74:K74)</f>
        <v>0</v>
      </c>
      <c r="M74" s="231">
        <f>SUM(F74+I74+L74)</f>
        <v>5733274</v>
      </c>
    </row>
    <row r="75" spans="1:13" ht="21.75" customHeight="1">
      <c r="A75" s="232" t="s">
        <v>391</v>
      </c>
      <c r="B75" s="250" t="s">
        <v>85</v>
      </c>
      <c r="C75" s="245" t="s">
        <v>720</v>
      </c>
      <c r="D75" s="237"/>
      <c r="E75" s="238"/>
      <c r="F75" s="227">
        <f>SUM(D75:E75)</f>
        <v>0</v>
      </c>
      <c r="G75" s="239">
        <v>49530</v>
      </c>
      <c r="H75" s="238"/>
      <c r="I75" s="227">
        <f>SUM(G75:H75)</f>
        <v>49530</v>
      </c>
      <c r="J75" s="240"/>
      <c r="K75" s="241"/>
      <c r="L75" s="227">
        <f>SUM(J75:K75)</f>
        <v>0</v>
      </c>
      <c r="M75" s="231">
        <f>SUM(F75+I75+L75)</f>
        <v>49530</v>
      </c>
    </row>
    <row r="76" spans="1:13" ht="33.75" customHeight="1" thickBot="1">
      <c r="A76" s="232" t="s">
        <v>392</v>
      </c>
      <c r="B76" s="234" t="s">
        <v>81</v>
      </c>
      <c r="C76" s="249" t="s">
        <v>721</v>
      </c>
      <c r="D76" s="246">
        <f>22766189-3000000-103900-700000</f>
        <v>18962289</v>
      </c>
      <c r="E76" s="247">
        <v>103900</v>
      </c>
      <c r="F76" s="227">
        <f>SUM(D76:E76)</f>
        <v>19066189</v>
      </c>
      <c r="G76" s="248"/>
      <c r="H76" s="247"/>
      <c r="I76" s="227">
        <f>SUM(G76:H76)</f>
        <v>0</v>
      </c>
      <c r="J76" s="240"/>
      <c r="K76" s="241"/>
      <c r="L76" s="227">
        <f>SUM(J76:K76)</f>
        <v>0</v>
      </c>
      <c r="M76" s="231">
        <f>SUM(F76+I76+L76)</f>
        <v>19066189</v>
      </c>
    </row>
    <row r="77" spans="1:16" ht="27.75" customHeight="1" thickBot="1">
      <c r="A77" s="1038" t="s">
        <v>861</v>
      </c>
      <c r="B77" s="1039"/>
      <c r="C77" s="1040"/>
      <c r="D77" s="265">
        <f>SUM(D73:D76)</f>
        <v>25795563</v>
      </c>
      <c r="E77" s="474">
        <f aca="true" t="shared" si="12" ref="E77:K77">SUM(E73:E76)</f>
        <v>103900</v>
      </c>
      <c r="F77" s="473">
        <f t="shared" si="12"/>
        <v>25899463</v>
      </c>
      <c r="G77" s="265">
        <f t="shared" si="12"/>
        <v>49530</v>
      </c>
      <c r="H77" s="474">
        <f t="shared" si="12"/>
        <v>0</v>
      </c>
      <c r="I77" s="473">
        <f t="shared" si="12"/>
        <v>49530</v>
      </c>
      <c r="J77" s="265">
        <f t="shared" si="12"/>
        <v>0</v>
      </c>
      <c r="K77" s="474">
        <f t="shared" si="12"/>
        <v>0</v>
      </c>
      <c r="L77" s="473">
        <f>SUM(L73:L76)</f>
        <v>0</v>
      </c>
      <c r="M77" s="260">
        <f>SUM(M73:M76)</f>
        <v>25948993</v>
      </c>
      <c r="P77" s="477"/>
    </row>
    <row r="78" spans="1:13" s="207" customFormat="1" ht="16.5" thickBot="1">
      <c r="A78" s="1026" t="s">
        <v>496</v>
      </c>
      <c r="B78" s="1027"/>
      <c r="C78" s="1028"/>
      <c r="D78" s="266">
        <f aca="true" t="shared" si="13" ref="D78:M78">D56+D60+D72+D77</f>
        <v>993999570</v>
      </c>
      <c r="E78" s="266">
        <f t="shared" si="13"/>
        <v>323077609</v>
      </c>
      <c r="F78" s="636">
        <f t="shared" si="13"/>
        <v>1317077179</v>
      </c>
      <c r="G78" s="266">
        <f t="shared" si="13"/>
        <v>374265323</v>
      </c>
      <c r="H78" s="266">
        <f t="shared" si="13"/>
        <v>333760421</v>
      </c>
      <c r="I78" s="267">
        <f t="shared" si="13"/>
        <v>708025744</v>
      </c>
      <c r="J78" s="475">
        <f t="shared" si="13"/>
        <v>50295760</v>
      </c>
      <c r="K78" s="637">
        <f t="shared" si="13"/>
        <v>701660</v>
      </c>
      <c r="L78" s="638">
        <f t="shared" si="13"/>
        <v>50997420</v>
      </c>
      <c r="M78" s="268">
        <f t="shared" si="13"/>
        <v>2076100343</v>
      </c>
    </row>
    <row r="81" spans="1:2" ht="12.75">
      <c r="A81" s="142" t="s">
        <v>497</v>
      </c>
      <c r="B81" s="142" t="s">
        <v>498</v>
      </c>
    </row>
    <row r="82" spans="1:2" ht="12.75">
      <c r="A82" s="142" t="s">
        <v>499</v>
      </c>
      <c r="B82" s="142" t="s">
        <v>500</v>
      </c>
    </row>
    <row r="83" spans="1:2" ht="12.75">
      <c r="A83" s="142" t="s">
        <v>501</v>
      </c>
      <c r="B83" s="142" t="s">
        <v>502</v>
      </c>
    </row>
    <row r="84" spans="1:2" ht="12.75">
      <c r="A84" s="142" t="s">
        <v>503</v>
      </c>
      <c r="B84" s="142" t="s">
        <v>504</v>
      </c>
    </row>
    <row r="85" spans="1:2" ht="12.75">
      <c r="A85" s="142" t="s">
        <v>505</v>
      </c>
      <c r="B85" s="142" t="s">
        <v>506</v>
      </c>
    </row>
    <row r="86" spans="1:2" ht="12.75">
      <c r="A86" s="142" t="s">
        <v>801</v>
      </c>
      <c r="B86" s="142" t="s">
        <v>802</v>
      </c>
    </row>
    <row r="87" spans="1:2" ht="12.75">
      <c r="A87" s="142" t="s">
        <v>616</v>
      </c>
      <c r="B87" s="142" t="s">
        <v>615</v>
      </c>
    </row>
    <row r="88" spans="1:2" ht="12.75">
      <c r="A88" s="142" t="s">
        <v>900</v>
      </c>
      <c r="B88" s="142" t="s">
        <v>899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78:C78"/>
    <mergeCell ref="A60:C60"/>
    <mergeCell ref="D6:F7"/>
    <mergeCell ref="A72:C72"/>
    <mergeCell ref="B5:B8"/>
    <mergeCell ref="A5:A8"/>
    <mergeCell ref="C5:M5"/>
    <mergeCell ref="A56:C56"/>
    <mergeCell ref="A77:C7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0" r:id="rId1"/>
  <rowBreaks count="2" manualBreakCount="2">
    <brk id="31" max="12" man="1"/>
    <brk id="5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8"/>
  <sheetViews>
    <sheetView view="pageBreakPreview" zoomScale="60" zoomScalePageLayoutView="0" workbookViewId="0" topLeftCell="A40">
      <selection activeCell="T2" sqref="T2"/>
    </sheetView>
  </sheetViews>
  <sheetFormatPr defaultColWidth="9.00390625" defaultRowHeight="12.75"/>
  <cols>
    <col min="1" max="2" width="9.125" style="142" customWidth="1"/>
    <col min="3" max="3" width="19.125" style="142" customWidth="1"/>
    <col min="4" max="4" width="18.00390625" style="142" bestFit="1" customWidth="1"/>
    <col min="5" max="5" width="15.75390625" style="142" bestFit="1" customWidth="1"/>
    <col min="6" max="6" width="18.00390625" style="142" bestFit="1" customWidth="1"/>
    <col min="7" max="7" width="12.625" style="142" customWidth="1"/>
    <col min="8" max="8" width="18.875" style="142" customWidth="1"/>
    <col min="9" max="9" width="9.25390625" style="142" bestFit="1" customWidth="1"/>
    <col min="10" max="10" width="11.375" style="142" bestFit="1" customWidth="1"/>
    <col min="11" max="11" width="19.25390625" style="142" customWidth="1"/>
    <col min="12" max="12" width="9.75390625" style="142" customWidth="1"/>
    <col min="13" max="13" width="9.125" style="142" customWidth="1"/>
    <col min="14" max="14" width="12.625" style="142" customWidth="1"/>
    <col min="15" max="15" width="8.125" style="142" customWidth="1"/>
    <col min="16" max="16" width="11.375" style="142" bestFit="1" customWidth="1"/>
    <col min="17" max="17" width="14.00390625" style="142" bestFit="1" customWidth="1"/>
    <col min="18" max="20" width="9.125" style="142" customWidth="1"/>
    <col min="21" max="21" width="9.875" style="142" customWidth="1"/>
    <col min="22" max="22" width="13.125" style="142" customWidth="1"/>
    <col min="23" max="23" width="16.625" style="142" bestFit="1" customWidth="1"/>
    <col min="24" max="24" width="18.00390625" style="277" bestFit="1" customWidth="1"/>
    <col min="25" max="25" width="18.25390625" style="277" customWidth="1"/>
    <col min="26" max="26" width="18.75390625" style="277" customWidth="1"/>
    <col min="27" max="27" width="19.75390625" style="277" bestFit="1" customWidth="1"/>
    <col min="28" max="28" width="17.375" style="277" bestFit="1" customWidth="1"/>
    <col min="29" max="29" width="19.75390625" style="277" bestFit="1" customWidth="1"/>
    <col min="30" max="223" width="9.125" style="277" customWidth="1"/>
    <col min="224" max="16384" width="9.125" style="142" customWidth="1"/>
  </cols>
  <sheetData>
    <row r="1" spans="1:28" ht="15">
      <c r="A1" s="209"/>
      <c r="B1" s="210"/>
      <c r="C1" s="211"/>
      <c r="H1" s="210"/>
      <c r="I1" s="210"/>
      <c r="J1" s="210"/>
      <c r="K1" s="212"/>
      <c r="L1" s="212"/>
      <c r="M1" s="212"/>
      <c r="N1" s="210"/>
      <c r="T1" s="1049" t="s">
        <v>1165</v>
      </c>
      <c r="U1" s="1050"/>
      <c r="V1" s="1050"/>
      <c r="W1" s="1050"/>
      <c r="X1" s="1151"/>
      <c r="Y1" s="1151"/>
      <c r="Z1" s="1151"/>
      <c r="AA1" s="1151"/>
      <c r="AB1" s="1151"/>
    </row>
    <row r="2" spans="1:14" ht="12.75">
      <c r="A2" s="209"/>
      <c r="B2" s="210"/>
      <c r="C2" s="211"/>
      <c r="D2" s="213"/>
      <c r="E2" s="214"/>
      <c r="F2" s="214"/>
      <c r="G2" s="214"/>
      <c r="H2" s="210"/>
      <c r="I2" s="210"/>
      <c r="J2" s="210"/>
      <c r="K2" s="212"/>
      <c r="L2" s="212"/>
      <c r="M2" s="212"/>
      <c r="N2" s="210"/>
    </row>
    <row r="3" spans="1:29" ht="15.75" customHeight="1">
      <c r="A3" s="1139" t="s">
        <v>804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1139"/>
      <c r="V3" s="1139"/>
      <c r="W3" s="1139"/>
      <c r="X3" s="1139"/>
      <c r="Y3" s="1139"/>
      <c r="Z3" s="1139"/>
      <c r="AA3" s="1139"/>
      <c r="AB3" s="1139"/>
      <c r="AC3" s="1139"/>
    </row>
    <row r="4" spans="1:29" ht="15.75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</row>
    <row r="5" spans="1:29" ht="13.5" customHeight="1" thickBot="1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</row>
    <row r="6" spans="1:223" s="278" customFormat="1" ht="15" customHeight="1" thickBot="1" thickTop="1">
      <c r="A6" s="1156" t="s">
        <v>89</v>
      </c>
      <c r="B6" s="1157"/>
      <c r="C6" s="1157"/>
      <c r="D6" s="1160" t="s">
        <v>358</v>
      </c>
      <c r="E6" s="1112"/>
      <c r="F6" s="1161"/>
      <c r="G6" s="1133" t="s">
        <v>507</v>
      </c>
      <c r="H6" s="1134"/>
      <c r="I6" s="1134"/>
      <c r="J6" s="1134"/>
      <c r="K6" s="1135"/>
      <c r="L6" s="1081" t="s">
        <v>508</v>
      </c>
      <c r="M6" s="1082"/>
      <c r="N6" s="1082"/>
      <c r="O6" s="1082"/>
      <c r="P6" s="1082"/>
      <c r="Q6" s="1103"/>
      <c r="R6" s="1081" t="s">
        <v>509</v>
      </c>
      <c r="S6" s="1082"/>
      <c r="T6" s="1082"/>
      <c r="U6" s="1082"/>
      <c r="V6" s="1082"/>
      <c r="W6" s="1082"/>
      <c r="X6" s="1152" t="s">
        <v>510</v>
      </c>
      <c r="Y6" s="1102"/>
      <c r="Z6" s="1102"/>
      <c r="AA6" s="1153" t="s">
        <v>90</v>
      </c>
      <c r="AB6" s="1154"/>
      <c r="AC6" s="1155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</row>
    <row r="7" spans="1:29" s="277" customFormat="1" ht="16.5" customHeight="1" thickBot="1">
      <c r="A7" s="1158"/>
      <c r="B7" s="1159"/>
      <c r="C7" s="1159"/>
      <c r="D7" s="434" t="s">
        <v>91</v>
      </c>
      <c r="E7" s="766" t="s">
        <v>87</v>
      </c>
      <c r="F7" s="280" t="s">
        <v>92</v>
      </c>
      <c r="G7" s="1136"/>
      <c r="H7" s="1137"/>
      <c r="I7" s="1137"/>
      <c r="J7" s="1137"/>
      <c r="K7" s="1138"/>
      <c r="L7" s="1084"/>
      <c r="M7" s="1085"/>
      <c r="N7" s="1085"/>
      <c r="O7" s="1085"/>
      <c r="P7" s="1085"/>
      <c r="Q7" s="1104"/>
      <c r="R7" s="1084"/>
      <c r="S7" s="1085"/>
      <c r="T7" s="1085"/>
      <c r="U7" s="1085"/>
      <c r="V7" s="1085"/>
      <c r="W7" s="1085"/>
      <c r="X7" s="279" t="s">
        <v>91</v>
      </c>
      <c r="Y7" s="434" t="s">
        <v>87</v>
      </c>
      <c r="Z7" s="753" t="s">
        <v>92</v>
      </c>
      <c r="AA7" s="279" t="s">
        <v>91</v>
      </c>
      <c r="AB7" s="434" t="s">
        <v>87</v>
      </c>
      <c r="AC7" s="280" t="s">
        <v>92</v>
      </c>
    </row>
    <row r="8" spans="1:29" s="296" customFormat="1" ht="16.5" customHeight="1">
      <c r="A8" s="281"/>
      <c r="B8" s="282"/>
      <c r="C8" s="283"/>
      <c r="D8" s="284"/>
      <c r="E8" s="282"/>
      <c r="F8" s="285"/>
      <c r="G8" s="1140" t="s">
        <v>914</v>
      </c>
      <c r="H8" s="1067"/>
      <c r="I8" s="1067"/>
      <c r="J8" s="466">
        <v>79416609</v>
      </c>
      <c r="K8" s="1087">
        <f>SUM(J8:J17)</f>
        <v>228487876</v>
      </c>
      <c r="L8" s="1142"/>
      <c r="M8" s="1143"/>
      <c r="N8" s="1143"/>
      <c r="O8" s="1143"/>
      <c r="P8" s="287"/>
      <c r="Q8" s="1131">
        <f>SUM(P8:P17)</f>
        <v>144281771</v>
      </c>
      <c r="R8" s="1094" t="s">
        <v>243</v>
      </c>
      <c r="S8" s="1095"/>
      <c r="T8" s="1095"/>
      <c r="U8" s="1095"/>
      <c r="V8" s="466">
        <v>227595000</v>
      </c>
      <c r="W8" s="1073">
        <f>SUM(V8:V17)</f>
        <v>347256462</v>
      </c>
      <c r="X8" s="290"/>
      <c r="Y8" s="291"/>
      <c r="Z8" s="292"/>
      <c r="AA8" s="293"/>
      <c r="AB8" s="294"/>
      <c r="AC8" s="295"/>
    </row>
    <row r="9" spans="1:29" s="296" customFormat="1" ht="27" customHeight="1">
      <c r="A9" s="281"/>
      <c r="B9" s="282"/>
      <c r="C9" s="284"/>
      <c r="D9" s="284"/>
      <c r="E9" s="282"/>
      <c r="F9" s="285"/>
      <c r="G9" s="1128" t="s">
        <v>621</v>
      </c>
      <c r="H9" s="1111"/>
      <c r="I9" s="1111"/>
      <c r="J9" s="466">
        <v>2114700</v>
      </c>
      <c r="K9" s="1088"/>
      <c r="L9" s="1068" t="s">
        <v>943</v>
      </c>
      <c r="M9" s="1069"/>
      <c r="N9" s="1069"/>
      <c r="O9" s="1069"/>
      <c r="P9" s="466">
        <f>3652363+1407021+1011276</f>
        <v>6070660</v>
      </c>
      <c r="Q9" s="1132"/>
      <c r="R9" s="1068" t="s">
        <v>741</v>
      </c>
      <c r="S9" s="1069"/>
      <c r="T9" s="1069"/>
      <c r="U9" s="1069"/>
      <c r="V9" s="466">
        <v>508000</v>
      </c>
      <c r="W9" s="1074"/>
      <c r="X9" s="297"/>
      <c r="Y9" s="291"/>
      <c r="Z9" s="298"/>
      <c r="AA9" s="281"/>
      <c r="AB9" s="299"/>
      <c r="AC9" s="300"/>
    </row>
    <row r="10" spans="1:29" s="296" customFormat="1" ht="24.75" customHeight="1">
      <c r="A10" s="301"/>
      <c r="B10" s="302"/>
      <c r="C10" s="303" t="s">
        <v>482</v>
      </c>
      <c r="D10" s="304">
        <f>SUM('6. kiadások megbontása'!D56)</f>
        <v>633309549</v>
      </c>
      <c r="E10" s="305">
        <f>SUM('6. kiadások megbontása'!E56)</f>
        <v>319701562</v>
      </c>
      <c r="F10" s="306">
        <f>SUM(D10:E10)</f>
        <v>953011111</v>
      </c>
      <c r="G10" s="1128" t="s">
        <v>746</v>
      </c>
      <c r="H10" s="1111"/>
      <c r="I10" s="1111"/>
      <c r="J10" s="466">
        <v>45748047</v>
      </c>
      <c r="K10" s="1088"/>
      <c r="L10" s="1068" t="s">
        <v>511</v>
      </c>
      <c r="M10" s="1069"/>
      <c r="N10" s="1069"/>
      <c r="O10" s="1069"/>
      <c r="P10" s="466">
        <v>21588000</v>
      </c>
      <c r="Q10" s="1132"/>
      <c r="R10" s="1094" t="s">
        <v>806</v>
      </c>
      <c r="S10" s="1095"/>
      <c r="T10" s="1095"/>
      <c r="U10" s="1095"/>
      <c r="V10" s="734">
        <v>272649</v>
      </c>
      <c r="W10" s="1074"/>
      <c r="X10" s="307"/>
      <c r="Y10" s="308"/>
      <c r="Z10" s="298"/>
      <c r="AA10" s="309"/>
      <c r="AB10" s="310"/>
      <c r="AC10" s="311"/>
    </row>
    <row r="11" spans="1:29" s="296" customFormat="1" ht="12.75" customHeight="1">
      <c r="A11" s="312"/>
      <c r="B11" s="313"/>
      <c r="C11" s="314"/>
      <c r="D11" s="314"/>
      <c r="E11" s="282"/>
      <c r="F11" s="285"/>
      <c r="G11" s="1098" t="s">
        <v>545</v>
      </c>
      <c r="H11" s="1098"/>
      <c r="I11" s="1098"/>
      <c r="J11" s="466">
        <v>63778000</v>
      </c>
      <c r="K11" s="1088"/>
      <c r="L11" s="1094" t="s">
        <v>812</v>
      </c>
      <c r="M11" s="1095"/>
      <c r="N11" s="1095"/>
      <c r="O11" s="1095"/>
      <c r="P11" s="466">
        <f>302525+67046</f>
        <v>369571</v>
      </c>
      <c r="Q11" s="1132"/>
      <c r="R11" s="1068" t="s">
        <v>114</v>
      </c>
      <c r="S11" s="1069"/>
      <c r="T11" s="1069"/>
      <c r="U11" s="1069"/>
      <c r="V11" s="466">
        <v>14236474</v>
      </c>
      <c r="W11" s="1074"/>
      <c r="X11" s="307"/>
      <c r="Y11" s="308"/>
      <c r="Z11" s="298"/>
      <c r="AA11" s="309"/>
      <c r="AB11" s="310"/>
      <c r="AC11" s="311"/>
    </row>
    <row r="12" spans="1:29" s="296" customFormat="1" ht="15" customHeight="1">
      <c r="A12" s="312"/>
      <c r="B12" s="313"/>
      <c r="C12" s="314"/>
      <c r="D12" s="314"/>
      <c r="E12" s="282"/>
      <c r="F12" s="285"/>
      <c r="G12" s="1141" t="s">
        <v>913</v>
      </c>
      <c r="H12" s="1069"/>
      <c r="I12" s="1069"/>
      <c r="J12" s="466">
        <v>39435</v>
      </c>
      <c r="K12" s="1088"/>
      <c r="L12" s="1094" t="s">
        <v>906</v>
      </c>
      <c r="M12" s="1095"/>
      <c r="N12" s="1095"/>
      <c r="O12" s="1095"/>
      <c r="P12" s="461">
        <f>11977188+38901777-8045171</f>
        <v>42833794</v>
      </c>
      <c r="Q12" s="1132"/>
      <c r="R12" s="1068" t="s">
        <v>816</v>
      </c>
      <c r="S12" s="1069"/>
      <c r="T12" s="1069"/>
      <c r="U12" s="1069"/>
      <c r="V12" s="466">
        <v>60128</v>
      </c>
      <c r="W12" s="1074"/>
      <c r="X12" s="307"/>
      <c r="Y12" s="308"/>
      <c r="Z12" s="298"/>
      <c r="AA12" s="309"/>
      <c r="AB12" s="310"/>
      <c r="AC12" s="311"/>
    </row>
    <row r="13" spans="1:29" s="296" customFormat="1" ht="15.75" customHeight="1">
      <c r="A13" s="312"/>
      <c r="B13" s="313"/>
      <c r="C13" s="314"/>
      <c r="D13" s="314"/>
      <c r="E13" s="282"/>
      <c r="F13" s="285"/>
      <c r="G13" s="1098" t="s">
        <v>918</v>
      </c>
      <c r="H13" s="1098"/>
      <c r="I13" s="1098"/>
      <c r="J13" s="286">
        <v>30500</v>
      </c>
      <c r="K13" s="1088"/>
      <c r="L13" s="1094" t="s">
        <v>907</v>
      </c>
      <c r="M13" s="1095"/>
      <c r="N13" s="1095"/>
      <c r="O13" s="1095"/>
      <c r="P13" s="461">
        <f>23626850+46614899-7935168+11113165</f>
        <v>73419746</v>
      </c>
      <c r="Q13" s="1132"/>
      <c r="R13" s="1068" t="s">
        <v>284</v>
      </c>
      <c r="S13" s="1069"/>
      <c r="T13" s="1069"/>
      <c r="U13" s="1069"/>
      <c r="V13" s="466">
        <f>639000+105030</f>
        <v>744030</v>
      </c>
      <c r="W13" s="1074"/>
      <c r="X13" s="307"/>
      <c r="Y13" s="308"/>
      <c r="Z13" s="298"/>
      <c r="AA13" s="309"/>
      <c r="AB13" s="310"/>
      <c r="AC13" s="311"/>
    </row>
    <row r="14" spans="1:29" s="296" customFormat="1" ht="13.5" customHeight="1">
      <c r="A14" s="312"/>
      <c r="B14" s="313"/>
      <c r="C14" s="314"/>
      <c r="D14" s="314"/>
      <c r="E14" s="282"/>
      <c r="F14" s="316"/>
      <c r="G14" s="1098" t="s">
        <v>1007</v>
      </c>
      <c r="H14" s="1098"/>
      <c r="I14" s="1098"/>
      <c r="J14" s="286">
        <v>7265000</v>
      </c>
      <c r="K14" s="1088"/>
      <c r="L14" s="1123"/>
      <c r="M14" s="1098"/>
      <c r="N14" s="1098"/>
      <c r="O14" s="1098"/>
      <c r="Q14" s="1132"/>
      <c r="R14" s="1068" t="s">
        <v>744</v>
      </c>
      <c r="S14" s="1069"/>
      <c r="T14" s="1069"/>
      <c r="U14" s="1069"/>
      <c r="V14" s="466">
        <f>2486532+446236+828040+117194+36960+9979</f>
        <v>3924941</v>
      </c>
      <c r="W14" s="1074"/>
      <c r="X14" s="318">
        <f>SUM(W8,Q8,K8)</f>
        <v>720026109</v>
      </c>
      <c r="Y14" s="319">
        <f>SUM(W18+Q18+K18)</f>
        <v>348389019</v>
      </c>
      <c r="Z14" s="320">
        <f>SUM(Y14,X14)</f>
        <v>1068415128</v>
      </c>
      <c r="AA14" s="318">
        <f>X14-D10</f>
        <v>86716560</v>
      </c>
      <c r="AB14" s="319">
        <f>Y14-E10</f>
        <v>28687457</v>
      </c>
      <c r="AC14" s="321">
        <f>SUM(AA14:AB14)</f>
        <v>115404017</v>
      </c>
    </row>
    <row r="15" spans="1:29" s="277" customFormat="1" ht="12.75" customHeight="1">
      <c r="A15" s="322"/>
      <c r="B15" s="323"/>
      <c r="C15" s="324"/>
      <c r="D15" s="324"/>
      <c r="E15" s="325"/>
      <c r="F15" s="326"/>
      <c r="G15" s="1128" t="s">
        <v>1008</v>
      </c>
      <c r="H15" s="1111"/>
      <c r="I15" s="1111"/>
      <c r="J15" s="286">
        <v>95585</v>
      </c>
      <c r="K15" s="1088"/>
      <c r="L15" s="1123"/>
      <c r="M15" s="1098"/>
      <c r="N15" s="1098"/>
      <c r="O15" s="1098"/>
      <c r="P15" s="317"/>
      <c r="Q15" s="1132"/>
      <c r="R15" s="1094" t="s">
        <v>815</v>
      </c>
      <c r="S15" s="1095"/>
      <c r="T15" s="1095"/>
      <c r="U15" s="1095"/>
      <c r="V15" s="734">
        <v>6983451</v>
      </c>
      <c r="W15" s="1074"/>
      <c r="X15" s="307"/>
      <c r="Y15" s="308"/>
      <c r="Z15" s="298"/>
      <c r="AA15" s="309"/>
      <c r="AB15" s="310"/>
      <c r="AC15" s="311"/>
    </row>
    <row r="16" spans="1:29" s="277" customFormat="1" ht="13.5" customHeight="1">
      <c r="A16" s="322"/>
      <c r="B16" s="323"/>
      <c r="C16" s="324"/>
      <c r="D16" s="324"/>
      <c r="E16" s="325"/>
      <c r="F16" s="326"/>
      <c r="G16" s="1128" t="s">
        <v>1011</v>
      </c>
      <c r="H16" s="1111"/>
      <c r="I16" s="1111"/>
      <c r="J16" s="286">
        <v>30000000</v>
      </c>
      <c r="K16" s="1088"/>
      <c r="L16" s="1110"/>
      <c r="M16" s="1111"/>
      <c r="N16" s="1111"/>
      <c r="O16" s="1111"/>
      <c r="P16" s="286"/>
      <c r="Q16" s="1132"/>
      <c r="R16" s="1094" t="s">
        <v>1136</v>
      </c>
      <c r="S16" s="1095"/>
      <c r="T16" s="1095"/>
      <c r="U16" s="1095"/>
      <c r="V16" s="734">
        <f>3000+3863162+809838</f>
        <v>4676000</v>
      </c>
      <c r="W16" s="1074"/>
      <c r="X16" s="307"/>
      <c r="Y16" s="308"/>
      <c r="Z16" s="298"/>
      <c r="AA16" s="309"/>
      <c r="AB16" s="310"/>
      <c r="AC16" s="311"/>
    </row>
    <row r="17" spans="1:29" s="277" customFormat="1" ht="13.5" customHeight="1" thickBot="1">
      <c r="A17" s="322"/>
      <c r="B17" s="323"/>
      <c r="C17" s="324"/>
      <c r="D17" s="324"/>
      <c r="E17" s="325"/>
      <c r="F17" s="326"/>
      <c r="G17" s="1128"/>
      <c r="H17" s="1111"/>
      <c r="I17" s="1111"/>
      <c r="J17" s="286"/>
      <c r="K17" s="1088"/>
      <c r="L17" s="1123"/>
      <c r="M17" s="1098"/>
      <c r="N17" s="1098"/>
      <c r="O17" s="1098"/>
      <c r="P17" s="315"/>
      <c r="Q17" s="1132"/>
      <c r="R17" s="1094" t="s">
        <v>745</v>
      </c>
      <c r="S17" s="1095"/>
      <c r="T17" s="1095"/>
      <c r="U17" s="1095"/>
      <c r="V17" s="734">
        <f>22840902+55632238+9782649</f>
        <v>88255789</v>
      </c>
      <c r="W17" s="1074"/>
      <c r="X17" s="307"/>
      <c r="Y17" s="308"/>
      <c r="Z17" s="298"/>
      <c r="AA17" s="309"/>
      <c r="AB17" s="310"/>
      <c r="AC17" s="311"/>
    </row>
    <row r="18" spans="1:29" s="277" customFormat="1" ht="54" customHeight="1">
      <c r="A18" s="322"/>
      <c r="B18" s="323"/>
      <c r="C18" s="324"/>
      <c r="D18" s="324"/>
      <c r="E18" s="325"/>
      <c r="F18" s="326"/>
      <c r="G18" s="1140" t="s">
        <v>1155</v>
      </c>
      <c r="H18" s="1067"/>
      <c r="I18" s="1067"/>
      <c r="J18" s="731">
        <v>29947750</v>
      </c>
      <c r="K18" s="1087">
        <f>SUM(J18:J21)</f>
        <v>29947750</v>
      </c>
      <c r="L18" s="1092" t="s">
        <v>807</v>
      </c>
      <c r="M18" s="1093"/>
      <c r="N18" s="1093"/>
      <c r="O18" s="1093"/>
      <c r="P18" s="731">
        <f>2500000+6019000+5000000+95000000+106200000</f>
        <v>214719000</v>
      </c>
      <c r="Q18" s="1105">
        <f>SUM(P18:P22)</f>
        <v>251867352</v>
      </c>
      <c r="R18" s="1129" t="s">
        <v>94</v>
      </c>
      <c r="S18" s="1130"/>
      <c r="T18" s="1130"/>
      <c r="U18" s="1130"/>
      <c r="V18" s="467">
        <f>62747330-3831623-848360+15172896+672563+3300476-30000000+1066203+500000-6753000+1032600+15000-1150000-1011276</f>
        <v>40912809</v>
      </c>
      <c r="W18" s="1073">
        <f>SUM(V18:V20)</f>
        <v>66573917</v>
      </c>
      <c r="X18" s="307"/>
      <c r="Y18" s="308"/>
      <c r="Z18" s="298"/>
      <c r="AA18" s="309"/>
      <c r="AB18" s="310"/>
      <c r="AC18" s="311"/>
    </row>
    <row r="19" spans="1:29" s="277" customFormat="1" ht="14.25" customHeight="1">
      <c r="A19" s="322"/>
      <c r="B19" s="323"/>
      <c r="C19" s="324"/>
      <c r="D19" s="324"/>
      <c r="E19" s="325"/>
      <c r="F19" s="326"/>
      <c r="G19" s="328"/>
      <c r="H19" s="329"/>
      <c r="I19" s="329"/>
      <c r="J19" s="331"/>
      <c r="K19" s="1088"/>
      <c r="L19" s="1094" t="s">
        <v>809</v>
      </c>
      <c r="M19" s="1095"/>
      <c r="N19" s="1095"/>
      <c r="O19" s="1095"/>
      <c r="P19" s="317">
        <v>1846997</v>
      </c>
      <c r="Q19" s="1106"/>
      <c r="R19" s="1068" t="s">
        <v>740</v>
      </c>
      <c r="S19" s="1069"/>
      <c r="T19" s="1069"/>
      <c r="U19" s="1069"/>
      <c r="V19" s="464">
        <f>21384589+4176519</f>
        <v>25561108</v>
      </c>
      <c r="W19" s="1074"/>
      <c r="X19" s="307"/>
      <c r="Y19" s="308"/>
      <c r="Z19" s="298"/>
      <c r="AA19" s="309"/>
      <c r="AB19" s="310"/>
      <c r="AC19" s="311"/>
    </row>
    <row r="20" spans="1:29" s="277" customFormat="1" ht="14.25" customHeight="1">
      <c r="A20" s="322"/>
      <c r="B20" s="323"/>
      <c r="C20" s="324"/>
      <c r="D20" s="324"/>
      <c r="E20" s="325"/>
      <c r="F20" s="326"/>
      <c r="G20" s="1124"/>
      <c r="H20" s="1125"/>
      <c r="I20" s="1125"/>
      <c r="J20" s="331"/>
      <c r="K20" s="1088"/>
      <c r="L20" s="1094" t="s">
        <v>808</v>
      </c>
      <c r="M20" s="1095"/>
      <c r="N20" s="1095"/>
      <c r="O20" s="1095"/>
      <c r="P20" s="317">
        <v>299888</v>
      </c>
      <c r="Q20" s="1106"/>
      <c r="R20" s="1068" t="s">
        <v>302</v>
      </c>
      <c r="S20" s="1069"/>
      <c r="T20" s="1069"/>
      <c r="U20" s="1069"/>
      <c r="V20" s="464">
        <v>100000</v>
      </c>
      <c r="W20" s="1074"/>
      <c r="X20" s="307"/>
      <c r="Y20" s="308"/>
      <c r="Z20" s="298"/>
      <c r="AA20" s="309"/>
      <c r="AB20" s="310"/>
      <c r="AC20" s="311"/>
    </row>
    <row r="21" spans="1:29" s="277" customFormat="1" ht="14.25" customHeight="1">
      <c r="A21" s="322"/>
      <c r="B21" s="323"/>
      <c r="C21" s="324"/>
      <c r="D21" s="324"/>
      <c r="E21" s="325"/>
      <c r="F21" s="326"/>
      <c r="G21" s="328"/>
      <c r="H21" s="329"/>
      <c r="I21" s="329"/>
      <c r="J21" s="331"/>
      <c r="K21" s="897"/>
      <c r="L21" s="1123" t="s">
        <v>1010</v>
      </c>
      <c r="M21" s="1098"/>
      <c r="N21" s="1098"/>
      <c r="O21" s="1098"/>
      <c r="P21" s="790">
        <v>1920000</v>
      </c>
      <c r="Q21" s="1106"/>
      <c r="R21" s="774"/>
      <c r="S21" s="775"/>
      <c r="T21" s="775"/>
      <c r="U21" s="775"/>
      <c r="V21" s="734"/>
      <c r="W21" s="898"/>
      <c r="X21" s="307"/>
      <c r="Y21" s="308"/>
      <c r="Z21" s="298"/>
      <c r="AA21" s="309"/>
      <c r="AB21" s="310"/>
      <c r="AC21" s="311"/>
    </row>
    <row r="22" spans="1:29" s="277" customFormat="1" ht="14.25" customHeight="1" thickBot="1">
      <c r="A22" s="470"/>
      <c r="B22" s="377"/>
      <c r="C22" s="650"/>
      <c r="D22" s="378"/>
      <c r="E22" s="379"/>
      <c r="F22" s="380"/>
      <c r="G22" s="881"/>
      <c r="H22" s="882"/>
      <c r="I22" s="882"/>
      <c r="J22" s="651"/>
      <c r="K22" s="879"/>
      <c r="L22" s="1094" t="s">
        <v>1006</v>
      </c>
      <c r="M22" s="1095"/>
      <c r="N22" s="1095"/>
      <c r="O22" s="1095"/>
      <c r="P22" s="462">
        <v>33081467</v>
      </c>
      <c r="Q22" s="1107"/>
      <c r="R22" s="883"/>
      <c r="S22" s="884"/>
      <c r="T22" s="884"/>
      <c r="U22" s="884"/>
      <c r="V22" s="890"/>
      <c r="W22" s="880"/>
      <c r="X22" s="652"/>
      <c r="Y22" s="653"/>
      <c r="Z22" s="654"/>
      <c r="AA22" s="655"/>
      <c r="AB22" s="656"/>
      <c r="AC22" s="347"/>
    </row>
    <row r="23" spans="1:29" s="277" customFormat="1" ht="18" customHeight="1" thickTop="1">
      <c r="A23" s="471"/>
      <c r="B23" s="332"/>
      <c r="C23" s="333"/>
      <c r="D23" s="333"/>
      <c r="E23" s="334"/>
      <c r="F23" s="335"/>
      <c r="G23" s="1126"/>
      <c r="H23" s="1127"/>
      <c r="I23" s="1127"/>
      <c r="J23" s="472"/>
      <c r="K23" s="1117">
        <f>SUM(J23:J24)</f>
        <v>0</v>
      </c>
      <c r="L23" s="1165" t="s">
        <v>512</v>
      </c>
      <c r="M23" s="1166"/>
      <c r="N23" s="1166"/>
      <c r="O23" s="1166"/>
      <c r="P23" s="732">
        <v>29503396</v>
      </c>
      <c r="Q23" s="1117">
        <f>SUM(P23:P24)</f>
        <v>38966057</v>
      </c>
      <c r="R23" s="337"/>
      <c r="S23" s="338"/>
      <c r="T23" s="338"/>
      <c r="U23" s="338"/>
      <c r="V23" s="339"/>
      <c r="W23" s="340"/>
      <c r="X23" s="341"/>
      <c r="Y23" s="342"/>
      <c r="Z23" s="343"/>
      <c r="AA23" s="344"/>
      <c r="AB23" s="345"/>
      <c r="AC23" s="346"/>
    </row>
    <row r="24" spans="1:223" s="437" customFormat="1" ht="19.5" customHeight="1" thickBot="1">
      <c r="A24" s="756"/>
      <c r="B24" s="1149" t="s">
        <v>95</v>
      </c>
      <c r="C24" s="1150"/>
      <c r="D24" s="757">
        <f>SUM('6. kiadások megbontása'!J56)</f>
        <v>50295760</v>
      </c>
      <c r="E24" s="758">
        <f>SUM('6. kiadások megbontása'!K56)</f>
        <v>701660</v>
      </c>
      <c r="F24" s="759">
        <f>SUM(D24:E24)</f>
        <v>50997420</v>
      </c>
      <c r="G24" s="1121"/>
      <c r="H24" s="1122"/>
      <c r="I24" s="1122"/>
      <c r="J24" s="760"/>
      <c r="K24" s="1118"/>
      <c r="L24" s="1119" t="s">
        <v>622</v>
      </c>
      <c r="M24" s="1120"/>
      <c r="N24" s="1120"/>
      <c r="O24" s="1120"/>
      <c r="P24" s="733">
        <v>9462661</v>
      </c>
      <c r="Q24" s="1118"/>
      <c r="R24" s="1119"/>
      <c r="S24" s="1120"/>
      <c r="T24" s="1120"/>
      <c r="U24" s="1120"/>
      <c r="V24" s="761"/>
      <c r="W24" s="762">
        <f>SUM(V24)</f>
        <v>0</v>
      </c>
      <c r="X24" s="763">
        <f>SUM(W24,Q23,K23)</f>
        <v>38966057</v>
      </c>
      <c r="Y24" s="764">
        <v>0</v>
      </c>
      <c r="Z24" s="765">
        <f>SUM(X24:Y24)</f>
        <v>38966057</v>
      </c>
      <c r="AA24" s="763">
        <f>X24-D24</f>
        <v>-11329703</v>
      </c>
      <c r="AB24" s="764">
        <f>Y24-E24</f>
        <v>-701660</v>
      </c>
      <c r="AC24" s="347">
        <f>SUM(AA24:AB24)</f>
        <v>-12031363</v>
      </c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/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459"/>
      <c r="GG24" s="459"/>
      <c r="GH24" s="459"/>
      <c r="GI24" s="459"/>
      <c r="GJ24" s="459"/>
      <c r="GK24" s="459"/>
      <c r="GL24" s="459"/>
      <c r="GM24" s="459"/>
      <c r="GN24" s="459"/>
      <c r="GO24" s="459"/>
      <c r="GP24" s="459"/>
      <c r="GQ24" s="459"/>
      <c r="GR24" s="459"/>
      <c r="GS24" s="459"/>
      <c r="GT24" s="459"/>
      <c r="GU24" s="459"/>
      <c r="GV24" s="459"/>
      <c r="GW24" s="459"/>
      <c r="GX24" s="459"/>
      <c r="GY24" s="459"/>
      <c r="GZ24" s="459"/>
      <c r="HA24" s="459"/>
      <c r="HB24" s="459"/>
      <c r="HC24" s="459"/>
      <c r="HD24" s="459"/>
      <c r="HE24" s="459"/>
      <c r="HF24" s="459"/>
      <c r="HG24" s="459"/>
      <c r="HH24" s="459"/>
      <c r="HI24" s="459"/>
      <c r="HJ24" s="459"/>
      <c r="HK24" s="459"/>
      <c r="HL24" s="459"/>
      <c r="HM24" s="459"/>
      <c r="HN24" s="459"/>
      <c r="HO24" s="459"/>
    </row>
    <row r="25" spans="1:29" ht="16.5" customHeight="1" thickTop="1">
      <c r="A25" s="369"/>
      <c r="B25" s="325"/>
      <c r="C25" s="349"/>
      <c r="D25" s="350"/>
      <c r="E25" s="350"/>
      <c r="F25" s="326"/>
      <c r="G25" s="328"/>
      <c r="H25" s="329"/>
      <c r="I25" s="329"/>
      <c r="J25" s="351"/>
      <c r="K25" s="1117">
        <f>SUM(J25:J30)</f>
        <v>0</v>
      </c>
      <c r="L25" s="1094" t="s">
        <v>113</v>
      </c>
      <c r="M25" s="1095"/>
      <c r="N25" s="1095"/>
      <c r="O25" s="1095"/>
      <c r="P25" s="286">
        <v>2000000</v>
      </c>
      <c r="Q25" s="1117">
        <f>SUM(P25:P30)</f>
        <v>213342362</v>
      </c>
      <c r="R25" s="1068" t="s">
        <v>742</v>
      </c>
      <c r="S25" s="1069"/>
      <c r="T25" s="1069"/>
      <c r="U25" s="1069"/>
      <c r="V25" s="464">
        <v>5848600</v>
      </c>
      <c r="W25" s="1144">
        <f>SUM(V25:V30)</f>
        <v>11625600</v>
      </c>
      <c r="X25" s="352"/>
      <c r="Y25" s="353"/>
      <c r="Z25" s="354"/>
      <c r="AA25" s="352"/>
      <c r="AB25" s="353"/>
      <c r="AC25" s="335"/>
    </row>
    <row r="26" spans="1:29" ht="22.5" customHeight="1">
      <c r="A26" s="369"/>
      <c r="B26" s="325"/>
      <c r="C26" s="349"/>
      <c r="D26" s="350"/>
      <c r="E26" s="325"/>
      <c r="F26" s="326"/>
      <c r="G26" s="328"/>
      <c r="H26" s="329"/>
      <c r="I26" s="329"/>
      <c r="J26" s="351"/>
      <c r="K26" s="1088"/>
      <c r="L26" s="1094" t="s">
        <v>1127</v>
      </c>
      <c r="M26" s="1095"/>
      <c r="N26" s="1095"/>
      <c r="O26" s="1095"/>
      <c r="P26" s="286">
        <v>1100000</v>
      </c>
      <c r="Q26" s="1088"/>
      <c r="R26" s="1110" t="s">
        <v>1151</v>
      </c>
      <c r="S26" s="1111"/>
      <c r="T26" s="1111"/>
      <c r="U26" s="1111"/>
      <c r="V26" s="464">
        <f>48819+13181</f>
        <v>62000</v>
      </c>
      <c r="W26" s="1145"/>
      <c r="X26" s="786"/>
      <c r="Y26" s="350"/>
      <c r="Z26" s="325"/>
      <c r="AA26" s="369"/>
      <c r="AB26" s="350"/>
      <c r="AC26" s="326"/>
    </row>
    <row r="27" spans="1:29" ht="24.75" customHeight="1">
      <c r="A27" s="369"/>
      <c r="B27" s="325"/>
      <c r="C27" s="349"/>
      <c r="D27" s="350"/>
      <c r="E27" s="325"/>
      <c r="F27" s="326"/>
      <c r="G27" s="328"/>
      <c r="H27" s="329"/>
      <c r="I27" s="329"/>
      <c r="J27" s="351"/>
      <c r="K27" s="1088"/>
      <c r="L27" s="1110" t="s">
        <v>911</v>
      </c>
      <c r="M27" s="1111"/>
      <c r="N27" s="1111"/>
      <c r="O27" s="1111"/>
      <c r="P27" s="286">
        <v>17772766</v>
      </c>
      <c r="Q27" s="1088"/>
      <c r="R27" s="1110" t="s">
        <v>743</v>
      </c>
      <c r="S27" s="1111"/>
      <c r="T27" s="1111"/>
      <c r="U27" s="1111"/>
      <c r="V27" s="464">
        <v>5715000</v>
      </c>
      <c r="W27" s="1145"/>
      <c r="X27" s="786"/>
      <c r="Y27" s="350"/>
      <c r="Z27" s="325"/>
      <c r="AA27" s="369"/>
      <c r="AB27" s="350"/>
      <c r="AC27" s="326"/>
    </row>
    <row r="28" spans="1:29" ht="27.75" customHeight="1">
      <c r="A28" s="369"/>
      <c r="B28" s="325"/>
      <c r="C28" s="349"/>
      <c r="D28" s="350"/>
      <c r="E28" s="325"/>
      <c r="F28" s="326"/>
      <c r="G28" s="328"/>
      <c r="H28" s="329"/>
      <c r="I28" s="329"/>
      <c r="J28" s="351"/>
      <c r="K28" s="1088"/>
      <c r="L28" s="1110" t="s">
        <v>909</v>
      </c>
      <c r="M28" s="1111"/>
      <c r="N28" s="1111"/>
      <c r="O28" s="1111"/>
      <c r="P28" s="461">
        <f>88971424+10976885</f>
        <v>99948309</v>
      </c>
      <c r="Q28" s="1088"/>
      <c r="R28" s="774"/>
      <c r="S28" s="775"/>
      <c r="T28" s="775"/>
      <c r="U28" s="775"/>
      <c r="V28" s="464"/>
      <c r="W28" s="1145"/>
      <c r="X28" s="786"/>
      <c r="Y28" s="350"/>
      <c r="Z28" s="325"/>
      <c r="AA28" s="369"/>
      <c r="AB28" s="350"/>
      <c r="AC28" s="326"/>
    </row>
    <row r="29" spans="1:29" ht="26.25" customHeight="1">
      <c r="A29" s="369"/>
      <c r="B29" s="325"/>
      <c r="C29" s="349"/>
      <c r="D29" s="350"/>
      <c r="E29" s="325"/>
      <c r="F29" s="326"/>
      <c r="G29" s="328"/>
      <c r="H29" s="329"/>
      <c r="I29" s="329"/>
      <c r="J29" s="351"/>
      <c r="K29" s="1088"/>
      <c r="L29" s="1110" t="s">
        <v>910</v>
      </c>
      <c r="M29" s="1111"/>
      <c r="N29" s="1111"/>
      <c r="O29" s="1111"/>
      <c r="P29" s="286">
        <v>32379432</v>
      </c>
      <c r="Q29" s="1088"/>
      <c r="R29" s="774"/>
      <c r="S29" s="775"/>
      <c r="T29" s="775"/>
      <c r="U29" s="775"/>
      <c r="V29" s="464"/>
      <c r="W29" s="1145"/>
      <c r="X29" s="786"/>
      <c r="Y29" s="350"/>
      <c r="Z29" s="325"/>
      <c r="AA29" s="369"/>
      <c r="AB29" s="350"/>
      <c r="AC29" s="326"/>
    </row>
    <row r="30" spans="1:29" ht="25.5" customHeight="1" thickBot="1">
      <c r="A30" s="1162" t="s">
        <v>483</v>
      </c>
      <c r="B30" s="1163"/>
      <c r="C30" s="1164"/>
      <c r="D30" s="355">
        <f>SUM('6. kiadások megbontása'!G56)</f>
        <v>278463588</v>
      </c>
      <c r="E30" s="305">
        <f>SUM('6. kiadások megbontása'!H56)</f>
        <v>328433159</v>
      </c>
      <c r="F30" s="306">
        <f>SUM(D30:E30)</f>
        <v>606896747</v>
      </c>
      <c r="G30" s="356"/>
      <c r="H30" s="289"/>
      <c r="I30" s="289"/>
      <c r="J30" s="317"/>
      <c r="K30" s="1096"/>
      <c r="L30" s="1110" t="s">
        <v>1137</v>
      </c>
      <c r="M30" s="1111"/>
      <c r="N30" s="1111"/>
      <c r="O30" s="1111"/>
      <c r="P30" s="286">
        <f>63035474-2893619</f>
        <v>60141855</v>
      </c>
      <c r="Q30" s="1096"/>
      <c r="R30" s="1147"/>
      <c r="S30" s="1148"/>
      <c r="T30" s="1148"/>
      <c r="U30" s="1148"/>
      <c r="V30" s="463"/>
      <c r="W30" s="1146"/>
      <c r="X30" s="357">
        <f>SUM(W25,Q25,K25)</f>
        <v>224967962</v>
      </c>
      <c r="Y30" s="319">
        <f>SUM(Q31,W31,K31)</f>
        <v>320852442</v>
      </c>
      <c r="Z30" s="320">
        <f>SUM(X30:Y30)</f>
        <v>545820404</v>
      </c>
      <c r="AA30" s="318">
        <f>X30-D30</f>
        <v>-53495626</v>
      </c>
      <c r="AB30" s="319">
        <f>Y30-E30</f>
        <v>-7580717</v>
      </c>
      <c r="AC30" s="321">
        <f>SUM(AA30:AB30)</f>
        <v>-61076343</v>
      </c>
    </row>
    <row r="31" spans="1:29" ht="42" customHeight="1">
      <c r="A31" s="301"/>
      <c r="B31" s="302"/>
      <c r="C31" s="303"/>
      <c r="D31" s="355"/>
      <c r="E31" s="305"/>
      <c r="F31" s="306"/>
      <c r="G31" s="594"/>
      <c r="H31" s="595"/>
      <c r="I31" s="595"/>
      <c r="J31" s="330"/>
      <c r="K31" s="1087">
        <f>SUM(J35:J35)</f>
        <v>0</v>
      </c>
      <c r="L31" s="1092" t="s">
        <v>811</v>
      </c>
      <c r="M31" s="1093"/>
      <c r="N31" s="1093"/>
      <c r="O31" s="1093"/>
      <c r="P31" s="731">
        <v>21694288</v>
      </c>
      <c r="Q31" s="1087">
        <f>SUM(P31:P35)</f>
        <v>52486658</v>
      </c>
      <c r="R31" s="1068" t="s">
        <v>740</v>
      </c>
      <c r="S31" s="1069"/>
      <c r="T31" s="1069"/>
      <c r="U31" s="1069"/>
      <c r="V31" s="465">
        <f>276567184-8201400</f>
        <v>268365784</v>
      </c>
      <c r="W31" s="1073">
        <f>SUM(V31:V35)</f>
        <v>268365784</v>
      </c>
      <c r="X31" s="358"/>
      <c r="Y31" s="319"/>
      <c r="Z31" s="320"/>
      <c r="AA31" s="318"/>
      <c r="AB31" s="319"/>
      <c r="AC31" s="321"/>
    </row>
    <row r="32" spans="1:29" ht="26.25" customHeight="1">
      <c r="A32" s="301"/>
      <c r="B32" s="302"/>
      <c r="C32" s="303"/>
      <c r="D32" s="355"/>
      <c r="E32" s="305"/>
      <c r="F32" s="306"/>
      <c r="G32" s="356"/>
      <c r="H32" s="289"/>
      <c r="I32" s="289"/>
      <c r="J32" s="317"/>
      <c r="K32" s="1088"/>
      <c r="L32" s="1110" t="s">
        <v>813</v>
      </c>
      <c r="M32" s="1111"/>
      <c r="N32" s="1111"/>
      <c r="O32" s="1111"/>
      <c r="P32" s="461">
        <v>9889960</v>
      </c>
      <c r="Q32" s="1088"/>
      <c r="R32" s="774"/>
      <c r="S32" s="775"/>
      <c r="T32" s="775"/>
      <c r="U32" s="775"/>
      <c r="V32" s="465"/>
      <c r="W32" s="1074"/>
      <c r="X32" s="358"/>
      <c r="Y32" s="319"/>
      <c r="Z32" s="320"/>
      <c r="AA32" s="318"/>
      <c r="AB32" s="319"/>
      <c r="AC32" s="321"/>
    </row>
    <row r="33" spans="1:29" ht="26.25" customHeight="1">
      <c r="A33" s="301"/>
      <c r="B33" s="302"/>
      <c r="C33" s="303"/>
      <c r="D33" s="355"/>
      <c r="E33" s="305"/>
      <c r="F33" s="306"/>
      <c r="G33" s="356"/>
      <c r="H33" s="289"/>
      <c r="I33" s="289"/>
      <c r="J33" s="317"/>
      <c r="K33" s="1088"/>
      <c r="L33" s="1110" t="s">
        <v>912</v>
      </c>
      <c r="M33" s="1111"/>
      <c r="N33" s="1111"/>
      <c r="O33" s="1111"/>
      <c r="P33" s="461">
        <v>2497100</v>
      </c>
      <c r="Q33" s="1088"/>
      <c r="R33" s="774"/>
      <c r="S33" s="775"/>
      <c r="T33" s="775"/>
      <c r="U33" s="775"/>
      <c r="V33" s="465"/>
      <c r="W33" s="1074"/>
      <c r="X33" s="358"/>
      <c r="Y33" s="319"/>
      <c r="Z33" s="320"/>
      <c r="AA33" s="318"/>
      <c r="AB33" s="319"/>
      <c r="AC33" s="321"/>
    </row>
    <row r="34" spans="1:29" ht="26.25" customHeight="1">
      <c r="A34" s="301"/>
      <c r="B34" s="302"/>
      <c r="C34" s="303"/>
      <c r="D34" s="355"/>
      <c r="E34" s="305"/>
      <c r="F34" s="306"/>
      <c r="G34" s="356"/>
      <c r="H34" s="289"/>
      <c r="I34" s="289"/>
      <c r="J34" s="317"/>
      <c r="K34" s="1088"/>
      <c r="L34" s="1110" t="s">
        <v>1137</v>
      </c>
      <c r="M34" s="1111"/>
      <c r="N34" s="1111"/>
      <c r="O34" s="1111"/>
      <c r="P34" s="461">
        <v>2893619</v>
      </c>
      <c r="Q34" s="1088"/>
      <c r="R34" s="774"/>
      <c r="S34" s="775"/>
      <c r="T34" s="775"/>
      <c r="U34" s="775"/>
      <c r="V34" s="465"/>
      <c r="W34" s="1074"/>
      <c r="X34" s="358"/>
      <c r="Y34" s="319"/>
      <c r="Z34" s="320"/>
      <c r="AA34" s="318"/>
      <c r="AB34" s="319"/>
      <c r="AC34" s="321"/>
    </row>
    <row r="35" spans="1:29" ht="27" customHeight="1" thickBot="1">
      <c r="A35" s="1162"/>
      <c r="B35" s="1163"/>
      <c r="C35" s="1164"/>
      <c r="D35" s="355"/>
      <c r="E35" s="305"/>
      <c r="F35" s="306"/>
      <c r="G35" s="647"/>
      <c r="H35" s="648"/>
      <c r="I35" s="648"/>
      <c r="J35" s="649"/>
      <c r="K35" s="1096"/>
      <c r="L35" s="1147" t="s">
        <v>908</v>
      </c>
      <c r="M35" s="1148"/>
      <c r="N35" s="1148"/>
      <c r="O35" s="1148"/>
      <c r="P35" s="646">
        <v>15511691</v>
      </c>
      <c r="Q35" s="1096"/>
      <c r="R35" s="1064"/>
      <c r="S35" s="1065"/>
      <c r="T35" s="1065"/>
      <c r="U35" s="1065"/>
      <c r="V35" s="465"/>
      <c r="W35" s="1075"/>
      <c r="X35" s="358"/>
      <c r="Y35" s="359"/>
      <c r="Z35" s="320"/>
      <c r="AA35" s="318"/>
      <c r="AB35" s="319"/>
      <c r="AC35" s="311"/>
    </row>
    <row r="36" spans="1:223" s="437" customFormat="1" ht="25.5" customHeight="1" thickBot="1">
      <c r="A36" s="1168" t="s">
        <v>96</v>
      </c>
      <c r="B36" s="1169"/>
      <c r="C36" s="1170"/>
      <c r="D36" s="735">
        <f>SUM(D9:D35)</f>
        <v>962068897</v>
      </c>
      <c r="E36" s="736">
        <f>SUM(E8:E35)</f>
        <v>648836381</v>
      </c>
      <c r="F36" s="737">
        <f>SUM(F8:F35)</f>
        <v>1610905278</v>
      </c>
      <c r="G36" s="453"/>
      <c r="H36" s="1171" t="s">
        <v>97</v>
      </c>
      <c r="I36" s="1172"/>
      <c r="J36" s="1173"/>
      <c r="K36" s="768">
        <f>SUM(K8:K31)</f>
        <v>258435626</v>
      </c>
      <c r="L36" s="451"/>
      <c r="M36" s="1099" t="s">
        <v>98</v>
      </c>
      <c r="N36" s="1099"/>
      <c r="O36" s="1099"/>
      <c r="P36" s="1100"/>
      <c r="Q36" s="768">
        <f>SUM(Q8:Q31)</f>
        <v>700944200</v>
      </c>
      <c r="R36" s="451"/>
      <c r="S36" s="1099" t="s">
        <v>99</v>
      </c>
      <c r="T36" s="1099"/>
      <c r="U36" s="1099"/>
      <c r="V36" s="1100"/>
      <c r="W36" s="768">
        <f>SUM(W8:W31)</f>
        <v>693821763</v>
      </c>
      <c r="X36" s="769">
        <f>SUM(X8:X35)</f>
        <v>983960128</v>
      </c>
      <c r="Y36" s="742">
        <f>SUM(Y8:Y35)</f>
        <v>669241461</v>
      </c>
      <c r="Z36" s="743">
        <f>SUM(X36:Y36)</f>
        <v>1653201589</v>
      </c>
      <c r="AA36" s="744">
        <f>SUM(AA11:AA35)</f>
        <v>21891231</v>
      </c>
      <c r="AB36" s="745">
        <f>SUM(AB10:AB35)</f>
        <v>20405080</v>
      </c>
      <c r="AC36" s="770">
        <f>SUM(AA36:AB36)</f>
        <v>42296311</v>
      </c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GK36" s="459"/>
      <c r="GL36" s="459"/>
      <c r="GM36" s="459"/>
      <c r="GN36" s="459"/>
      <c r="GO36" s="459"/>
      <c r="GP36" s="459"/>
      <c r="GQ36" s="459"/>
      <c r="GR36" s="459"/>
      <c r="GS36" s="459"/>
      <c r="GT36" s="459"/>
      <c r="GU36" s="459"/>
      <c r="GV36" s="459"/>
      <c r="GW36" s="459"/>
      <c r="GX36" s="459"/>
      <c r="GY36" s="459"/>
      <c r="GZ36" s="459"/>
      <c r="HA36" s="459"/>
      <c r="HB36" s="459"/>
      <c r="HC36" s="459"/>
      <c r="HD36" s="459"/>
      <c r="HE36" s="459"/>
      <c r="HF36" s="459"/>
      <c r="HG36" s="459"/>
      <c r="HH36" s="459"/>
      <c r="HI36" s="459"/>
      <c r="HJ36" s="459"/>
      <c r="HK36" s="459"/>
      <c r="HL36" s="459"/>
      <c r="HM36" s="459"/>
      <c r="HN36" s="459"/>
      <c r="HO36" s="459"/>
    </row>
    <row r="37" spans="1:29" ht="27.75" customHeight="1" thickBot="1" thickTop="1">
      <c r="A37" s="1156" t="s">
        <v>100</v>
      </c>
      <c r="B37" s="1174"/>
      <c r="C37" s="1175"/>
      <c r="D37" s="1160" t="s">
        <v>358</v>
      </c>
      <c r="E37" s="1112"/>
      <c r="F37" s="1161"/>
      <c r="G37" s="1133" t="s">
        <v>507</v>
      </c>
      <c r="H37" s="1112"/>
      <c r="I37" s="1112"/>
      <c r="J37" s="1112"/>
      <c r="K37" s="1113"/>
      <c r="L37" s="1081" t="s">
        <v>508</v>
      </c>
      <c r="M37" s="1112"/>
      <c r="N37" s="1112"/>
      <c r="O37" s="1112"/>
      <c r="P37" s="1112"/>
      <c r="Q37" s="1113"/>
      <c r="R37" s="1081" t="s">
        <v>509</v>
      </c>
      <c r="S37" s="1112"/>
      <c r="T37" s="1112"/>
      <c r="U37" s="1112"/>
      <c r="V37" s="1112"/>
      <c r="W37" s="1161"/>
      <c r="X37" s="1101" t="s">
        <v>510</v>
      </c>
      <c r="Y37" s="1102"/>
      <c r="Z37" s="1102"/>
      <c r="AA37" s="1153" t="s">
        <v>90</v>
      </c>
      <c r="AB37" s="1154"/>
      <c r="AC37" s="1155"/>
    </row>
    <row r="38" spans="1:223" s="365" customFormat="1" ht="18.75" customHeight="1" thickBot="1" thickTop="1">
      <c r="A38" s="1176"/>
      <c r="B38" s="1177"/>
      <c r="C38" s="1178"/>
      <c r="D38" s="436" t="s">
        <v>91</v>
      </c>
      <c r="E38" s="767" t="s">
        <v>87</v>
      </c>
      <c r="F38" s="280" t="s">
        <v>92</v>
      </c>
      <c r="G38" s="1179"/>
      <c r="H38" s="1115"/>
      <c r="I38" s="1115"/>
      <c r="J38" s="1180"/>
      <c r="K38" s="1116"/>
      <c r="L38" s="1114"/>
      <c r="M38" s="1115"/>
      <c r="N38" s="1115"/>
      <c r="O38" s="1115"/>
      <c r="P38" s="1115"/>
      <c r="Q38" s="1116"/>
      <c r="R38" s="1114"/>
      <c r="S38" s="1115"/>
      <c r="T38" s="1115"/>
      <c r="U38" s="1115"/>
      <c r="V38" s="1115"/>
      <c r="W38" s="1167"/>
      <c r="X38" s="752" t="s">
        <v>91</v>
      </c>
      <c r="Y38" s="755" t="s">
        <v>87</v>
      </c>
      <c r="Z38" s="280" t="s">
        <v>92</v>
      </c>
      <c r="AA38" s="747" t="s">
        <v>91</v>
      </c>
      <c r="AB38" s="436" t="s">
        <v>87</v>
      </c>
      <c r="AC38" s="280" t="s">
        <v>92</v>
      </c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  <c r="EI38" s="277"/>
      <c r="EJ38" s="277"/>
      <c r="EK38" s="277"/>
      <c r="EL38" s="277"/>
      <c r="EM38" s="277"/>
      <c r="EN38" s="277"/>
      <c r="EO38" s="277"/>
      <c r="EP38" s="277"/>
      <c r="EQ38" s="277"/>
      <c r="ER38" s="277"/>
      <c r="ES38" s="277"/>
      <c r="ET38" s="277"/>
      <c r="EU38" s="277"/>
      <c r="EV38" s="277"/>
      <c r="EW38" s="277"/>
      <c r="EX38" s="277"/>
      <c r="EY38" s="277"/>
      <c r="EZ38" s="277"/>
      <c r="FA38" s="277"/>
      <c r="FB38" s="277"/>
      <c r="FC38" s="277"/>
      <c r="FD38" s="277"/>
      <c r="FE38" s="277"/>
      <c r="FF38" s="277"/>
      <c r="FG38" s="277"/>
      <c r="FH38" s="277"/>
      <c r="FI38" s="277"/>
      <c r="FJ38" s="277"/>
      <c r="FK38" s="277"/>
      <c r="FL38" s="277"/>
      <c r="FM38" s="277"/>
      <c r="FN38" s="277"/>
      <c r="FO38" s="277"/>
      <c r="FP38" s="277"/>
      <c r="FQ38" s="277"/>
      <c r="FR38" s="277"/>
      <c r="FS38" s="277"/>
      <c r="FT38" s="277"/>
      <c r="FU38" s="277"/>
      <c r="FV38" s="277"/>
      <c r="FW38" s="277"/>
      <c r="FX38" s="277"/>
      <c r="FY38" s="277"/>
      <c r="FZ38" s="277"/>
      <c r="GA38" s="277"/>
      <c r="GB38" s="277"/>
      <c r="GC38" s="277"/>
      <c r="GD38" s="277"/>
      <c r="GE38" s="277"/>
      <c r="GF38" s="277"/>
      <c r="GG38" s="277"/>
      <c r="GH38" s="277"/>
      <c r="GI38" s="277"/>
      <c r="GJ38" s="277"/>
      <c r="GK38" s="277"/>
      <c r="GL38" s="277"/>
      <c r="GM38" s="277"/>
      <c r="GN38" s="277"/>
      <c r="GO38" s="277"/>
      <c r="GP38" s="277"/>
      <c r="GQ38" s="277"/>
      <c r="GR38" s="277"/>
      <c r="GS38" s="277"/>
      <c r="GT38" s="277"/>
      <c r="GU38" s="277"/>
      <c r="GV38" s="277"/>
      <c r="GW38" s="277"/>
      <c r="GX38" s="277"/>
      <c r="GY38" s="277"/>
      <c r="GZ38" s="277"/>
      <c r="HA38" s="277"/>
      <c r="HB38" s="277"/>
      <c r="HC38" s="277"/>
      <c r="HD38" s="277"/>
      <c r="HE38" s="277"/>
      <c r="HF38" s="277"/>
      <c r="HG38" s="277"/>
      <c r="HH38" s="277"/>
      <c r="HI38" s="277"/>
      <c r="HJ38" s="277"/>
      <c r="HK38" s="277"/>
      <c r="HL38" s="277"/>
      <c r="HM38" s="277"/>
      <c r="HN38" s="277"/>
      <c r="HO38" s="277"/>
    </row>
    <row r="39" spans="1:29" ht="12.75" customHeight="1">
      <c r="A39" s="281"/>
      <c r="B39" s="325"/>
      <c r="C39" s="325"/>
      <c r="D39" s="350"/>
      <c r="E39" s="325"/>
      <c r="F39" s="285"/>
      <c r="G39" s="1225" t="s">
        <v>459</v>
      </c>
      <c r="H39" s="1226"/>
      <c r="I39" s="1226"/>
      <c r="J39" s="1108">
        <v>120637200</v>
      </c>
      <c r="K39" s="1181">
        <f>SUM(J39:J43)</f>
        <v>121138877</v>
      </c>
      <c r="L39" s="1066" t="s">
        <v>739</v>
      </c>
      <c r="M39" s="1067"/>
      <c r="N39" s="1067"/>
      <c r="O39" s="1067"/>
      <c r="P39" s="1070">
        <v>5650000</v>
      </c>
      <c r="Q39" s="1087">
        <f>SUM(P39:P43)</f>
        <v>9900472</v>
      </c>
      <c r="R39" s="1129" t="s">
        <v>864</v>
      </c>
      <c r="S39" s="1130"/>
      <c r="T39" s="1130"/>
      <c r="U39" s="1130"/>
      <c r="V39" s="1070">
        <v>250000</v>
      </c>
      <c r="W39" s="1073">
        <f>SUM(V39:V43)</f>
        <v>5616285</v>
      </c>
      <c r="X39" s="366"/>
      <c r="Y39" s="367"/>
      <c r="Z39" s="368"/>
      <c r="AA39" s="281"/>
      <c r="AB39" s="299"/>
      <c r="AC39" s="300"/>
    </row>
    <row r="40" spans="1:29" ht="12.75" customHeight="1">
      <c r="A40" s="369"/>
      <c r="B40" s="323"/>
      <c r="C40" s="323"/>
      <c r="D40" s="370"/>
      <c r="E40" s="325"/>
      <c r="F40" s="326"/>
      <c r="G40" s="1227"/>
      <c r="H40" s="1228"/>
      <c r="I40" s="1228"/>
      <c r="J40" s="1109"/>
      <c r="K40" s="1088"/>
      <c r="L40" s="1068"/>
      <c r="M40" s="1069"/>
      <c r="N40" s="1069"/>
      <c r="O40" s="1069"/>
      <c r="P40" s="1071"/>
      <c r="Q40" s="1088"/>
      <c r="R40" s="1094"/>
      <c r="S40" s="1095"/>
      <c r="T40" s="1095"/>
      <c r="U40" s="1095"/>
      <c r="V40" s="1071"/>
      <c r="W40" s="1074"/>
      <c r="X40" s="371"/>
      <c r="Y40" s="308"/>
      <c r="Z40" s="298"/>
      <c r="AA40" s="309"/>
      <c r="AB40" s="310"/>
      <c r="AC40" s="311"/>
    </row>
    <row r="41" spans="1:29" ht="24.75" customHeight="1">
      <c r="A41" s="369"/>
      <c r="B41" s="1163" t="s">
        <v>482</v>
      </c>
      <c r="C41" s="1164"/>
      <c r="D41" s="355">
        <f>SUM('6. kiadások megbontása'!D60)</f>
        <v>129626952</v>
      </c>
      <c r="E41" s="305">
        <f>SUM('6. kiadások megbontása'!E60)</f>
        <v>2499004</v>
      </c>
      <c r="F41" s="306">
        <f>SUM(D41:E41)</f>
        <v>132125956</v>
      </c>
      <c r="G41" s="1141" t="s">
        <v>913</v>
      </c>
      <c r="H41" s="1069"/>
      <c r="I41" s="1069"/>
      <c r="J41" s="466">
        <v>460075</v>
      </c>
      <c r="K41" s="1088"/>
      <c r="L41" s="1068" t="s">
        <v>115</v>
      </c>
      <c r="M41" s="1069"/>
      <c r="N41" s="1069"/>
      <c r="O41" s="1069"/>
      <c r="P41" s="461">
        <v>368160</v>
      </c>
      <c r="Q41" s="1088"/>
      <c r="R41" s="1094" t="s">
        <v>513</v>
      </c>
      <c r="S41" s="1095"/>
      <c r="T41" s="1095"/>
      <c r="U41" s="1095"/>
      <c r="V41" s="460">
        <v>4926466</v>
      </c>
      <c r="W41" s="1074"/>
      <c r="X41" s="371">
        <f>SUM(W39,Q39,K39)</f>
        <v>136655634</v>
      </c>
      <c r="Y41" s="308">
        <v>0</v>
      </c>
      <c r="Z41" s="320">
        <f>SUM(Y41,X41)</f>
        <v>136655634</v>
      </c>
      <c r="AA41" s="318">
        <f>X41-D41</f>
        <v>7028682</v>
      </c>
      <c r="AB41" s="319">
        <f>Y41-E41</f>
        <v>-2499004</v>
      </c>
      <c r="AC41" s="311">
        <f>SUM(AA41:AB41)</f>
        <v>4529678</v>
      </c>
    </row>
    <row r="42" spans="1:29" ht="18" customHeight="1">
      <c r="A42" s="369"/>
      <c r="B42" s="302"/>
      <c r="C42" s="302"/>
      <c r="D42" s="355"/>
      <c r="E42" s="305"/>
      <c r="F42" s="306"/>
      <c r="G42" s="1098" t="s">
        <v>918</v>
      </c>
      <c r="H42" s="1098"/>
      <c r="I42" s="1098"/>
      <c r="J42" s="286">
        <v>41602</v>
      </c>
      <c r="K42" s="1088"/>
      <c r="L42" s="1068" t="s">
        <v>817</v>
      </c>
      <c r="M42" s="1069"/>
      <c r="N42" s="1069"/>
      <c r="O42" s="1069"/>
      <c r="P42" s="461">
        <f>581210+1294188</f>
        <v>1875398</v>
      </c>
      <c r="Q42" s="1088"/>
      <c r="R42" s="1094" t="s">
        <v>745</v>
      </c>
      <c r="S42" s="1095"/>
      <c r="T42" s="1095"/>
      <c r="U42" s="1095"/>
      <c r="V42" s="460">
        <v>439819</v>
      </c>
      <c r="W42" s="1074"/>
      <c r="X42" s="371"/>
      <c r="Y42" s="308"/>
      <c r="Z42" s="320"/>
      <c r="AA42" s="318"/>
      <c r="AB42" s="319"/>
      <c r="AC42" s="311"/>
    </row>
    <row r="43" spans="1:29" ht="23.25" customHeight="1" thickBot="1">
      <c r="A43" s="369"/>
      <c r="B43" s="323"/>
      <c r="C43" s="323"/>
      <c r="D43" s="372"/>
      <c r="E43" s="373"/>
      <c r="F43" s="374"/>
      <c r="G43" s="289"/>
      <c r="H43" s="289"/>
      <c r="I43" s="289"/>
      <c r="J43" s="375"/>
      <c r="K43" s="1088"/>
      <c r="L43" s="1068" t="s">
        <v>893</v>
      </c>
      <c r="M43" s="1069"/>
      <c r="N43" s="1069"/>
      <c r="O43" s="1069"/>
      <c r="P43" s="461">
        <f>1969798+37116</f>
        <v>2006914</v>
      </c>
      <c r="Q43" s="1088"/>
      <c r="R43" s="1094"/>
      <c r="S43" s="1095"/>
      <c r="T43" s="1095"/>
      <c r="U43" s="1095"/>
      <c r="V43" s="466"/>
      <c r="W43" s="1074"/>
      <c r="X43" s="371"/>
      <c r="Y43" s="308"/>
      <c r="Z43" s="298"/>
      <c r="AA43" s="309"/>
      <c r="AB43" s="310"/>
      <c r="AC43" s="311"/>
    </row>
    <row r="44" spans="1:29" ht="16.5" thickBot="1">
      <c r="A44" s="1232" t="s">
        <v>101</v>
      </c>
      <c r="B44" s="1233"/>
      <c r="C44" s="1234"/>
      <c r="D44" s="440">
        <f>SUM(D39:D43)</f>
        <v>129626952</v>
      </c>
      <c r="E44" s="441">
        <f>SUM(E39:E43)</f>
        <v>2499004</v>
      </c>
      <c r="F44" s="442">
        <f>SUM(F39:F43)</f>
        <v>132125956</v>
      </c>
      <c r="G44" s="445"/>
      <c r="H44" s="1229" t="s">
        <v>97</v>
      </c>
      <c r="I44" s="1230"/>
      <c r="J44" s="1231"/>
      <c r="K44" s="446">
        <f>SUM(K39:K43)</f>
        <v>121138877</v>
      </c>
      <c r="L44" s="360"/>
      <c r="M44" s="1182" t="s">
        <v>98</v>
      </c>
      <c r="N44" s="1182"/>
      <c r="O44" s="1182"/>
      <c r="P44" s="1183"/>
      <c r="Q44" s="446">
        <f>SUM(Q39:Q43)</f>
        <v>9900472</v>
      </c>
      <c r="R44" s="412"/>
      <c r="S44" s="1182" t="s">
        <v>99</v>
      </c>
      <c r="T44" s="1182"/>
      <c r="U44" s="1182"/>
      <c r="V44" s="1183"/>
      <c r="W44" s="447">
        <f>SUM(W39:W43)</f>
        <v>5616285</v>
      </c>
      <c r="X44" s="448">
        <f>SUM(X39:X43)</f>
        <v>136655634</v>
      </c>
      <c r="Y44" s="361">
        <v>0</v>
      </c>
      <c r="Z44" s="362">
        <f>SUM(X44:Y44)</f>
        <v>136655634</v>
      </c>
      <c r="AA44" s="363">
        <f>X44-D44</f>
        <v>7028682</v>
      </c>
      <c r="AB44" s="364">
        <f>Y44-E44</f>
        <v>-2499004</v>
      </c>
      <c r="AC44" s="449">
        <f>SUM(AA44:AB44)</f>
        <v>4529678</v>
      </c>
    </row>
    <row r="45" spans="1:29" ht="27.75" customHeight="1" thickBot="1" thickTop="1">
      <c r="A45" s="1156" t="s">
        <v>779</v>
      </c>
      <c r="B45" s="1174"/>
      <c r="C45" s="1175"/>
      <c r="D45" s="1160" t="s">
        <v>358</v>
      </c>
      <c r="E45" s="1112"/>
      <c r="F45" s="1161"/>
      <c r="G45" s="1133" t="s">
        <v>507</v>
      </c>
      <c r="H45" s="1112"/>
      <c r="I45" s="1112"/>
      <c r="J45" s="1112"/>
      <c r="K45" s="1113"/>
      <c r="L45" s="1081" t="s">
        <v>508</v>
      </c>
      <c r="M45" s="1112"/>
      <c r="N45" s="1112"/>
      <c r="O45" s="1112"/>
      <c r="P45" s="1112"/>
      <c r="Q45" s="1113"/>
      <c r="R45" s="1081" t="s">
        <v>509</v>
      </c>
      <c r="S45" s="1112"/>
      <c r="T45" s="1112"/>
      <c r="U45" s="1112"/>
      <c r="V45" s="1112"/>
      <c r="W45" s="1161"/>
      <c r="X45" s="1101" t="s">
        <v>510</v>
      </c>
      <c r="Y45" s="1102"/>
      <c r="Z45" s="1102"/>
      <c r="AA45" s="1153" t="s">
        <v>90</v>
      </c>
      <c r="AB45" s="1154"/>
      <c r="AC45" s="1155"/>
    </row>
    <row r="46" spans="1:223" s="365" customFormat="1" ht="18.75" customHeight="1" thickBot="1" thickTop="1">
      <c r="A46" s="1176"/>
      <c r="B46" s="1177"/>
      <c r="C46" s="1178"/>
      <c r="D46" s="436" t="s">
        <v>91</v>
      </c>
      <c r="E46" s="767" t="s">
        <v>87</v>
      </c>
      <c r="F46" s="280" t="s">
        <v>92</v>
      </c>
      <c r="G46" s="1179"/>
      <c r="H46" s="1115"/>
      <c r="I46" s="1115"/>
      <c r="J46" s="1180"/>
      <c r="K46" s="1116"/>
      <c r="L46" s="1114"/>
      <c r="M46" s="1115"/>
      <c r="N46" s="1115"/>
      <c r="O46" s="1115"/>
      <c r="P46" s="1115"/>
      <c r="Q46" s="1116"/>
      <c r="R46" s="1114"/>
      <c r="S46" s="1115"/>
      <c r="T46" s="1115"/>
      <c r="U46" s="1115"/>
      <c r="V46" s="1115"/>
      <c r="W46" s="1115"/>
      <c r="X46" s="754" t="s">
        <v>91</v>
      </c>
      <c r="Y46" s="755" t="s">
        <v>87</v>
      </c>
      <c r="Z46" s="280" t="s">
        <v>92</v>
      </c>
      <c r="AA46" s="747" t="s">
        <v>91</v>
      </c>
      <c r="AB46" s="436" t="s">
        <v>87</v>
      </c>
      <c r="AC46" s="280" t="s">
        <v>92</v>
      </c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7"/>
      <c r="GC46" s="277"/>
      <c r="GD46" s="277"/>
      <c r="GE46" s="277"/>
      <c r="GF46" s="277"/>
      <c r="GG46" s="277"/>
      <c r="GH46" s="277"/>
      <c r="GI46" s="277"/>
      <c r="GJ46" s="277"/>
      <c r="GK46" s="277"/>
      <c r="GL46" s="277"/>
      <c r="GM46" s="277"/>
      <c r="GN46" s="277"/>
      <c r="GO46" s="277"/>
      <c r="GP46" s="277"/>
      <c r="GQ46" s="277"/>
      <c r="GR46" s="277"/>
      <c r="GS46" s="277"/>
      <c r="GT46" s="277"/>
      <c r="GU46" s="277"/>
      <c r="GV46" s="277"/>
      <c r="GW46" s="277"/>
      <c r="GX46" s="277"/>
      <c r="GY46" s="277"/>
      <c r="GZ46" s="277"/>
      <c r="HA46" s="277"/>
      <c r="HB46" s="277"/>
      <c r="HC46" s="277"/>
      <c r="HD46" s="277"/>
      <c r="HE46" s="277"/>
      <c r="HF46" s="277"/>
      <c r="HG46" s="277"/>
      <c r="HH46" s="277"/>
      <c r="HI46" s="277"/>
      <c r="HJ46" s="277"/>
      <c r="HK46" s="277"/>
      <c r="HL46" s="277"/>
      <c r="HM46" s="277"/>
      <c r="HN46" s="277"/>
      <c r="HO46" s="277"/>
    </row>
    <row r="47" spans="1:29" ht="26.25" customHeight="1">
      <c r="A47" s="281"/>
      <c r="B47" s="325"/>
      <c r="C47" s="325"/>
      <c r="D47" s="350"/>
      <c r="E47" s="325"/>
      <c r="F47" s="285"/>
      <c r="G47" s="1128" t="s">
        <v>533</v>
      </c>
      <c r="H47" s="1111"/>
      <c r="I47" s="1111"/>
      <c r="J47" s="443">
        <v>10661310</v>
      </c>
      <c r="K47" s="1087">
        <f>SUM(J47:J49)</f>
        <v>11665588</v>
      </c>
      <c r="L47" s="1092"/>
      <c r="M47" s="1093"/>
      <c r="N47" s="1093"/>
      <c r="O47" s="1093"/>
      <c r="P47" s="1070"/>
      <c r="Q47" s="1087">
        <f>SUM(P47:P49)</f>
        <v>0</v>
      </c>
      <c r="R47" s="1094" t="s">
        <v>818</v>
      </c>
      <c r="S47" s="1095"/>
      <c r="T47" s="1095"/>
      <c r="U47" s="1095"/>
      <c r="V47" s="466">
        <v>127710</v>
      </c>
      <c r="W47" s="1224">
        <f>SUM(V47:V49)</f>
        <v>4044435</v>
      </c>
      <c r="X47" s="751"/>
      <c r="Y47" s="367"/>
      <c r="Z47" s="368"/>
      <c r="AA47" s="281"/>
      <c r="AB47" s="299"/>
      <c r="AC47" s="300"/>
    </row>
    <row r="48" spans="1:29" ht="19.5" customHeight="1">
      <c r="A48" s="369"/>
      <c r="B48" s="323"/>
      <c r="C48" s="323"/>
      <c r="D48" s="370"/>
      <c r="E48" s="325"/>
      <c r="F48" s="326"/>
      <c r="G48" s="1097" t="s">
        <v>922</v>
      </c>
      <c r="H48" s="1098"/>
      <c r="I48" s="1098"/>
      <c r="J48" s="444">
        <v>1004278</v>
      </c>
      <c r="K48" s="1088"/>
      <c r="L48" s="1110"/>
      <c r="M48" s="1111"/>
      <c r="N48" s="1111"/>
      <c r="O48" s="1111"/>
      <c r="P48" s="1071"/>
      <c r="Q48" s="1088"/>
      <c r="R48" s="1094" t="s">
        <v>819</v>
      </c>
      <c r="S48" s="1095"/>
      <c r="T48" s="1095"/>
      <c r="U48" s="1095"/>
      <c r="V48" s="466">
        <f>3458889+1</f>
        <v>3458890</v>
      </c>
      <c r="W48" s="1145"/>
      <c r="X48" s="750"/>
      <c r="Y48" s="308"/>
      <c r="Z48" s="298"/>
      <c r="AA48" s="309"/>
      <c r="AB48" s="310"/>
      <c r="AC48" s="311"/>
    </row>
    <row r="49" spans="1:29" ht="21" customHeight="1" thickBot="1">
      <c r="A49" s="369"/>
      <c r="B49" s="1163" t="s">
        <v>482</v>
      </c>
      <c r="C49" s="1164"/>
      <c r="D49" s="355">
        <f>SUM('6. kiadások megbontása'!D77)</f>
        <v>25795563</v>
      </c>
      <c r="E49" s="305">
        <f>SUM('6. kiadások megbontása'!E77)</f>
        <v>103900</v>
      </c>
      <c r="F49" s="306">
        <f>SUM(D49:E49)</f>
        <v>25899463</v>
      </c>
      <c r="G49" s="289"/>
      <c r="H49" s="289"/>
      <c r="I49" s="289"/>
      <c r="J49" s="444"/>
      <c r="K49" s="1088"/>
      <c r="L49" s="1110"/>
      <c r="M49" s="1111"/>
      <c r="N49" s="1111"/>
      <c r="O49" s="1111"/>
      <c r="P49" s="461"/>
      <c r="Q49" s="1088"/>
      <c r="R49" s="1094" t="s">
        <v>863</v>
      </c>
      <c r="S49" s="1095"/>
      <c r="T49" s="1095"/>
      <c r="U49" s="1095"/>
      <c r="V49" s="460">
        <v>457835</v>
      </c>
      <c r="W49" s="1145"/>
      <c r="X49" s="750">
        <f>SUM(W47,Q47,K47)</f>
        <v>15710023</v>
      </c>
      <c r="Y49" s="308">
        <v>0</v>
      </c>
      <c r="Z49" s="320">
        <f>SUM(Y49,X49)</f>
        <v>15710023</v>
      </c>
      <c r="AA49" s="318">
        <f>X49-D49</f>
        <v>-10085540</v>
      </c>
      <c r="AB49" s="319">
        <f>Y49-E49</f>
        <v>-103900</v>
      </c>
      <c r="AC49" s="311">
        <f>SUM(AA49:AB49)</f>
        <v>-10189440</v>
      </c>
    </row>
    <row r="50" spans="1:29" ht="15.75">
      <c r="A50" s="397"/>
      <c r="B50" s="398"/>
      <c r="C50" s="450"/>
      <c r="D50" s="399"/>
      <c r="E50" s="400"/>
      <c r="F50" s="401"/>
      <c r="G50" s="1192"/>
      <c r="H50" s="1143"/>
      <c r="I50" s="1143"/>
      <c r="J50" s="402"/>
      <c r="K50" s="1087">
        <f>SUM(J50:J51)</f>
        <v>0</v>
      </c>
      <c r="L50" s="1143"/>
      <c r="M50" s="1143"/>
      <c r="N50" s="1143"/>
      <c r="O50" s="1143"/>
      <c r="P50" s="402"/>
      <c r="Q50" s="1087">
        <f>SUM(P50:P51)</f>
        <v>0</v>
      </c>
      <c r="R50" s="403"/>
      <c r="S50" s="404"/>
      <c r="T50" s="404"/>
      <c r="U50" s="404"/>
      <c r="V50" s="405"/>
      <c r="W50" s="1087">
        <f>SUM(V50:V51)</f>
        <v>0</v>
      </c>
      <c r="X50" s="791"/>
      <c r="Y50" s="406"/>
      <c r="Z50" s="407"/>
      <c r="AA50" s="408"/>
      <c r="AB50" s="409"/>
      <c r="AC50" s="410"/>
    </row>
    <row r="51" spans="1:29" ht="16.5" thickBot="1">
      <c r="A51" s="1162" t="s">
        <v>483</v>
      </c>
      <c r="B51" s="1163"/>
      <c r="C51" s="1164"/>
      <c r="D51" s="355">
        <f>SUM('6. kiadások megbontása'!G77)</f>
        <v>49530</v>
      </c>
      <c r="E51" s="305">
        <f>SUM('6. kiadások megbontása'!H77)</f>
        <v>0</v>
      </c>
      <c r="F51" s="306">
        <f>SUM(D51:E51)</f>
        <v>49530</v>
      </c>
      <c r="G51" s="328"/>
      <c r="H51" s="329"/>
      <c r="I51" s="329"/>
      <c r="J51" s="411"/>
      <c r="K51" s="1088"/>
      <c r="L51" s="1098"/>
      <c r="M51" s="1098"/>
      <c r="N51" s="1098"/>
      <c r="O51" s="1098"/>
      <c r="P51" s="286"/>
      <c r="Q51" s="1088"/>
      <c r="R51" s="1184"/>
      <c r="S51" s="1125"/>
      <c r="T51" s="1125"/>
      <c r="U51" s="1125"/>
      <c r="V51" s="327"/>
      <c r="W51" s="1145"/>
      <c r="X51" s="792">
        <v>0</v>
      </c>
      <c r="Y51" s="308">
        <v>0</v>
      </c>
      <c r="Z51" s="320">
        <f>SUM(X51:Y51)</f>
        <v>0</v>
      </c>
      <c r="AA51" s="394">
        <f>X50-D51</f>
        <v>-49530</v>
      </c>
      <c r="AB51" s="319">
        <f>Y51-E51</f>
        <v>0</v>
      </c>
      <c r="AC51" s="321">
        <f>SUM(AA51:AB51)</f>
        <v>-49530</v>
      </c>
    </row>
    <row r="52" spans="1:223" s="437" customFormat="1" ht="33.75" customHeight="1" thickBot="1">
      <c r="A52" s="1203" t="s">
        <v>867</v>
      </c>
      <c r="B52" s="1204"/>
      <c r="C52" s="1205"/>
      <c r="D52" s="735">
        <f>SUM(D47:D51)</f>
        <v>25845093</v>
      </c>
      <c r="E52" s="736">
        <f>SUM(E47:E51)</f>
        <v>103900</v>
      </c>
      <c r="F52" s="737">
        <f>SUM(F47:F51)</f>
        <v>25948993</v>
      </c>
      <c r="G52" s="738"/>
      <c r="H52" s="1171" t="s">
        <v>97</v>
      </c>
      <c r="I52" s="1172"/>
      <c r="J52" s="1173"/>
      <c r="K52" s="739">
        <f>SUM(K50+K47)</f>
        <v>11665588</v>
      </c>
      <c r="L52" s="451"/>
      <c r="M52" s="1099" t="s">
        <v>98</v>
      </c>
      <c r="N52" s="1099"/>
      <c r="O52" s="1099"/>
      <c r="P52" s="1100"/>
      <c r="Q52" s="739">
        <f>SUM(Q47:Q51)</f>
        <v>0</v>
      </c>
      <c r="R52" s="453"/>
      <c r="S52" s="1099" t="s">
        <v>99</v>
      </c>
      <c r="T52" s="1099"/>
      <c r="U52" s="1099"/>
      <c r="V52" s="1100"/>
      <c r="W52" s="740">
        <f>SUM(W47:W51)</f>
        <v>4044435</v>
      </c>
      <c r="X52" s="741">
        <f>SUM(X47:X50)</f>
        <v>15710023</v>
      </c>
      <c r="Y52" s="742">
        <v>0</v>
      </c>
      <c r="Z52" s="743">
        <f>SUM(X52:Y52)</f>
        <v>15710023</v>
      </c>
      <c r="AA52" s="744">
        <f>X52-D52</f>
        <v>-10135070</v>
      </c>
      <c r="AB52" s="745">
        <f>Y52-E52</f>
        <v>-103900</v>
      </c>
      <c r="AC52" s="449">
        <f>SUM(AA52:AB52)</f>
        <v>-10238970</v>
      </c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/>
      <c r="GP52" s="459"/>
      <c r="GQ52" s="459"/>
      <c r="GR52" s="459"/>
      <c r="GS52" s="459"/>
      <c r="GT52" s="459"/>
      <c r="GU52" s="459"/>
      <c r="GV52" s="459"/>
      <c r="GW52" s="459"/>
      <c r="GX52" s="459"/>
      <c r="GY52" s="459"/>
      <c r="GZ52" s="459"/>
      <c r="HA52" s="459"/>
      <c r="HB52" s="459"/>
      <c r="HC52" s="459"/>
      <c r="HD52" s="459"/>
      <c r="HE52" s="459"/>
      <c r="HF52" s="459"/>
      <c r="HG52" s="459"/>
      <c r="HH52" s="459"/>
      <c r="HI52" s="459"/>
      <c r="HJ52" s="459"/>
      <c r="HK52" s="459"/>
      <c r="HL52" s="459"/>
      <c r="HM52" s="459"/>
      <c r="HN52" s="459"/>
      <c r="HO52" s="459"/>
    </row>
    <row r="53" spans="1:29" ht="17.25" thickBot="1" thickTop="1">
      <c r="A53" s="376"/>
      <c r="B53" s="377"/>
      <c r="C53" s="377"/>
      <c r="D53" s="378"/>
      <c r="E53" s="379"/>
      <c r="F53" s="380"/>
      <c r="G53" s="379"/>
      <c r="H53" s="379"/>
      <c r="I53" s="381"/>
      <c r="J53" s="381"/>
      <c r="K53" s="382"/>
      <c r="L53" s="383"/>
      <c r="M53" s="379"/>
      <c r="N53" s="379"/>
      <c r="O53" s="379"/>
      <c r="P53" s="379"/>
      <c r="Q53" s="382"/>
      <c r="R53" s="379"/>
      <c r="S53" s="379"/>
      <c r="T53" s="379"/>
      <c r="U53" s="379"/>
      <c r="V53" s="379"/>
      <c r="W53" s="384"/>
      <c r="X53" s="385"/>
      <c r="Y53" s="386"/>
      <c r="Z53" s="387"/>
      <c r="AA53" s="376"/>
      <c r="AB53" s="388"/>
      <c r="AC53" s="389"/>
    </row>
    <row r="54" spans="1:29" ht="14.25" thickBot="1" thickTop="1">
      <c r="A54" s="1156" t="s">
        <v>770</v>
      </c>
      <c r="B54" s="1157"/>
      <c r="C54" s="1157"/>
      <c r="D54" s="1160" t="s">
        <v>358</v>
      </c>
      <c r="E54" s="1112"/>
      <c r="F54" s="1161"/>
      <c r="G54" s="1133" t="s">
        <v>507</v>
      </c>
      <c r="H54" s="1215"/>
      <c r="I54" s="1215"/>
      <c r="J54" s="1215"/>
      <c r="K54" s="1216"/>
      <c r="L54" s="1081" t="s">
        <v>508</v>
      </c>
      <c r="M54" s="1082"/>
      <c r="N54" s="1082"/>
      <c r="O54" s="1082"/>
      <c r="P54" s="1082"/>
      <c r="Q54" s="1103"/>
      <c r="R54" s="1081" t="s">
        <v>509</v>
      </c>
      <c r="S54" s="1082"/>
      <c r="T54" s="1082"/>
      <c r="U54" s="1082"/>
      <c r="V54" s="1082"/>
      <c r="W54" s="1083"/>
      <c r="X54" s="1101" t="s">
        <v>510</v>
      </c>
      <c r="Y54" s="1102"/>
      <c r="Z54" s="1102"/>
      <c r="AA54" s="1153" t="s">
        <v>90</v>
      </c>
      <c r="AB54" s="1154"/>
      <c r="AC54" s="1155"/>
    </row>
    <row r="55" spans="1:223" s="662" customFormat="1" ht="32.25" customHeight="1" thickBot="1">
      <c r="A55" s="1158"/>
      <c r="B55" s="1159"/>
      <c r="C55" s="1159"/>
      <c r="D55" s="436" t="s">
        <v>91</v>
      </c>
      <c r="E55" s="767" t="s">
        <v>87</v>
      </c>
      <c r="F55" s="280" t="s">
        <v>92</v>
      </c>
      <c r="G55" s="1217"/>
      <c r="H55" s="1218"/>
      <c r="I55" s="1218"/>
      <c r="J55" s="1218"/>
      <c r="K55" s="1219"/>
      <c r="L55" s="1084"/>
      <c r="M55" s="1085"/>
      <c r="N55" s="1085"/>
      <c r="O55" s="1085"/>
      <c r="P55" s="1085"/>
      <c r="Q55" s="1104"/>
      <c r="R55" s="1084"/>
      <c r="S55" s="1085"/>
      <c r="T55" s="1085"/>
      <c r="U55" s="1085"/>
      <c r="V55" s="1085"/>
      <c r="W55" s="1086"/>
      <c r="X55" s="752" t="s">
        <v>91</v>
      </c>
      <c r="Y55" s="436" t="s">
        <v>87</v>
      </c>
      <c r="Z55" s="753" t="s">
        <v>92</v>
      </c>
      <c r="AA55" s="435" t="s">
        <v>91</v>
      </c>
      <c r="AB55" s="436" t="s">
        <v>87</v>
      </c>
      <c r="AC55" s="280" t="s">
        <v>92</v>
      </c>
      <c r="AD55" s="746"/>
      <c r="AE55" s="746"/>
      <c r="AF55" s="746"/>
      <c r="AG55" s="746"/>
      <c r="AH55" s="746"/>
      <c r="AI55" s="746"/>
      <c r="AJ55" s="746"/>
      <c r="AK55" s="746"/>
      <c r="AL55" s="746"/>
      <c r="AM55" s="746"/>
      <c r="AN55" s="746"/>
      <c r="AO55" s="746"/>
      <c r="AP55" s="746"/>
      <c r="AQ55" s="746"/>
      <c r="AR55" s="746"/>
      <c r="AS55" s="746"/>
      <c r="AT55" s="746"/>
      <c r="AU55" s="746"/>
      <c r="AV55" s="746"/>
      <c r="AW55" s="746"/>
      <c r="AX55" s="746"/>
      <c r="AY55" s="746"/>
      <c r="AZ55" s="746"/>
      <c r="BA55" s="746"/>
      <c r="BB55" s="746"/>
      <c r="BC55" s="746"/>
      <c r="BD55" s="746"/>
      <c r="BE55" s="746"/>
      <c r="BF55" s="746"/>
      <c r="BG55" s="746"/>
      <c r="BH55" s="746"/>
      <c r="BI55" s="746"/>
      <c r="BJ55" s="746"/>
      <c r="BK55" s="746"/>
      <c r="BL55" s="746"/>
      <c r="BM55" s="746"/>
      <c r="BN55" s="746"/>
      <c r="BO55" s="746"/>
      <c r="BP55" s="746"/>
      <c r="BQ55" s="746"/>
      <c r="BR55" s="746"/>
      <c r="BS55" s="746"/>
      <c r="BT55" s="746"/>
      <c r="BU55" s="746"/>
      <c r="BV55" s="746"/>
      <c r="BW55" s="746"/>
      <c r="BX55" s="746"/>
      <c r="BY55" s="746"/>
      <c r="BZ55" s="746"/>
      <c r="CA55" s="746"/>
      <c r="CB55" s="746"/>
      <c r="CC55" s="746"/>
      <c r="CD55" s="746"/>
      <c r="CE55" s="746"/>
      <c r="CF55" s="746"/>
      <c r="CG55" s="746"/>
      <c r="CH55" s="746"/>
      <c r="CI55" s="746"/>
      <c r="CJ55" s="746"/>
      <c r="CK55" s="746"/>
      <c r="CL55" s="746"/>
      <c r="CM55" s="746"/>
      <c r="CN55" s="746"/>
      <c r="CO55" s="746"/>
      <c r="CP55" s="746"/>
      <c r="CQ55" s="746"/>
      <c r="CR55" s="746"/>
      <c r="CS55" s="746"/>
      <c r="CT55" s="746"/>
      <c r="CU55" s="746"/>
      <c r="CV55" s="746"/>
      <c r="CW55" s="746"/>
      <c r="CX55" s="746"/>
      <c r="CY55" s="746"/>
      <c r="CZ55" s="746"/>
      <c r="DA55" s="746"/>
      <c r="DB55" s="746"/>
      <c r="DC55" s="746"/>
      <c r="DD55" s="746"/>
      <c r="DE55" s="746"/>
      <c r="DF55" s="746"/>
      <c r="DG55" s="746"/>
      <c r="DH55" s="746"/>
      <c r="DI55" s="746"/>
      <c r="DJ55" s="746"/>
      <c r="DK55" s="746"/>
      <c r="DL55" s="746"/>
      <c r="DM55" s="746"/>
      <c r="DN55" s="746"/>
      <c r="DO55" s="746"/>
      <c r="DP55" s="746"/>
      <c r="DQ55" s="746"/>
      <c r="DR55" s="746"/>
      <c r="DS55" s="746"/>
      <c r="DT55" s="746"/>
      <c r="DU55" s="746"/>
      <c r="DV55" s="746"/>
      <c r="DW55" s="746"/>
      <c r="DX55" s="746"/>
      <c r="DY55" s="746"/>
      <c r="DZ55" s="746"/>
      <c r="EA55" s="746"/>
      <c r="EB55" s="746"/>
      <c r="EC55" s="746"/>
      <c r="ED55" s="746"/>
      <c r="EE55" s="746"/>
      <c r="EF55" s="746"/>
      <c r="EG55" s="746"/>
      <c r="EH55" s="746"/>
      <c r="EI55" s="746"/>
      <c r="EJ55" s="746"/>
      <c r="EK55" s="746"/>
      <c r="EL55" s="746"/>
      <c r="EM55" s="746"/>
      <c r="EN55" s="746"/>
      <c r="EO55" s="746"/>
      <c r="EP55" s="746"/>
      <c r="EQ55" s="746"/>
      <c r="ER55" s="746"/>
      <c r="ES55" s="746"/>
      <c r="ET55" s="746"/>
      <c r="EU55" s="746"/>
      <c r="EV55" s="746"/>
      <c r="EW55" s="746"/>
      <c r="EX55" s="746"/>
      <c r="EY55" s="746"/>
      <c r="EZ55" s="746"/>
      <c r="FA55" s="746"/>
      <c r="FB55" s="746"/>
      <c r="FC55" s="746"/>
      <c r="FD55" s="746"/>
      <c r="FE55" s="746"/>
      <c r="FF55" s="746"/>
      <c r="FG55" s="746"/>
      <c r="FH55" s="746"/>
      <c r="FI55" s="746"/>
      <c r="FJ55" s="746"/>
      <c r="FK55" s="746"/>
      <c r="FL55" s="746"/>
      <c r="FM55" s="746"/>
      <c r="FN55" s="746"/>
      <c r="FO55" s="746"/>
      <c r="FP55" s="746"/>
      <c r="FQ55" s="746"/>
      <c r="FR55" s="746"/>
      <c r="FS55" s="746"/>
      <c r="FT55" s="746"/>
      <c r="FU55" s="746"/>
      <c r="FV55" s="746"/>
      <c r="FW55" s="746"/>
      <c r="FX55" s="746"/>
      <c r="FY55" s="746"/>
      <c r="FZ55" s="746"/>
      <c r="GA55" s="746"/>
      <c r="GB55" s="746"/>
      <c r="GC55" s="746"/>
      <c r="GD55" s="746"/>
      <c r="GE55" s="746"/>
      <c r="GF55" s="746"/>
      <c r="GG55" s="746"/>
      <c r="GH55" s="746"/>
      <c r="GI55" s="746"/>
      <c r="GJ55" s="746"/>
      <c r="GK55" s="746"/>
      <c r="GL55" s="746"/>
      <c r="GM55" s="746"/>
      <c r="GN55" s="746"/>
      <c r="GO55" s="746"/>
      <c r="GP55" s="746"/>
      <c r="GQ55" s="746"/>
      <c r="GR55" s="746"/>
      <c r="GS55" s="746"/>
      <c r="GT55" s="746"/>
      <c r="GU55" s="746"/>
      <c r="GV55" s="746"/>
      <c r="GW55" s="746"/>
      <c r="GX55" s="746"/>
      <c r="GY55" s="746"/>
      <c r="GZ55" s="746"/>
      <c r="HA55" s="746"/>
      <c r="HB55" s="746"/>
      <c r="HC55" s="746"/>
      <c r="HD55" s="746"/>
      <c r="HE55" s="746"/>
      <c r="HF55" s="746"/>
      <c r="HG55" s="746"/>
      <c r="HH55" s="746"/>
      <c r="HI55" s="746"/>
      <c r="HJ55" s="746"/>
      <c r="HK55" s="746"/>
      <c r="HL55" s="746"/>
      <c r="HM55" s="746"/>
      <c r="HN55" s="746"/>
      <c r="HO55" s="746"/>
    </row>
    <row r="56" spans="1:29" ht="25.5" customHeight="1">
      <c r="A56" s="369"/>
      <c r="B56" s="325"/>
      <c r="C56" s="325"/>
      <c r="D56" s="350"/>
      <c r="E56" s="325"/>
      <c r="F56" s="326"/>
      <c r="G56" s="1191" t="s">
        <v>469</v>
      </c>
      <c r="H56" s="1095"/>
      <c r="I56" s="1095"/>
      <c r="J56" s="461">
        <v>14052400</v>
      </c>
      <c r="K56" s="1087">
        <f>SUM(J56:J62)</f>
        <v>166706854</v>
      </c>
      <c r="L56" s="1190" t="s">
        <v>814</v>
      </c>
      <c r="M56" s="1093"/>
      <c r="N56" s="1093"/>
      <c r="O56" s="1093"/>
      <c r="P56" s="461">
        <v>3971695</v>
      </c>
      <c r="Q56" s="1105">
        <f>SUM(P56:P62)</f>
        <v>3971695</v>
      </c>
      <c r="R56" s="1068" t="s">
        <v>514</v>
      </c>
      <c r="S56" s="1069"/>
      <c r="T56" s="1069"/>
      <c r="U56" s="1069"/>
      <c r="V56" s="466">
        <v>1223067</v>
      </c>
      <c r="W56" s="1073">
        <f>SUM(V56:V62)</f>
        <v>1849212</v>
      </c>
      <c r="X56" s="325"/>
      <c r="Y56" s="350"/>
      <c r="Z56" s="391"/>
      <c r="AA56" s="369"/>
      <c r="AB56" s="350"/>
      <c r="AC56" s="300"/>
    </row>
    <row r="57" spans="1:29" ht="25.5" customHeight="1">
      <c r="A57" s="369"/>
      <c r="B57" s="325"/>
      <c r="C57" s="349"/>
      <c r="D57" s="350"/>
      <c r="E57" s="325"/>
      <c r="F57" s="326"/>
      <c r="G57" s="1141" t="s">
        <v>620</v>
      </c>
      <c r="H57" s="1069"/>
      <c r="I57" s="1069"/>
      <c r="J57" s="461">
        <v>93484500</v>
      </c>
      <c r="K57" s="1088"/>
      <c r="L57" s="1079"/>
      <c r="M57" s="1080"/>
      <c r="N57" s="1080"/>
      <c r="O57" s="1080"/>
      <c r="P57" s="327"/>
      <c r="Q57" s="1106"/>
      <c r="R57" s="1094" t="s">
        <v>745</v>
      </c>
      <c r="S57" s="1095"/>
      <c r="T57" s="1095"/>
      <c r="U57" s="1095"/>
      <c r="V57" s="466">
        <v>626145</v>
      </c>
      <c r="W57" s="1074"/>
      <c r="X57" s="286"/>
      <c r="Y57" s="310"/>
      <c r="Z57" s="298"/>
      <c r="AA57" s="309"/>
      <c r="AB57" s="310"/>
      <c r="AC57" s="311"/>
    </row>
    <row r="58" spans="1:29" ht="30" customHeight="1">
      <c r="A58" s="369"/>
      <c r="B58" s="325"/>
      <c r="C58" s="349"/>
      <c r="D58" s="350"/>
      <c r="E58" s="325"/>
      <c r="F58" s="326"/>
      <c r="G58" s="1141" t="s">
        <v>528</v>
      </c>
      <c r="H58" s="1069"/>
      <c r="I58" s="1069"/>
      <c r="J58" s="466">
        <v>6780668</v>
      </c>
      <c r="K58" s="1088"/>
      <c r="L58" s="438"/>
      <c r="M58" s="439"/>
      <c r="N58" s="439"/>
      <c r="O58" s="439"/>
      <c r="P58" s="327"/>
      <c r="Q58" s="1106"/>
      <c r="R58" s="1094"/>
      <c r="S58" s="1095"/>
      <c r="T58" s="1095"/>
      <c r="U58" s="1095"/>
      <c r="V58" s="466"/>
      <c r="W58" s="1074"/>
      <c r="X58" s="286"/>
      <c r="Y58" s="310"/>
      <c r="Z58" s="298"/>
      <c r="AA58" s="309"/>
      <c r="AB58" s="310"/>
      <c r="AC58" s="311"/>
    </row>
    <row r="59" spans="1:29" ht="26.25" customHeight="1">
      <c r="A59" s="1162" t="s">
        <v>482</v>
      </c>
      <c r="B59" s="1185"/>
      <c r="C59" s="1186"/>
      <c r="D59" s="355">
        <f>SUM('6. kiadások megbontása'!D72)</f>
        <v>205267506</v>
      </c>
      <c r="E59" s="305">
        <f>SUM('6. kiadások megbontása'!E72)</f>
        <v>773143</v>
      </c>
      <c r="F59" s="306">
        <f>SUM(D59:E59)</f>
        <v>206040649</v>
      </c>
      <c r="G59" s="1141" t="s">
        <v>747</v>
      </c>
      <c r="H59" s="1069"/>
      <c r="I59" s="1069"/>
      <c r="J59" s="461">
        <v>24032378</v>
      </c>
      <c r="K59" s="1088"/>
      <c r="L59" s="348"/>
      <c r="M59" s="325"/>
      <c r="N59" s="325"/>
      <c r="O59" s="325"/>
      <c r="P59" s="325"/>
      <c r="Q59" s="1106"/>
      <c r="R59" s="1110"/>
      <c r="S59" s="1111"/>
      <c r="T59" s="1111"/>
      <c r="U59" s="1111"/>
      <c r="V59" s="286"/>
      <c r="W59" s="1074"/>
      <c r="X59" s="393">
        <f>SUM(W56+Q56+K56)</f>
        <v>172527761</v>
      </c>
      <c r="Y59" s="319">
        <v>0</v>
      </c>
      <c r="Z59" s="320">
        <f>SUM(X59:Y59)</f>
        <v>172527761</v>
      </c>
      <c r="AA59" s="394">
        <f>X59-D59</f>
        <v>-32739745</v>
      </c>
      <c r="AB59" s="319">
        <f>Y59-E59</f>
        <v>-773143</v>
      </c>
      <c r="AC59" s="321">
        <f>SUM(AA59:AB59)</f>
        <v>-33512888</v>
      </c>
    </row>
    <row r="60" spans="1:29" ht="29.25" customHeight="1">
      <c r="A60" s="301"/>
      <c r="B60" s="395"/>
      <c r="C60" s="596"/>
      <c r="D60" s="355"/>
      <c r="E60" s="305"/>
      <c r="F60" s="306"/>
      <c r="G60" s="1141" t="s">
        <v>749</v>
      </c>
      <c r="H60" s="1069"/>
      <c r="I60" s="1069"/>
      <c r="J60" s="466">
        <v>18590000</v>
      </c>
      <c r="K60" s="1088"/>
      <c r="L60" s="348"/>
      <c r="M60" s="325"/>
      <c r="N60" s="325"/>
      <c r="O60" s="325"/>
      <c r="P60" s="396"/>
      <c r="Q60" s="1106"/>
      <c r="R60" s="1110"/>
      <c r="S60" s="1111"/>
      <c r="T60" s="1111"/>
      <c r="U60" s="1111"/>
      <c r="V60" s="392"/>
      <c r="W60" s="1074"/>
      <c r="X60" s="371"/>
      <c r="Y60" s="308"/>
      <c r="Z60" s="320"/>
      <c r="AA60" s="318"/>
      <c r="AB60" s="319"/>
      <c r="AC60" s="311"/>
    </row>
    <row r="61" spans="1:29" ht="36.75" customHeight="1">
      <c r="A61" s="301"/>
      <c r="B61" s="395"/>
      <c r="C61" s="596"/>
      <c r="D61" s="355"/>
      <c r="E61" s="305"/>
      <c r="F61" s="306"/>
      <c r="G61" s="1128" t="s">
        <v>920</v>
      </c>
      <c r="H61" s="1111"/>
      <c r="I61" s="1111"/>
      <c r="J61" s="466">
        <v>9248756</v>
      </c>
      <c r="K61" s="1088"/>
      <c r="L61" s="348"/>
      <c r="M61" s="325"/>
      <c r="N61" s="325"/>
      <c r="O61" s="325"/>
      <c r="P61" s="396"/>
      <c r="Q61" s="1106"/>
      <c r="R61" s="771"/>
      <c r="S61" s="772"/>
      <c r="T61" s="772"/>
      <c r="U61" s="772"/>
      <c r="V61" s="392"/>
      <c r="W61" s="1074"/>
      <c r="X61" s="371"/>
      <c r="Y61" s="308"/>
      <c r="Z61" s="320"/>
      <c r="AA61" s="318"/>
      <c r="AB61" s="319"/>
      <c r="AC61" s="311"/>
    </row>
    <row r="62" spans="1:29" ht="19.5" customHeight="1" thickBot="1">
      <c r="A62" s="301"/>
      <c r="B62" s="395"/>
      <c r="C62" s="596"/>
      <c r="D62" s="355"/>
      <c r="E62" s="305"/>
      <c r="F62" s="306"/>
      <c r="G62" s="1128" t="s">
        <v>913</v>
      </c>
      <c r="H62" s="1111"/>
      <c r="I62" s="1111"/>
      <c r="J62" s="286">
        <f>597022-78870</f>
        <v>518152</v>
      </c>
      <c r="K62" s="1088"/>
      <c r="L62" s="348"/>
      <c r="M62" s="325"/>
      <c r="N62" s="325"/>
      <c r="O62" s="325"/>
      <c r="P62" s="396"/>
      <c r="Q62" s="1106"/>
      <c r="R62" s="288"/>
      <c r="S62" s="289"/>
      <c r="T62" s="289"/>
      <c r="U62" s="289"/>
      <c r="V62" s="392"/>
      <c r="W62" s="1075"/>
      <c r="X62" s="371"/>
      <c r="Y62" s="308"/>
      <c r="Z62" s="320"/>
      <c r="AA62" s="318"/>
      <c r="AB62" s="319"/>
      <c r="AC62" s="311"/>
    </row>
    <row r="63" spans="1:29" ht="15.75" customHeight="1">
      <c r="A63" s="1209" t="s">
        <v>483</v>
      </c>
      <c r="B63" s="1210"/>
      <c r="C63" s="1211"/>
      <c r="D63" s="1195">
        <f>'6. kiadások megbontása'!G72</f>
        <v>95752205</v>
      </c>
      <c r="E63" s="1195">
        <f>SUM('6. kiadások megbontása'!H72)</f>
        <v>5327262</v>
      </c>
      <c r="F63" s="1197">
        <f>SUM(D63:E63)</f>
        <v>101079467</v>
      </c>
      <c r="G63" s="1140" t="s">
        <v>810</v>
      </c>
      <c r="H63" s="1067"/>
      <c r="I63" s="1067"/>
      <c r="J63" s="731">
        <v>11287000</v>
      </c>
      <c r="K63" s="1224">
        <f>SUM(J63:J68)</f>
        <v>11570018</v>
      </c>
      <c r="L63" s="1192" t="s">
        <v>865</v>
      </c>
      <c r="M63" s="1143"/>
      <c r="N63" s="1143"/>
      <c r="O63" s="1143"/>
      <c r="P63" s="402">
        <v>6245115</v>
      </c>
      <c r="Q63" s="1087">
        <f>SUM(P63:P65)</f>
        <v>50394474</v>
      </c>
      <c r="R63" s="1066" t="s">
        <v>916</v>
      </c>
      <c r="S63" s="1067"/>
      <c r="T63" s="1067"/>
      <c r="U63" s="1067"/>
      <c r="V63" s="1070">
        <v>31099867</v>
      </c>
      <c r="W63" s="1073">
        <f>SUM(V63)</f>
        <v>31099867</v>
      </c>
      <c r="X63" s="1076">
        <f>SUM(K63+Q63+W63)</f>
        <v>93064359</v>
      </c>
      <c r="Y63" s="1058">
        <f>Q66+W66</f>
        <v>4940977</v>
      </c>
      <c r="Z63" s="1061">
        <f>SUM(X63:Y65)</f>
        <v>98005336</v>
      </c>
      <c r="AA63" s="1076">
        <f>X63-D63</f>
        <v>-2687846</v>
      </c>
      <c r="AB63" s="1058">
        <f>Y63-E63</f>
        <v>-386285</v>
      </c>
      <c r="AC63" s="1061">
        <f>SUM(AA63:AB63)</f>
        <v>-3074131</v>
      </c>
    </row>
    <row r="64" spans="1:29" ht="15.75" customHeight="1">
      <c r="A64" s="1212"/>
      <c r="B64" s="1213"/>
      <c r="C64" s="1214"/>
      <c r="D64" s="1196"/>
      <c r="E64" s="1196"/>
      <c r="F64" s="1198"/>
      <c r="G64" s="929"/>
      <c r="H64" s="775"/>
      <c r="I64" s="775"/>
      <c r="J64" s="466"/>
      <c r="K64" s="1145"/>
      <c r="L64" s="1097" t="s">
        <v>1152</v>
      </c>
      <c r="M64" s="1098"/>
      <c r="N64" s="1098"/>
      <c r="O64" s="1098"/>
      <c r="P64" s="934">
        <v>742100</v>
      </c>
      <c r="Q64" s="1088"/>
      <c r="R64" s="1068"/>
      <c r="S64" s="1069"/>
      <c r="T64" s="1069"/>
      <c r="U64" s="1069"/>
      <c r="V64" s="1071"/>
      <c r="W64" s="1074"/>
      <c r="X64" s="1077"/>
      <c r="Y64" s="1059"/>
      <c r="Z64" s="1062"/>
      <c r="AA64" s="1077"/>
      <c r="AB64" s="1059"/>
      <c r="AC64" s="1062"/>
    </row>
    <row r="65" spans="1:29" ht="24.75" customHeight="1" thickBot="1">
      <c r="A65" s="1212"/>
      <c r="B65" s="1213"/>
      <c r="C65" s="1214"/>
      <c r="D65" s="1196"/>
      <c r="E65" s="1196"/>
      <c r="F65" s="1198"/>
      <c r="G65" s="1191" t="s">
        <v>919</v>
      </c>
      <c r="H65" s="1095"/>
      <c r="I65" s="1095"/>
      <c r="J65" s="466">
        <v>195364</v>
      </c>
      <c r="K65" s="1145"/>
      <c r="L65" s="1110" t="s">
        <v>910</v>
      </c>
      <c r="M65" s="1111"/>
      <c r="N65" s="1111"/>
      <c r="O65" s="1111"/>
      <c r="P65" s="286">
        <v>43407259</v>
      </c>
      <c r="Q65" s="1088"/>
      <c r="R65" s="1064"/>
      <c r="S65" s="1065"/>
      <c r="T65" s="1065"/>
      <c r="U65" s="1065"/>
      <c r="V65" s="1072"/>
      <c r="W65" s="1075"/>
      <c r="X65" s="1077"/>
      <c r="Y65" s="1059"/>
      <c r="Z65" s="1062"/>
      <c r="AA65" s="1077"/>
      <c r="AB65" s="1059"/>
      <c r="AC65" s="1062"/>
    </row>
    <row r="66" spans="1:29" ht="16.5" customHeight="1">
      <c r="A66" s="885"/>
      <c r="B66" s="886"/>
      <c r="C66" s="887"/>
      <c r="D66" s="888"/>
      <c r="E66" s="891"/>
      <c r="F66" s="889"/>
      <c r="G66" s="878"/>
      <c r="H66" s="773"/>
      <c r="I66" s="773"/>
      <c r="J66" s="466"/>
      <c r="K66" s="1145"/>
      <c r="L66" s="1192" t="s">
        <v>1009</v>
      </c>
      <c r="M66" s="1143"/>
      <c r="N66" s="1143"/>
      <c r="O66" s="1143"/>
      <c r="P66" s="402">
        <v>841234</v>
      </c>
      <c r="Q66" s="1087">
        <f>SUM(P66:P67)</f>
        <v>2528424</v>
      </c>
      <c r="R66" s="1066" t="s">
        <v>917</v>
      </c>
      <c r="S66" s="1067"/>
      <c r="T66" s="1067"/>
      <c r="U66" s="1067"/>
      <c r="V66" s="1089">
        <v>2412553</v>
      </c>
      <c r="W66" s="1073">
        <f>SUM(V66)</f>
        <v>2412553</v>
      </c>
      <c r="X66" s="1077"/>
      <c r="Y66" s="1059"/>
      <c r="Z66" s="1062"/>
      <c r="AA66" s="1077"/>
      <c r="AB66" s="1059"/>
      <c r="AC66" s="1062"/>
    </row>
    <row r="67" spans="1:29" ht="16.5" customHeight="1">
      <c r="A67" s="885"/>
      <c r="B67" s="886"/>
      <c r="C67" s="887"/>
      <c r="D67" s="888"/>
      <c r="E67" s="891"/>
      <c r="F67" s="889"/>
      <c r="G67" s="878"/>
      <c r="H67" s="773"/>
      <c r="I67" s="773"/>
      <c r="J67" s="466"/>
      <c r="K67" s="1145"/>
      <c r="L67" s="1068" t="s">
        <v>915</v>
      </c>
      <c r="M67" s="1069"/>
      <c r="N67" s="1069"/>
      <c r="O67" s="1069"/>
      <c r="P67" s="1071">
        <v>1687190</v>
      </c>
      <c r="Q67" s="1088"/>
      <c r="R67" s="1068"/>
      <c r="S67" s="1069"/>
      <c r="T67" s="1069"/>
      <c r="U67" s="1069"/>
      <c r="V67" s="1090"/>
      <c r="W67" s="1074"/>
      <c r="X67" s="1077"/>
      <c r="Y67" s="1059"/>
      <c r="Z67" s="1062"/>
      <c r="AA67" s="1077"/>
      <c r="AB67" s="1059"/>
      <c r="AC67" s="1062"/>
    </row>
    <row r="68" spans="1:29" ht="23.25" customHeight="1" thickBot="1">
      <c r="A68" s="776"/>
      <c r="B68" s="777"/>
      <c r="C68" s="778"/>
      <c r="D68" s="779"/>
      <c r="E68" s="787"/>
      <c r="F68" s="780"/>
      <c r="G68" s="1128" t="s">
        <v>921</v>
      </c>
      <c r="H68" s="1111"/>
      <c r="I68" s="1111"/>
      <c r="J68" s="790">
        <v>87654</v>
      </c>
      <c r="K68" s="1146"/>
      <c r="L68" s="1064"/>
      <c r="M68" s="1065"/>
      <c r="N68" s="1065"/>
      <c r="O68" s="1065"/>
      <c r="P68" s="1072"/>
      <c r="Q68" s="1096"/>
      <c r="R68" s="1064"/>
      <c r="S68" s="1065"/>
      <c r="T68" s="1065"/>
      <c r="U68" s="1065"/>
      <c r="V68" s="1091"/>
      <c r="W68" s="1075"/>
      <c r="X68" s="1078"/>
      <c r="Y68" s="1060"/>
      <c r="Z68" s="1063"/>
      <c r="AA68" s="1078"/>
      <c r="AB68" s="1060"/>
      <c r="AC68" s="1063"/>
    </row>
    <row r="69" spans="1:223" s="437" customFormat="1" ht="44.25" customHeight="1" thickBot="1" thickTop="1">
      <c r="A69" s="1187" t="s">
        <v>866</v>
      </c>
      <c r="B69" s="1188"/>
      <c r="C69" s="1189"/>
      <c r="D69" s="657">
        <f>SUM(D57:D65)</f>
        <v>301019711</v>
      </c>
      <c r="E69" s="658">
        <f>SUM(E57:E65)</f>
        <v>6100405</v>
      </c>
      <c r="F69" s="737">
        <f>SUM(D69:E69)</f>
        <v>307120116</v>
      </c>
      <c r="G69" s="788"/>
      <c r="H69" s="1171" t="s">
        <v>97</v>
      </c>
      <c r="I69" s="1172"/>
      <c r="J69" s="1173"/>
      <c r="K69" s="452">
        <f>SUM(K56:K65)</f>
        <v>178276872</v>
      </c>
      <c r="L69" s="451"/>
      <c r="M69" s="1099" t="s">
        <v>98</v>
      </c>
      <c r="N69" s="1099"/>
      <c r="O69" s="1099"/>
      <c r="P69" s="1100"/>
      <c r="Q69" s="452">
        <f>SUM(Q56:Q67)</f>
        <v>56894593</v>
      </c>
      <c r="R69" s="453"/>
      <c r="S69" s="1099" t="s">
        <v>99</v>
      </c>
      <c r="T69" s="1099"/>
      <c r="U69" s="1099"/>
      <c r="V69" s="1100"/>
      <c r="W69" s="454">
        <f>SUM(W56:W67)</f>
        <v>35361632</v>
      </c>
      <c r="X69" s="455">
        <f>SUM(X55:X63)</f>
        <v>265592120</v>
      </c>
      <c r="Y69" s="456">
        <f>SUM(Y55:Y63)</f>
        <v>4940977</v>
      </c>
      <c r="Z69" s="457">
        <f>SUM(X69:Y69)</f>
        <v>270533097</v>
      </c>
      <c r="AA69" s="455">
        <f>X69-D69</f>
        <v>-35427591</v>
      </c>
      <c r="AB69" s="458">
        <f>Y69-E69</f>
        <v>-1159428</v>
      </c>
      <c r="AC69" s="457">
        <f>SUM(AA69:AB69)</f>
        <v>-36587019</v>
      </c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/>
      <c r="EK69" s="459"/>
      <c r="EL69" s="459"/>
      <c r="EM69" s="459"/>
      <c r="EN69" s="459"/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  <c r="GS69" s="459"/>
      <c r="GT69" s="459"/>
      <c r="GU69" s="459"/>
      <c r="GV69" s="459"/>
      <c r="GW69" s="459"/>
      <c r="GX69" s="459"/>
      <c r="GY69" s="459"/>
      <c r="GZ69" s="459"/>
      <c r="HA69" s="459"/>
      <c r="HB69" s="459"/>
      <c r="HC69" s="459"/>
      <c r="HD69" s="459"/>
      <c r="HE69" s="459"/>
      <c r="HF69" s="459"/>
      <c r="HG69" s="459"/>
      <c r="HH69" s="459"/>
      <c r="HI69" s="459"/>
      <c r="HJ69" s="459"/>
      <c r="HK69" s="459"/>
      <c r="HL69" s="459"/>
      <c r="HM69" s="459"/>
      <c r="HN69" s="459"/>
      <c r="HO69" s="459"/>
    </row>
    <row r="70" spans="1:29" ht="21" customHeight="1" thickBot="1" thickTop="1">
      <c r="A70" s="1206" t="s">
        <v>361</v>
      </c>
      <c r="B70" s="1207"/>
      <c r="C70" s="1208"/>
      <c r="D70" s="413">
        <f>SUM(D69,D44,D36,D52)</f>
        <v>1418560653</v>
      </c>
      <c r="E70" s="413">
        <f>SUM(E69,E44,E36,E52)</f>
        <v>657539690</v>
      </c>
      <c r="F70" s="659">
        <f>SUM(D70:E70)</f>
        <v>2076100343</v>
      </c>
      <c r="G70" s="789"/>
      <c r="H70" s="1220" t="s">
        <v>102</v>
      </c>
      <c r="I70" s="1221"/>
      <c r="J70" s="1222"/>
      <c r="K70" s="415">
        <f>SUM(K69,K44,K36,K52)</f>
        <v>569516963</v>
      </c>
      <c r="L70" s="414"/>
      <c r="M70" s="1199" t="s">
        <v>103</v>
      </c>
      <c r="N70" s="1199"/>
      <c r="O70" s="1199"/>
      <c r="P70" s="1200"/>
      <c r="Q70" s="415">
        <f>SUM(Q69,Q44,Q36,Q52)</f>
        <v>767739265</v>
      </c>
      <c r="R70" s="416"/>
      <c r="S70" s="1199" t="s">
        <v>104</v>
      </c>
      <c r="T70" s="1199"/>
      <c r="U70" s="1199"/>
      <c r="V70" s="1200"/>
      <c r="W70" s="748">
        <f>SUM(W69,W44,W36,W52)</f>
        <v>738844115</v>
      </c>
      <c r="X70" s="749">
        <f>SUM(X69,X44,X36,X52)</f>
        <v>1401917905</v>
      </c>
      <c r="Y70" s="417">
        <f>SUM(Y69,Y44,Y36,Y52)</f>
        <v>674182438</v>
      </c>
      <c r="Z70" s="418">
        <f>SUM(W70+Q70+K70)</f>
        <v>2076100343</v>
      </c>
      <c r="AA70" s="417">
        <f>SUM(AA69,AA44,AA36,AA52)</f>
        <v>-16642748</v>
      </c>
      <c r="AB70" s="417">
        <f>SUM(AB69,AB44,AB36,AB52)</f>
        <v>16642748</v>
      </c>
      <c r="AC70" s="659">
        <f>SUM(AC69,AC44,AC36,AC52)</f>
        <v>0</v>
      </c>
    </row>
    <row r="71" spans="1:29" ht="19.5" thickTop="1">
      <c r="A71" s="1193"/>
      <c r="B71" s="1194"/>
      <c r="C71" s="1194"/>
      <c r="D71" s="390"/>
      <c r="E71" s="390"/>
      <c r="F71" s="390"/>
      <c r="G71" s="336"/>
      <c r="H71" s="336"/>
      <c r="I71" s="336"/>
      <c r="J71" s="419"/>
      <c r="K71" s="366"/>
      <c r="L71" s="334"/>
      <c r="M71" s="325"/>
      <c r="N71" s="325"/>
      <c r="O71" s="325"/>
      <c r="P71" s="325"/>
      <c r="Q71" s="325"/>
      <c r="R71" s="334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34"/>
    </row>
    <row r="72" spans="1:29" ht="15.75">
      <c r="A72" s="390"/>
      <c r="B72" s="390"/>
      <c r="C72" s="390"/>
      <c r="D72" s="1201" t="s">
        <v>480</v>
      </c>
      <c r="E72" s="1202"/>
      <c r="F72" s="1202"/>
      <c r="G72" s="289"/>
      <c r="H72" s="289"/>
      <c r="I72" s="289"/>
      <c r="J72" s="282"/>
      <c r="K72" s="366"/>
      <c r="L72" s="325"/>
      <c r="M72" s="325"/>
      <c r="N72" s="325"/>
      <c r="O72" s="325"/>
      <c r="P72" s="325"/>
      <c r="Q72" s="325"/>
      <c r="R72" s="325"/>
      <c r="S72" s="390"/>
      <c r="T72" s="390"/>
      <c r="U72" s="390"/>
      <c r="V72" s="390"/>
      <c r="W72" s="1201" t="s">
        <v>105</v>
      </c>
      <c r="X72" s="1202"/>
      <c r="Y72" s="1202"/>
      <c r="Z72" s="420"/>
      <c r="AA72" s="1201" t="s">
        <v>90</v>
      </c>
      <c r="AB72" s="1202"/>
      <c r="AC72" s="1202"/>
    </row>
    <row r="73" spans="1:29" ht="15.75">
      <c r="A73" s="390"/>
      <c r="B73" s="390"/>
      <c r="C73" s="390"/>
      <c r="D73" s="421" t="s">
        <v>91</v>
      </c>
      <c r="E73" s="421" t="s">
        <v>106</v>
      </c>
      <c r="F73" s="421" t="s">
        <v>92</v>
      </c>
      <c r="G73" s="289"/>
      <c r="H73" s="289"/>
      <c r="I73" s="289"/>
      <c r="J73" s="282"/>
      <c r="K73" s="366"/>
      <c r="L73" s="325"/>
      <c r="M73" s="325"/>
      <c r="N73" s="325"/>
      <c r="O73" s="325"/>
      <c r="P73" s="325"/>
      <c r="Q73" s="325"/>
      <c r="R73" s="325"/>
      <c r="S73" s="1223"/>
      <c r="T73" s="1223"/>
      <c r="U73" s="1223"/>
      <c r="V73" s="1223"/>
      <c r="W73" s="421" t="s">
        <v>91</v>
      </c>
      <c r="X73" s="421" t="s">
        <v>106</v>
      </c>
      <c r="Y73" s="421" t="s">
        <v>92</v>
      </c>
      <c r="Z73" s="422"/>
      <c r="AA73" s="421" t="s">
        <v>91</v>
      </c>
      <c r="AB73" s="421" t="s">
        <v>106</v>
      </c>
      <c r="AC73" s="421" t="s">
        <v>92</v>
      </c>
    </row>
    <row r="74" spans="1:29" ht="15.75">
      <c r="A74" s="390"/>
      <c r="B74" s="390"/>
      <c r="C74" s="423" t="s">
        <v>107</v>
      </c>
      <c r="D74" s="390"/>
      <c r="E74" s="390"/>
      <c r="F74" s="390"/>
      <c r="G74" s="289"/>
      <c r="H74" s="289"/>
      <c r="I74" s="289"/>
      <c r="J74" s="282"/>
      <c r="K74" s="366"/>
      <c r="L74" s="325"/>
      <c r="M74" s="325"/>
      <c r="N74" s="325"/>
      <c r="O74" s="325"/>
      <c r="P74" s="325"/>
      <c r="Q74" s="325"/>
      <c r="R74" s="325"/>
      <c r="S74" s="390"/>
      <c r="T74" s="423" t="s">
        <v>107</v>
      </c>
      <c r="U74" s="390"/>
      <c r="V74" s="1201"/>
      <c r="W74" s="1202"/>
      <c r="X74" s="390"/>
      <c r="Y74" s="390"/>
      <c r="Z74" s="390"/>
      <c r="AA74" s="390"/>
      <c r="AB74" s="390"/>
      <c r="AC74" s="325"/>
    </row>
    <row r="75" spans="1:29" ht="15.75">
      <c r="A75" s="390"/>
      <c r="B75" s="390"/>
      <c r="C75" s="390" t="s">
        <v>108</v>
      </c>
      <c r="D75" s="424">
        <f>SUM(D10)</f>
        <v>633309549</v>
      </c>
      <c r="E75" s="424">
        <f>SUM(E10)</f>
        <v>319701562</v>
      </c>
      <c r="F75" s="424">
        <f>SUM(D75:E75)</f>
        <v>953011111</v>
      </c>
      <c r="G75" s="289"/>
      <c r="H75" s="289"/>
      <c r="I75" s="289"/>
      <c r="J75" s="282"/>
      <c r="K75" s="366"/>
      <c r="L75" s="325"/>
      <c r="M75" s="325"/>
      <c r="N75" s="325"/>
      <c r="O75" s="325"/>
      <c r="P75" s="325"/>
      <c r="Q75" s="325"/>
      <c r="R75" s="325"/>
      <c r="S75" s="390"/>
      <c r="T75" s="390" t="s">
        <v>108</v>
      </c>
      <c r="U75" s="390"/>
      <c r="V75" s="390"/>
      <c r="W75" s="424">
        <f>SUM(X14)</f>
        <v>720026109</v>
      </c>
      <c r="X75" s="424">
        <f>Y14</f>
        <v>348389019</v>
      </c>
      <c r="Y75" s="424">
        <f>SUM(W75:X75)</f>
        <v>1068415128</v>
      </c>
      <c r="Z75" s="373"/>
      <c r="AA75" s="424">
        <f aca="true" t="shared" si="0" ref="AA75:AB78">W75-D75</f>
        <v>86716560</v>
      </c>
      <c r="AB75" s="424">
        <f t="shared" si="0"/>
        <v>28687457</v>
      </c>
      <c r="AC75" s="373">
        <f>SUM(AA75:AB75)</f>
        <v>115404017</v>
      </c>
    </row>
    <row r="76" spans="1:29" ht="15.75">
      <c r="A76" s="390"/>
      <c r="B76" s="390"/>
      <c r="C76" s="390" t="s">
        <v>367</v>
      </c>
      <c r="D76" s="424">
        <f>SUM(D41)</f>
        <v>129626952</v>
      </c>
      <c r="E76" s="424">
        <f>SUM(E41)</f>
        <v>2499004</v>
      </c>
      <c r="F76" s="424">
        <f>SUM(D76:E76)</f>
        <v>132125956</v>
      </c>
      <c r="G76" s="289"/>
      <c r="H76" s="289"/>
      <c r="I76" s="289"/>
      <c r="J76" s="425"/>
      <c r="K76" s="366"/>
      <c r="L76" s="325"/>
      <c r="M76" s="325"/>
      <c r="N76" s="325"/>
      <c r="O76" s="325"/>
      <c r="P76" s="325"/>
      <c r="Q76" s="325"/>
      <c r="R76" s="325"/>
      <c r="S76" s="390"/>
      <c r="T76" s="390" t="s">
        <v>367</v>
      </c>
      <c r="U76" s="390"/>
      <c r="V76" s="390"/>
      <c r="W76" s="424">
        <f>SUM(X41)</f>
        <v>136655634</v>
      </c>
      <c r="X76" s="424">
        <f>Y41</f>
        <v>0</v>
      </c>
      <c r="Y76" s="424">
        <f>SUM(W76:X76)</f>
        <v>136655634</v>
      </c>
      <c r="Z76" s="373"/>
      <c r="AA76" s="424">
        <f t="shared" si="0"/>
        <v>7028682</v>
      </c>
      <c r="AB76" s="424">
        <f t="shared" si="0"/>
        <v>-2499004</v>
      </c>
      <c r="AC76" s="373">
        <f>SUM(AA76:AB76)</f>
        <v>4529678</v>
      </c>
    </row>
    <row r="77" spans="1:29" ht="15.75">
      <c r="A77" s="390"/>
      <c r="B77" s="390"/>
      <c r="C77" s="390" t="s">
        <v>805</v>
      </c>
      <c r="D77" s="424">
        <f>SUM(D49)</f>
        <v>25795563</v>
      </c>
      <c r="E77" s="424">
        <f>SUM(E49)</f>
        <v>103900</v>
      </c>
      <c r="F77" s="424">
        <f>SUM(D77:E77)</f>
        <v>25899463</v>
      </c>
      <c r="G77" s="289"/>
      <c r="H77" s="289"/>
      <c r="I77" s="289"/>
      <c r="J77" s="425"/>
      <c r="K77" s="366"/>
      <c r="L77" s="325"/>
      <c r="M77" s="325"/>
      <c r="N77" s="325"/>
      <c r="O77" s="325"/>
      <c r="P77" s="325"/>
      <c r="Q77" s="325"/>
      <c r="R77" s="325"/>
      <c r="S77" s="390"/>
      <c r="T77" s="390" t="s">
        <v>862</v>
      </c>
      <c r="U77" s="390"/>
      <c r="V77" s="390"/>
      <c r="W77" s="424">
        <f>X49</f>
        <v>15710023</v>
      </c>
      <c r="X77" s="424">
        <f>Y49</f>
        <v>0</v>
      </c>
      <c r="Y77" s="424">
        <f>SUM(W77:X77)</f>
        <v>15710023</v>
      </c>
      <c r="Z77" s="373"/>
      <c r="AA77" s="424">
        <f>W77-D77</f>
        <v>-10085540</v>
      </c>
      <c r="AB77" s="424">
        <f>X77-E77</f>
        <v>-103900</v>
      </c>
      <c r="AC77" s="373">
        <f>SUM(AA77:AB77)</f>
        <v>-10189440</v>
      </c>
    </row>
    <row r="78" spans="1:29" ht="12.75">
      <c r="A78" s="390"/>
      <c r="B78" s="390"/>
      <c r="C78" s="426" t="s">
        <v>109</v>
      </c>
      <c r="D78" s="427">
        <f>SUM(D59)</f>
        <v>205267506</v>
      </c>
      <c r="E78" s="427">
        <f>SUM(E59)</f>
        <v>773143</v>
      </c>
      <c r="F78" s="427">
        <f>SUM(D78:E78)</f>
        <v>206040649</v>
      </c>
      <c r="G78" s="390"/>
      <c r="H78" s="390"/>
      <c r="I78" s="390"/>
      <c r="J78" s="390"/>
      <c r="K78" s="325"/>
      <c r="L78" s="325"/>
      <c r="M78" s="325"/>
      <c r="N78" s="325"/>
      <c r="O78" s="325"/>
      <c r="P78" s="325"/>
      <c r="Q78" s="325"/>
      <c r="R78" s="325"/>
      <c r="S78" s="390"/>
      <c r="T78" s="426" t="s">
        <v>109</v>
      </c>
      <c r="U78" s="428"/>
      <c r="V78" s="428"/>
      <c r="W78" s="427">
        <f>SUM(X59)</f>
        <v>172527761</v>
      </c>
      <c r="X78" s="427">
        <f>Y59</f>
        <v>0</v>
      </c>
      <c r="Y78" s="427">
        <f>SUM(W78:X78)</f>
        <v>172527761</v>
      </c>
      <c r="Z78" s="373"/>
      <c r="AA78" s="427">
        <f t="shared" si="0"/>
        <v>-32739745</v>
      </c>
      <c r="AB78" s="427">
        <f t="shared" si="0"/>
        <v>-773143</v>
      </c>
      <c r="AC78" s="427">
        <f>SUM(AA78:AB78)</f>
        <v>-33512888</v>
      </c>
    </row>
    <row r="79" spans="1:29" ht="12.75">
      <c r="A79" s="390"/>
      <c r="B79" s="390"/>
      <c r="C79" s="429" t="s">
        <v>360</v>
      </c>
      <c r="D79" s="424">
        <f>SUM(D75:D78)</f>
        <v>993999570</v>
      </c>
      <c r="E79" s="424">
        <f>SUM(E75:E78)</f>
        <v>323077609</v>
      </c>
      <c r="F79" s="424">
        <f>SUM(F75:F78)</f>
        <v>1317077179</v>
      </c>
      <c r="G79" s="390"/>
      <c r="H79" s="390"/>
      <c r="I79" s="390"/>
      <c r="J79" s="390"/>
      <c r="K79" s="325"/>
      <c r="L79" s="325"/>
      <c r="M79" s="325"/>
      <c r="N79" s="325"/>
      <c r="O79" s="325"/>
      <c r="P79" s="325"/>
      <c r="Q79" s="325"/>
      <c r="R79" s="325"/>
      <c r="S79" s="390"/>
      <c r="T79" s="429" t="s">
        <v>360</v>
      </c>
      <c r="U79" s="390"/>
      <c r="V79" s="429"/>
      <c r="W79" s="424">
        <f>SUM(W75:W78)</f>
        <v>1044919527</v>
      </c>
      <c r="X79" s="424">
        <f>SUM(X75:X78)</f>
        <v>348389019</v>
      </c>
      <c r="Y79" s="424">
        <f>SUM(Y75:Y78)</f>
        <v>1393308546</v>
      </c>
      <c r="Z79" s="373"/>
      <c r="AA79" s="424">
        <f>SUM(AA75:AA78)</f>
        <v>50919957</v>
      </c>
      <c r="AB79" s="424">
        <f>SUM(AB75:AB78)</f>
        <v>25311410</v>
      </c>
      <c r="AC79" s="424">
        <f>SUM(AC75:AC78)</f>
        <v>76231367</v>
      </c>
    </row>
    <row r="80" spans="1:29" ht="12.75">
      <c r="A80" s="390"/>
      <c r="B80" s="390"/>
      <c r="C80" s="429"/>
      <c r="D80" s="424"/>
      <c r="E80" s="424"/>
      <c r="F80" s="424"/>
      <c r="G80" s="390"/>
      <c r="H80" s="390"/>
      <c r="I80" s="390"/>
      <c r="J80" s="390"/>
      <c r="K80" s="390"/>
      <c r="L80" s="325"/>
      <c r="M80" s="325"/>
      <c r="N80" s="325"/>
      <c r="O80" s="325"/>
      <c r="P80" s="325"/>
      <c r="Q80" s="325"/>
      <c r="R80" s="325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25"/>
    </row>
    <row r="81" spans="1:29" ht="12.75">
      <c r="A81" s="390"/>
      <c r="B81" s="390"/>
      <c r="C81" s="423" t="s">
        <v>110</v>
      </c>
      <c r="D81" s="424"/>
      <c r="E81" s="424"/>
      <c r="F81" s="424"/>
      <c r="G81" s="390"/>
      <c r="H81" s="390"/>
      <c r="I81" s="390"/>
      <c r="J81" s="390"/>
      <c r="K81" s="390"/>
      <c r="L81" s="325"/>
      <c r="M81" s="325"/>
      <c r="N81" s="325"/>
      <c r="O81" s="325"/>
      <c r="P81" s="325"/>
      <c r="Q81" s="325"/>
      <c r="R81" s="325"/>
      <c r="S81" s="390"/>
      <c r="T81" s="423" t="s">
        <v>110</v>
      </c>
      <c r="U81" s="430"/>
      <c r="V81" s="423"/>
      <c r="W81" s="431"/>
      <c r="X81" s="431"/>
      <c r="Y81" s="390"/>
      <c r="Z81" s="390"/>
      <c r="AA81" s="390"/>
      <c r="AB81" s="390"/>
      <c r="AC81" s="325"/>
    </row>
    <row r="82" spans="1:29" ht="12.75">
      <c r="A82" s="390"/>
      <c r="B82" s="390"/>
      <c r="C82" s="390" t="s">
        <v>108</v>
      </c>
      <c r="D82" s="424">
        <f>SUM(D30)</f>
        <v>278463588</v>
      </c>
      <c r="E82" s="424">
        <f>SUM(E30)</f>
        <v>328433159</v>
      </c>
      <c r="F82" s="424">
        <f>SUM(D82:E82)</f>
        <v>606896747</v>
      </c>
      <c r="G82" s="390"/>
      <c r="H82" s="390"/>
      <c r="I82" s="390"/>
      <c r="J82" s="390"/>
      <c r="K82" s="390"/>
      <c r="L82" s="325"/>
      <c r="M82" s="325"/>
      <c r="N82" s="325"/>
      <c r="O82" s="325"/>
      <c r="P82" s="325"/>
      <c r="Q82" s="325"/>
      <c r="R82" s="325"/>
      <c r="S82" s="390"/>
      <c r="T82" s="390" t="s">
        <v>108</v>
      </c>
      <c r="U82" s="390"/>
      <c r="V82" s="390"/>
      <c r="W82" s="424">
        <f>SUM(X30)</f>
        <v>224967962</v>
      </c>
      <c r="X82" s="424">
        <f>Y30</f>
        <v>320852442</v>
      </c>
      <c r="Y82" s="424">
        <f>SUM(W82:X82)</f>
        <v>545820404</v>
      </c>
      <c r="Z82" s="373"/>
      <c r="AA82" s="424">
        <f aca="true" t="shared" si="1" ref="AA82:AB85">W82-D82</f>
        <v>-53495626</v>
      </c>
      <c r="AB82" s="424">
        <f t="shared" si="1"/>
        <v>-7580717</v>
      </c>
      <c r="AC82" s="373">
        <f>SUM(AA82:AB82)</f>
        <v>-61076343</v>
      </c>
    </row>
    <row r="83" spans="1:29" ht="12.75">
      <c r="A83" s="390"/>
      <c r="B83" s="390"/>
      <c r="C83" s="390" t="s">
        <v>367</v>
      </c>
      <c r="D83" s="424">
        <v>0</v>
      </c>
      <c r="E83" s="424">
        <v>0</v>
      </c>
      <c r="F83" s="424">
        <f>SUM(D83:E83)</f>
        <v>0</v>
      </c>
      <c r="G83" s="390"/>
      <c r="H83" s="390"/>
      <c r="I83" s="390"/>
      <c r="J83" s="390"/>
      <c r="K83" s="390"/>
      <c r="L83" s="325"/>
      <c r="M83" s="325"/>
      <c r="N83" s="325"/>
      <c r="O83" s="325"/>
      <c r="P83" s="325"/>
      <c r="Q83" s="325"/>
      <c r="R83" s="325"/>
      <c r="S83" s="390"/>
      <c r="T83" s="390" t="s">
        <v>367</v>
      </c>
      <c r="U83" s="390"/>
      <c r="V83" s="390"/>
      <c r="W83" s="424">
        <v>0</v>
      </c>
      <c r="X83" s="424">
        <v>0</v>
      </c>
      <c r="Y83" s="424">
        <f>SUM(W83:X83)</f>
        <v>0</v>
      </c>
      <c r="Z83" s="373"/>
      <c r="AA83" s="424">
        <f t="shared" si="1"/>
        <v>0</v>
      </c>
      <c r="AB83" s="424">
        <f t="shared" si="1"/>
        <v>0</v>
      </c>
      <c r="AC83" s="373">
        <f>SUM(AA83:AB83)</f>
        <v>0</v>
      </c>
    </row>
    <row r="84" spans="1:29" ht="12.75">
      <c r="A84" s="390"/>
      <c r="B84" s="390"/>
      <c r="C84" s="390" t="s">
        <v>805</v>
      </c>
      <c r="D84" s="424">
        <f>SUM(D51)</f>
        <v>49530</v>
      </c>
      <c r="E84" s="424">
        <f>SUM(E51)</f>
        <v>0</v>
      </c>
      <c r="F84" s="424">
        <f>SUM(D84:E84)</f>
        <v>49530</v>
      </c>
      <c r="G84" s="390"/>
      <c r="H84" s="390"/>
      <c r="I84" s="390"/>
      <c r="J84" s="390"/>
      <c r="K84" s="390"/>
      <c r="L84" s="325"/>
      <c r="M84" s="325"/>
      <c r="N84" s="325"/>
      <c r="O84" s="325"/>
      <c r="P84" s="325"/>
      <c r="Q84" s="325"/>
      <c r="R84" s="325"/>
      <c r="S84" s="390"/>
      <c r="T84" s="390" t="s">
        <v>862</v>
      </c>
      <c r="U84" s="390"/>
      <c r="V84" s="390"/>
      <c r="W84" s="424">
        <f>X50</f>
        <v>0</v>
      </c>
      <c r="X84" s="424">
        <f>Y51</f>
        <v>0</v>
      </c>
      <c r="Y84" s="424">
        <f>SUM(W84:X84)</f>
        <v>0</v>
      </c>
      <c r="Z84" s="373"/>
      <c r="AA84" s="424">
        <f>W84-D84</f>
        <v>-49530</v>
      </c>
      <c r="AB84" s="424">
        <f>X84-E84</f>
        <v>0</v>
      </c>
      <c r="AC84" s="373">
        <f>SUM(AA84:AB84)</f>
        <v>-49530</v>
      </c>
    </row>
    <row r="85" spans="1:29" ht="12.75">
      <c r="A85" s="390"/>
      <c r="B85" s="390"/>
      <c r="C85" s="426" t="s">
        <v>109</v>
      </c>
      <c r="D85" s="427">
        <f>SUM(D63)</f>
        <v>95752205</v>
      </c>
      <c r="E85" s="427">
        <f>SUM(E63)</f>
        <v>5327262</v>
      </c>
      <c r="F85" s="427">
        <f>SUM(D85:E85)</f>
        <v>101079467</v>
      </c>
      <c r="G85" s="390"/>
      <c r="H85" s="390"/>
      <c r="I85" s="390"/>
      <c r="J85" s="390"/>
      <c r="K85" s="390"/>
      <c r="L85" s="325"/>
      <c r="M85" s="325"/>
      <c r="N85" s="325"/>
      <c r="O85" s="325"/>
      <c r="P85" s="325"/>
      <c r="Q85" s="325"/>
      <c r="R85" s="325"/>
      <c r="S85" s="390"/>
      <c r="T85" s="426" t="s">
        <v>109</v>
      </c>
      <c r="U85" s="428"/>
      <c r="V85" s="428"/>
      <c r="W85" s="427">
        <f>SUM(X63)</f>
        <v>93064359</v>
      </c>
      <c r="X85" s="427">
        <f>Y63</f>
        <v>4940977</v>
      </c>
      <c r="Y85" s="427">
        <f>SUM(W85:X85)</f>
        <v>98005336</v>
      </c>
      <c r="Z85" s="373"/>
      <c r="AA85" s="427">
        <f t="shared" si="1"/>
        <v>-2687846</v>
      </c>
      <c r="AB85" s="427">
        <f t="shared" si="1"/>
        <v>-386285</v>
      </c>
      <c r="AC85" s="427">
        <f>SUM(AA85:AB85)</f>
        <v>-3074131</v>
      </c>
    </row>
    <row r="86" spans="1:29" ht="12.75">
      <c r="A86" s="390"/>
      <c r="B86" s="390"/>
      <c r="C86" s="429" t="s">
        <v>360</v>
      </c>
      <c r="D86" s="424">
        <f>SUM(D82:D85)</f>
        <v>374265323</v>
      </c>
      <c r="E86" s="424">
        <f>SUM(E82:E85)</f>
        <v>333760421</v>
      </c>
      <c r="F86" s="424">
        <f>SUM(F82:F85)</f>
        <v>708025744</v>
      </c>
      <c r="G86" s="390"/>
      <c r="H86" s="390"/>
      <c r="I86" s="390"/>
      <c r="J86" s="390"/>
      <c r="K86" s="390"/>
      <c r="L86" s="325"/>
      <c r="M86" s="325"/>
      <c r="N86" s="325"/>
      <c r="O86" s="325"/>
      <c r="P86" s="325"/>
      <c r="Q86" s="325"/>
      <c r="R86" s="325"/>
      <c r="S86" s="390"/>
      <c r="T86" s="429" t="s">
        <v>360</v>
      </c>
      <c r="U86" s="390"/>
      <c r="V86" s="429"/>
      <c r="W86" s="424">
        <f>SUM(W82:W85)</f>
        <v>318032321</v>
      </c>
      <c r="X86" s="424">
        <f>SUM(X82:X85)</f>
        <v>325793419</v>
      </c>
      <c r="Y86" s="424">
        <f>SUM(Y82:Y85)</f>
        <v>643825740</v>
      </c>
      <c r="Z86" s="373"/>
      <c r="AA86" s="424">
        <f>SUM(AA82:AA85)</f>
        <v>-56233002</v>
      </c>
      <c r="AB86" s="424">
        <f>SUM(AB82:AB85)</f>
        <v>-7967002</v>
      </c>
      <c r="AC86" s="424">
        <f>SUM(AC82:AC85)</f>
        <v>-64200004</v>
      </c>
    </row>
    <row r="87" spans="1:29" ht="12.75">
      <c r="A87" s="390"/>
      <c r="B87" s="390"/>
      <c r="C87" s="429"/>
      <c r="D87" s="424"/>
      <c r="E87" s="424"/>
      <c r="F87" s="424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25"/>
      <c r="AA87" s="424"/>
      <c r="AB87" s="424"/>
      <c r="AC87" s="325"/>
    </row>
    <row r="88" spans="1:29" ht="12.75">
      <c r="A88" s="390"/>
      <c r="B88" s="390"/>
      <c r="C88" s="423" t="s">
        <v>111</v>
      </c>
      <c r="D88" s="424"/>
      <c r="E88" s="424"/>
      <c r="F88" s="424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423" t="s">
        <v>111</v>
      </c>
      <c r="U88" s="390"/>
      <c r="V88" s="423"/>
      <c r="W88" s="390"/>
      <c r="X88" s="390"/>
      <c r="Y88" s="390"/>
      <c r="Z88" s="325"/>
      <c r="AA88" s="424"/>
      <c r="AB88" s="424"/>
      <c r="AC88" s="325"/>
    </row>
    <row r="89" spans="1:29" ht="12.75">
      <c r="A89" s="390"/>
      <c r="B89" s="390"/>
      <c r="C89" s="390" t="s">
        <v>108</v>
      </c>
      <c r="D89" s="424">
        <f>SUM(D24)</f>
        <v>50295760</v>
      </c>
      <c r="E89" s="424">
        <f>SUM(E24)</f>
        <v>701660</v>
      </c>
      <c r="F89" s="424">
        <f>SUM(D89:E89)</f>
        <v>50997420</v>
      </c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 t="s">
        <v>108</v>
      </c>
      <c r="U89" s="390"/>
      <c r="V89" s="390"/>
      <c r="W89" s="424">
        <f>SUM(X24)</f>
        <v>38966057</v>
      </c>
      <c r="X89" s="424">
        <v>0</v>
      </c>
      <c r="Y89" s="424">
        <f>SUM(W89:X89)</f>
        <v>38966057</v>
      </c>
      <c r="Z89" s="373"/>
      <c r="AA89" s="424">
        <f aca="true" t="shared" si="2" ref="AA89:AB92">W89-D89</f>
        <v>-11329703</v>
      </c>
      <c r="AB89" s="424">
        <f t="shared" si="2"/>
        <v>-701660</v>
      </c>
      <c r="AC89" s="373">
        <f>SUM(AA89:AB89)</f>
        <v>-12031363</v>
      </c>
    </row>
    <row r="90" spans="1:29" ht="12.75">
      <c r="A90" s="390"/>
      <c r="B90" s="390"/>
      <c r="C90" s="390" t="s">
        <v>367</v>
      </c>
      <c r="D90" s="424">
        <v>0</v>
      </c>
      <c r="E90" s="424">
        <v>0</v>
      </c>
      <c r="F90" s="424">
        <f>SUM(D90:E90)</f>
        <v>0</v>
      </c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 t="s">
        <v>367</v>
      </c>
      <c r="U90" s="390"/>
      <c r="V90" s="390"/>
      <c r="W90" s="424">
        <v>0</v>
      </c>
      <c r="X90" s="424">
        <v>0</v>
      </c>
      <c r="Y90" s="424">
        <f>SUM(W90:X90)</f>
        <v>0</v>
      </c>
      <c r="Z90" s="373"/>
      <c r="AA90" s="424">
        <f t="shared" si="2"/>
        <v>0</v>
      </c>
      <c r="AB90" s="424">
        <f t="shared" si="2"/>
        <v>0</v>
      </c>
      <c r="AC90" s="373">
        <f>SUM(AA90:AB90)</f>
        <v>0</v>
      </c>
    </row>
    <row r="91" spans="1:29" ht="12.75">
      <c r="A91" s="390"/>
      <c r="B91" s="390"/>
      <c r="C91" s="390" t="s">
        <v>805</v>
      </c>
      <c r="D91" s="424">
        <v>0</v>
      </c>
      <c r="E91" s="424">
        <v>0</v>
      </c>
      <c r="F91" s="424">
        <f>SUM(D91:E91)</f>
        <v>0</v>
      </c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 t="s">
        <v>862</v>
      </c>
      <c r="U91" s="390"/>
      <c r="V91" s="390"/>
      <c r="W91" s="424">
        <v>0</v>
      </c>
      <c r="X91" s="424">
        <v>0</v>
      </c>
      <c r="Y91" s="424">
        <f>SUM(W91:X91)</f>
        <v>0</v>
      </c>
      <c r="Z91" s="373"/>
      <c r="AA91" s="424">
        <f>W91-D91</f>
        <v>0</v>
      </c>
      <c r="AB91" s="424">
        <f>X91-E91</f>
        <v>0</v>
      </c>
      <c r="AC91" s="373">
        <f>SUM(AA91:AB91)</f>
        <v>0</v>
      </c>
    </row>
    <row r="92" spans="1:29" ht="12.75">
      <c r="A92" s="390"/>
      <c r="B92" s="390"/>
      <c r="C92" s="426" t="s">
        <v>109</v>
      </c>
      <c r="D92" s="427">
        <v>0</v>
      </c>
      <c r="E92" s="427">
        <v>0</v>
      </c>
      <c r="F92" s="427">
        <f>SUM(D92:E92)</f>
        <v>0</v>
      </c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426" t="s">
        <v>109</v>
      </c>
      <c r="U92" s="428"/>
      <c r="V92" s="428"/>
      <c r="W92" s="427">
        <v>0</v>
      </c>
      <c r="X92" s="427">
        <v>0</v>
      </c>
      <c r="Y92" s="427">
        <f>SUM(W92:X92)</f>
        <v>0</v>
      </c>
      <c r="Z92" s="373"/>
      <c r="AA92" s="427">
        <f t="shared" si="2"/>
        <v>0</v>
      </c>
      <c r="AB92" s="427">
        <f t="shared" si="2"/>
        <v>0</v>
      </c>
      <c r="AC92" s="427">
        <f>SUM(AA92:AB92)</f>
        <v>0</v>
      </c>
    </row>
    <row r="93" spans="1:29" ht="12.75">
      <c r="A93" s="390"/>
      <c r="B93" s="390"/>
      <c r="C93" s="429" t="s">
        <v>360</v>
      </c>
      <c r="D93" s="424">
        <f>SUM(D89:D92)</f>
        <v>50295760</v>
      </c>
      <c r="E93" s="424">
        <f>SUM(E89:E92)</f>
        <v>701660</v>
      </c>
      <c r="F93" s="424">
        <f>SUM(F89:F92)</f>
        <v>50997420</v>
      </c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429" t="s">
        <v>360</v>
      </c>
      <c r="U93" s="390"/>
      <c r="V93" s="429"/>
      <c r="W93" s="424">
        <f>SUM(W89:W92)</f>
        <v>38966057</v>
      </c>
      <c r="X93" s="424">
        <f>SUM(X89:X92)</f>
        <v>0</v>
      </c>
      <c r="Y93" s="424">
        <f>SUM(Y89:Y92)</f>
        <v>38966057</v>
      </c>
      <c r="Z93" s="373"/>
      <c r="AA93" s="424">
        <f>SUM(AA89:AA92)</f>
        <v>-11329703</v>
      </c>
      <c r="AB93" s="424">
        <f>SUM(AB89:AB92)</f>
        <v>-701660</v>
      </c>
      <c r="AC93" s="424">
        <f>SUM(AC89:AC92)</f>
        <v>-12031363</v>
      </c>
    </row>
    <row r="94" spans="1:29" ht="12.75">
      <c r="A94" s="390"/>
      <c r="B94" s="390"/>
      <c r="C94" s="429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25"/>
      <c r="AA94" s="424"/>
      <c r="AB94" s="424"/>
      <c r="AC94" s="325"/>
    </row>
    <row r="95" spans="1:29" ht="12.75">
      <c r="A95" s="390"/>
      <c r="B95" s="390"/>
      <c r="C95" s="432" t="s">
        <v>112</v>
      </c>
      <c r="D95" s="433">
        <f>SUM(D93,D86,D79)</f>
        <v>1418560653</v>
      </c>
      <c r="E95" s="433">
        <f>SUM(E93,E86,E79)</f>
        <v>657539690</v>
      </c>
      <c r="F95" s="433">
        <f>SUM(F93,F86,F79)</f>
        <v>2076100343</v>
      </c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432"/>
      <c r="R95" s="432"/>
      <c r="S95" s="432"/>
      <c r="T95" s="432" t="s">
        <v>112</v>
      </c>
      <c r="U95" s="432"/>
      <c r="V95" s="432"/>
      <c r="W95" s="433">
        <f>SUM(W93,W86,W79)</f>
        <v>1401917905</v>
      </c>
      <c r="X95" s="433">
        <f>SUM(X93,X86,X79)</f>
        <v>674182438</v>
      </c>
      <c r="Y95" s="433">
        <f>SUM(Y93,Y86,Y79)</f>
        <v>2076100343</v>
      </c>
      <c r="Z95" s="305"/>
      <c r="AA95" s="433">
        <f>SUM(AA93,AA86,AA79)</f>
        <v>-16642748</v>
      </c>
      <c r="AB95" s="433">
        <f>SUM(AB93,AB86,AB79)</f>
        <v>16642748</v>
      </c>
      <c r="AC95" s="433">
        <f>SUM(AC93,AC86,AC79)</f>
        <v>0</v>
      </c>
    </row>
    <row r="96" spans="1:29" ht="12.75">
      <c r="A96" s="432"/>
      <c r="B96" s="432"/>
      <c r="D96" s="390"/>
      <c r="E96" s="390"/>
      <c r="F96" s="390"/>
      <c r="G96" s="424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25"/>
    </row>
    <row r="97" spans="1:29" ht="12.7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25"/>
    </row>
    <row r="98" spans="1:3" ht="12.75">
      <c r="A98" s="390"/>
      <c r="B98" s="390"/>
      <c r="C98" s="390"/>
    </row>
  </sheetData>
  <sheetProtection/>
  <mergeCells count="220">
    <mergeCell ref="G18:I18"/>
    <mergeCell ref="L34:O34"/>
    <mergeCell ref="A51:C51"/>
    <mergeCell ref="B49:C49"/>
    <mergeCell ref="L45:Q46"/>
    <mergeCell ref="P39:P40"/>
    <mergeCell ref="G50:I50"/>
    <mergeCell ref="B41:C41"/>
    <mergeCell ref="G42:I42"/>
    <mergeCell ref="D45:F45"/>
    <mergeCell ref="A44:C44"/>
    <mergeCell ref="A45:C46"/>
    <mergeCell ref="G48:I48"/>
    <mergeCell ref="L47:O48"/>
    <mergeCell ref="A35:C35"/>
    <mergeCell ref="G45:K46"/>
    <mergeCell ref="L41:O41"/>
    <mergeCell ref="M44:P44"/>
    <mergeCell ref="G47:I47"/>
    <mergeCell ref="AA45:AC45"/>
    <mergeCell ref="S36:V36"/>
    <mergeCell ref="L35:O35"/>
    <mergeCell ref="L43:O43"/>
    <mergeCell ref="W39:W43"/>
    <mergeCell ref="G39:I40"/>
    <mergeCell ref="L42:O42"/>
    <mergeCell ref="H44:J44"/>
    <mergeCell ref="Q39:Q43"/>
    <mergeCell ref="R39:U40"/>
    <mergeCell ref="V74:W74"/>
    <mergeCell ref="Q56:Q62"/>
    <mergeCell ref="R56:U56"/>
    <mergeCell ref="R57:U57"/>
    <mergeCell ref="S73:V73"/>
    <mergeCell ref="K47:K49"/>
    <mergeCell ref="W47:W49"/>
    <mergeCell ref="K63:K68"/>
    <mergeCell ref="S69:V69"/>
    <mergeCell ref="M52:P52"/>
    <mergeCell ref="AA72:AC72"/>
    <mergeCell ref="G60:I60"/>
    <mergeCell ref="G59:I59"/>
    <mergeCell ref="G62:I62"/>
    <mergeCell ref="H70:J70"/>
    <mergeCell ref="L51:O51"/>
    <mergeCell ref="K50:K51"/>
    <mergeCell ref="W50:W51"/>
    <mergeCell ref="G56:I56"/>
    <mergeCell ref="R60:U60"/>
    <mergeCell ref="D72:F72"/>
    <mergeCell ref="A52:C52"/>
    <mergeCell ref="H52:J52"/>
    <mergeCell ref="A70:C70"/>
    <mergeCell ref="A63:C65"/>
    <mergeCell ref="R59:U59"/>
    <mergeCell ref="L67:O68"/>
    <mergeCell ref="P67:P68"/>
    <mergeCell ref="G54:K55"/>
    <mergeCell ref="A71:C71"/>
    <mergeCell ref="D63:D65"/>
    <mergeCell ref="E63:E65"/>
    <mergeCell ref="F63:F65"/>
    <mergeCell ref="S70:V70"/>
    <mergeCell ref="W72:Y72"/>
    <mergeCell ref="M70:P70"/>
    <mergeCell ref="H69:J69"/>
    <mergeCell ref="M69:P69"/>
    <mergeCell ref="L65:O65"/>
    <mergeCell ref="A69:C69"/>
    <mergeCell ref="G63:I63"/>
    <mergeCell ref="R58:U58"/>
    <mergeCell ref="K56:K62"/>
    <mergeCell ref="L56:O56"/>
    <mergeCell ref="G65:I65"/>
    <mergeCell ref="G68:I68"/>
    <mergeCell ref="R66:U67"/>
    <mergeCell ref="L63:O63"/>
    <mergeCell ref="L66:O66"/>
    <mergeCell ref="A54:C55"/>
    <mergeCell ref="G58:I58"/>
    <mergeCell ref="D54:F54"/>
    <mergeCell ref="G57:I57"/>
    <mergeCell ref="G61:I61"/>
    <mergeCell ref="A59:C59"/>
    <mergeCell ref="R51:U51"/>
    <mergeCell ref="R43:U43"/>
    <mergeCell ref="L49:O49"/>
    <mergeCell ref="L50:O50"/>
    <mergeCell ref="Q50:Q51"/>
    <mergeCell ref="X45:Z45"/>
    <mergeCell ref="R49:U49"/>
    <mergeCell ref="P47:P48"/>
    <mergeCell ref="A37:C38"/>
    <mergeCell ref="D37:F37"/>
    <mergeCell ref="G37:K38"/>
    <mergeCell ref="K39:K43"/>
    <mergeCell ref="G41:I41"/>
    <mergeCell ref="AA54:AC54"/>
    <mergeCell ref="S44:V44"/>
    <mergeCell ref="R41:U41"/>
    <mergeCell ref="R48:U48"/>
    <mergeCell ref="R45:W46"/>
    <mergeCell ref="A30:C30"/>
    <mergeCell ref="L23:O23"/>
    <mergeCell ref="K8:K17"/>
    <mergeCell ref="AA37:AC37"/>
    <mergeCell ref="R37:W38"/>
    <mergeCell ref="X37:Z37"/>
    <mergeCell ref="W8:W17"/>
    <mergeCell ref="R17:U17"/>
    <mergeCell ref="A36:C36"/>
    <mergeCell ref="H36:J36"/>
    <mergeCell ref="R10:U10"/>
    <mergeCell ref="B24:C24"/>
    <mergeCell ref="T1:AB1"/>
    <mergeCell ref="X6:Z6"/>
    <mergeCell ref="AA6:AC6"/>
    <mergeCell ref="R19:U19"/>
    <mergeCell ref="A6:C7"/>
    <mergeCell ref="L6:Q7"/>
    <mergeCell ref="R6:W7"/>
    <mergeCell ref="D6:F6"/>
    <mergeCell ref="W18:W20"/>
    <mergeCell ref="R35:U35"/>
    <mergeCell ref="R25:U25"/>
    <mergeCell ref="W25:W30"/>
    <mergeCell ref="R24:U24"/>
    <mergeCell ref="R27:U27"/>
    <mergeCell ref="R30:U30"/>
    <mergeCell ref="R31:U31"/>
    <mergeCell ref="W31:W35"/>
    <mergeCell ref="R26:U26"/>
    <mergeCell ref="G6:K7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G10:I10"/>
    <mergeCell ref="L9:O9"/>
    <mergeCell ref="L15:O15"/>
    <mergeCell ref="L16:O16"/>
    <mergeCell ref="Q8:Q17"/>
    <mergeCell ref="R13:U13"/>
    <mergeCell ref="R15:U15"/>
    <mergeCell ref="L12:O12"/>
    <mergeCell ref="L10:O10"/>
    <mergeCell ref="R14:U14"/>
    <mergeCell ref="G11:I11"/>
    <mergeCell ref="G16:I16"/>
    <mergeCell ref="G15:I15"/>
    <mergeCell ref="L20:O20"/>
    <mergeCell ref="G14:I14"/>
    <mergeCell ref="R20:U20"/>
    <mergeCell ref="R16:U16"/>
    <mergeCell ref="R18:U18"/>
    <mergeCell ref="G17:I17"/>
    <mergeCell ref="G13:I13"/>
    <mergeCell ref="G24:I24"/>
    <mergeCell ref="L13:O13"/>
    <mergeCell ref="L14:O14"/>
    <mergeCell ref="G20:I20"/>
    <mergeCell ref="G23:I23"/>
    <mergeCell ref="L17:O17"/>
    <mergeCell ref="L21:O21"/>
    <mergeCell ref="L22:O22"/>
    <mergeCell ref="K18:K20"/>
    <mergeCell ref="K23:K24"/>
    <mergeCell ref="K25:K30"/>
    <mergeCell ref="L28:O28"/>
    <mergeCell ref="L29:O29"/>
    <mergeCell ref="L27:O27"/>
    <mergeCell ref="Q25:Q30"/>
    <mergeCell ref="L25:O25"/>
    <mergeCell ref="Q23:Q24"/>
    <mergeCell ref="L24:O24"/>
    <mergeCell ref="Q18:Q22"/>
    <mergeCell ref="J39:J40"/>
    <mergeCell ref="L30:O30"/>
    <mergeCell ref="L32:O32"/>
    <mergeCell ref="L33:O33"/>
    <mergeCell ref="Q31:Q35"/>
    <mergeCell ref="L31:O31"/>
    <mergeCell ref="K31:K35"/>
    <mergeCell ref="M36:P36"/>
    <mergeCell ref="L37:Q38"/>
    <mergeCell ref="L39:O40"/>
    <mergeCell ref="V39:V40"/>
    <mergeCell ref="S52:V52"/>
    <mergeCell ref="Y63:Y68"/>
    <mergeCell ref="W66:W68"/>
    <mergeCell ref="X54:Z54"/>
    <mergeCell ref="L54:Q55"/>
    <mergeCell ref="R47:U47"/>
    <mergeCell ref="Q47:Q49"/>
    <mergeCell ref="W56:W62"/>
    <mergeCell ref="L57:O57"/>
    <mergeCell ref="R54:W55"/>
    <mergeCell ref="Q63:Q65"/>
    <mergeCell ref="V66:V68"/>
    <mergeCell ref="L18:O18"/>
    <mergeCell ref="L19:O19"/>
    <mergeCell ref="L26:O26"/>
    <mergeCell ref="Q66:Q68"/>
    <mergeCell ref="R42:U42"/>
    <mergeCell ref="L64:O64"/>
    <mergeCell ref="AB63:AB68"/>
    <mergeCell ref="AC63:AC68"/>
    <mergeCell ref="R68:U68"/>
    <mergeCell ref="R63:U65"/>
    <mergeCell ref="V63:V65"/>
    <mergeCell ref="W63:W65"/>
    <mergeCell ref="X63:X68"/>
    <mergeCell ref="Z63:Z68"/>
    <mergeCell ref="AA63:AA6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7"/>
  <sheetViews>
    <sheetView tabSelected="1" workbookViewId="0" topLeftCell="A88">
      <selection activeCell="A101" sqref="A101"/>
    </sheetView>
  </sheetViews>
  <sheetFormatPr defaultColWidth="9.00390625" defaultRowHeight="12.75"/>
  <cols>
    <col min="1" max="1" width="50.875" style="0" customWidth="1"/>
  </cols>
  <sheetData>
    <row r="1" spans="8:13" ht="15">
      <c r="H1" s="904"/>
      <c r="I1" s="904"/>
      <c r="J1" s="904"/>
      <c r="K1" s="904"/>
      <c r="L1" s="904"/>
      <c r="M1" s="5" t="s">
        <v>1166</v>
      </c>
    </row>
    <row r="2" spans="8:13" ht="12.75">
      <c r="H2" s="904"/>
      <c r="I2" s="904"/>
      <c r="J2" s="904"/>
      <c r="K2" s="904"/>
      <c r="L2" s="904"/>
      <c r="M2" s="1"/>
    </row>
    <row r="3" spans="1:13" ht="12.75">
      <c r="A3" s="1235" t="s">
        <v>1038</v>
      </c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</row>
    <row r="4" spans="1:13" ht="12.75">
      <c r="A4" s="1235" t="s">
        <v>437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</row>
    <row r="5" spans="1:13" ht="12.75">
      <c r="A5" s="1235"/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</row>
    <row r="6" spans="1:13" ht="12.75">
      <c r="A6" s="905" t="s">
        <v>357</v>
      </c>
      <c r="B6" s="906" t="s">
        <v>1039</v>
      </c>
      <c r="C6" s="906" t="s">
        <v>1040</v>
      </c>
      <c r="D6" s="906" t="s">
        <v>1041</v>
      </c>
      <c r="E6" s="906" t="s">
        <v>1042</v>
      </c>
      <c r="F6" s="906" t="s">
        <v>1043</v>
      </c>
      <c r="G6" s="906" t="s">
        <v>1044</v>
      </c>
      <c r="H6" s="906" t="s">
        <v>1045</v>
      </c>
      <c r="I6" s="906" t="s">
        <v>1046</v>
      </c>
      <c r="J6" s="906" t="s">
        <v>1047</v>
      </c>
      <c r="K6" s="906" t="s">
        <v>1048</v>
      </c>
      <c r="L6" s="906" t="s">
        <v>1049</v>
      </c>
      <c r="M6" s="906" t="s">
        <v>1050</v>
      </c>
    </row>
    <row r="7" spans="1:13" ht="12.75">
      <c r="A7" s="907" t="s">
        <v>770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</row>
    <row r="8" spans="1:13" ht="12.75">
      <c r="A8" s="909" t="s">
        <v>1051</v>
      </c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</row>
    <row r="9" spans="1:13" ht="12.75">
      <c r="A9" s="911" t="s">
        <v>1052</v>
      </c>
      <c r="B9" s="912">
        <v>14</v>
      </c>
      <c r="C9" s="912">
        <v>14</v>
      </c>
      <c r="D9" s="912">
        <v>14</v>
      </c>
      <c r="E9" s="912">
        <v>14</v>
      </c>
      <c r="F9" s="912">
        <v>14</v>
      </c>
      <c r="G9" s="912">
        <v>14</v>
      </c>
      <c r="H9" s="912">
        <v>14</v>
      </c>
      <c r="I9" s="912">
        <v>14</v>
      </c>
      <c r="J9" s="912">
        <v>13</v>
      </c>
      <c r="K9" s="912">
        <v>13</v>
      </c>
      <c r="L9" s="912">
        <v>13</v>
      </c>
      <c r="M9" s="912">
        <v>13</v>
      </c>
    </row>
    <row r="10" spans="1:13" ht="12.75">
      <c r="A10" s="911" t="s">
        <v>1053</v>
      </c>
      <c r="B10" s="912">
        <v>2</v>
      </c>
      <c r="C10" s="912">
        <v>2</v>
      </c>
      <c r="D10" s="912">
        <v>2</v>
      </c>
      <c r="E10" s="912">
        <v>2</v>
      </c>
      <c r="F10" s="912">
        <v>2</v>
      </c>
      <c r="G10" s="912">
        <v>2</v>
      </c>
      <c r="H10" s="912">
        <v>2</v>
      </c>
      <c r="I10" s="912">
        <v>2</v>
      </c>
      <c r="J10" s="912">
        <v>2</v>
      </c>
      <c r="K10" s="912">
        <v>2</v>
      </c>
      <c r="L10" s="912">
        <v>2</v>
      </c>
      <c r="M10" s="912">
        <v>2</v>
      </c>
    </row>
    <row r="11" spans="1:13" ht="12.75">
      <c r="A11" s="913" t="s">
        <v>1054</v>
      </c>
      <c r="B11" s="912">
        <v>8</v>
      </c>
      <c r="C11" s="912">
        <v>8</v>
      </c>
      <c r="D11" s="912">
        <v>8</v>
      </c>
      <c r="E11" s="912">
        <v>8</v>
      </c>
      <c r="F11" s="912">
        <v>8</v>
      </c>
      <c r="G11" s="912">
        <v>8</v>
      </c>
      <c r="H11" s="912">
        <v>8</v>
      </c>
      <c r="I11" s="912">
        <v>8</v>
      </c>
      <c r="J11" s="912">
        <v>7</v>
      </c>
      <c r="K11" s="912">
        <v>7</v>
      </c>
      <c r="L11" s="912">
        <v>7</v>
      </c>
      <c r="M11" s="912">
        <v>7</v>
      </c>
    </row>
    <row r="12" spans="1:13" ht="12.75">
      <c r="A12" s="911" t="s">
        <v>1055</v>
      </c>
      <c r="B12" s="912">
        <v>1</v>
      </c>
      <c r="C12" s="912">
        <v>1</v>
      </c>
      <c r="D12" s="912">
        <v>1</v>
      </c>
      <c r="E12" s="912">
        <v>1</v>
      </c>
      <c r="F12" s="912">
        <v>1</v>
      </c>
      <c r="G12" s="912">
        <v>1</v>
      </c>
      <c r="H12" s="912">
        <v>1</v>
      </c>
      <c r="I12" s="912">
        <v>1</v>
      </c>
      <c r="J12" s="912">
        <v>1</v>
      </c>
      <c r="K12" s="912">
        <v>1</v>
      </c>
      <c r="L12" s="912">
        <v>1</v>
      </c>
      <c r="M12" s="912">
        <v>1</v>
      </c>
    </row>
    <row r="13" spans="1:13" ht="12.75">
      <c r="A13" s="911" t="s">
        <v>1056</v>
      </c>
      <c r="B13" s="912">
        <v>1</v>
      </c>
      <c r="C13" s="912">
        <v>1</v>
      </c>
      <c r="D13" s="912">
        <v>1</v>
      </c>
      <c r="E13" s="912">
        <v>1</v>
      </c>
      <c r="F13" s="912">
        <v>1</v>
      </c>
      <c r="G13" s="912">
        <v>1</v>
      </c>
      <c r="H13" s="912">
        <v>1</v>
      </c>
      <c r="I13" s="912">
        <v>1</v>
      </c>
      <c r="J13" s="912">
        <v>1</v>
      </c>
      <c r="K13" s="912">
        <v>1</v>
      </c>
      <c r="L13" s="912">
        <v>1</v>
      </c>
      <c r="M13" s="912">
        <v>1</v>
      </c>
    </row>
    <row r="14" spans="1:13" ht="12.75">
      <c r="A14" s="909" t="s">
        <v>1057</v>
      </c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</row>
    <row r="15" spans="1:13" ht="12.75">
      <c r="A15" s="911" t="s">
        <v>1058</v>
      </c>
      <c r="B15" s="912">
        <v>1</v>
      </c>
      <c r="C15" s="912">
        <v>1</v>
      </c>
      <c r="D15" s="912">
        <v>1</v>
      </c>
      <c r="E15" s="912">
        <v>1</v>
      </c>
      <c r="F15" s="912">
        <v>1</v>
      </c>
      <c r="G15" s="912">
        <v>1</v>
      </c>
      <c r="H15" s="912">
        <v>1</v>
      </c>
      <c r="I15" s="912">
        <v>1</v>
      </c>
      <c r="J15" s="912">
        <v>1</v>
      </c>
      <c r="K15" s="912">
        <v>1</v>
      </c>
      <c r="L15" s="912">
        <v>1</v>
      </c>
      <c r="M15" s="912">
        <v>1</v>
      </c>
    </row>
    <row r="16" spans="1:13" ht="12.75">
      <c r="A16" s="911" t="s">
        <v>1059</v>
      </c>
      <c r="B16" s="912">
        <v>1</v>
      </c>
      <c r="C16" s="912">
        <v>1</v>
      </c>
      <c r="D16" s="912">
        <v>1</v>
      </c>
      <c r="E16" s="912">
        <v>1</v>
      </c>
      <c r="F16" s="912">
        <v>1</v>
      </c>
      <c r="G16" s="912">
        <v>1</v>
      </c>
      <c r="H16" s="912">
        <v>1</v>
      </c>
      <c r="I16" s="912">
        <v>1</v>
      </c>
      <c r="J16" s="912">
        <v>1</v>
      </c>
      <c r="K16" s="912">
        <v>1</v>
      </c>
      <c r="L16" s="912">
        <v>1</v>
      </c>
      <c r="M16" s="912">
        <v>1</v>
      </c>
    </row>
    <row r="17" spans="1:13" ht="12.75">
      <c r="A17" s="911" t="s">
        <v>1060</v>
      </c>
      <c r="B17" s="912">
        <v>1</v>
      </c>
      <c r="C17" s="912">
        <v>1</v>
      </c>
      <c r="D17" s="912">
        <v>1</v>
      </c>
      <c r="E17" s="912">
        <v>1</v>
      </c>
      <c r="F17" s="912">
        <v>1</v>
      </c>
      <c r="G17" s="912">
        <v>1</v>
      </c>
      <c r="H17" s="912">
        <v>1</v>
      </c>
      <c r="I17" s="912">
        <v>1</v>
      </c>
      <c r="J17" s="912">
        <v>1</v>
      </c>
      <c r="K17" s="912">
        <v>1</v>
      </c>
      <c r="L17" s="912">
        <v>1</v>
      </c>
      <c r="M17" s="912">
        <v>1</v>
      </c>
    </row>
    <row r="18" spans="1:13" ht="12.75">
      <c r="A18" s="909" t="s">
        <v>1061</v>
      </c>
      <c r="B18" s="910"/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</row>
    <row r="19" spans="1:13" ht="12.75">
      <c r="A19" s="911" t="s">
        <v>1062</v>
      </c>
      <c r="B19" s="912">
        <v>1</v>
      </c>
      <c r="C19" s="912">
        <v>1</v>
      </c>
      <c r="D19" s="912">
        <v>1</v>
      </c>
      <c r="E19" s="912">
        <v>1</v>
      </c>
      <c r="F19" s="912">
        <v>1</v>
      </c>
      <c r="G19" s="912">
        <v>1</v>
      </c>
      <c r="H19" s="912">
        <v>1</v>
      </c>
      <c r="I19" s="912">
        <v>1</v>
      </c>
      <c r="J19" s="912">
        <v>1</v>
      </c>
      <c r="K19" s="912">
        <v>1</v>
      </c>
      <c r="L19" s="912">
        <v>1</v>
      </c>
      <c r="M19" s="912">
        <v>1</v>
      </c>
    </row>
    <row r="20" spans="1:13" ht="12.75">
      <c r="A20" s="911" t="s">
        <v>1063</v>
      </c>
      <c r="B20" s="912">
        <v>1</v>
      </c>
      <c r="C20" s="912">
        <v>1</v>
      </c>
      <c r="D20" s="912">
        <v>1</v>
      </c>
      <c r="E20" s="912">
        <v>1</v>
      </c>
      <c r="F20" s="912">
        <v>1</v>
      </c>
      <c r="G20" s="912">
        <v>1</v>
      </c>
      <c r="H20" s="912">
        <v>1</v>
      </c>
      <c r="I20" s="912">
        <v>1</v>
      </c>
      <c r="J20" s="912">
        <v>1</v>
      </c>
      <c r="K20" s="912">
        <v>1</v>
      </c>
      <c r="L20" s="912">
        <v>1</v>
      </c>
      <c r="M20" s="912">
        <v>1</v>
      </c>
    </row>
    <row r="21" spans="1:13" ht="12.75">
      <c r="A21" s="909" t="s">
        <v>1064</v>
      </c>
      <c r="B21" s="910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</row>
    <row r="22" spans="1:13" ht="12.75">
      <c r="A22" s="911" t="s">
        <v>1065</v>
      </c>
      <c r="B22" s="912">
        <v>2</v>
      </c>
      <c r="C22" s="912">
        <v>2</v>
      </c>
      <c r="D22" s="912">
        <v>2</v>
      </c>
      <c r="E22" s="912">
        <v>2</v>
      </c>
      <c r="F22" s="912">
        <v>2</v>
      </c>
      <c r="G22" s="912">
        <v>2</v>
      </c>
      <c r="H22" s="912">
        <v>2</v>
      </c>
      <c r="I22" s="912">
        <v>2</v>
      </c>
      <c r="J22" s="914">
        <v>2</v>
      </c>
      <c r="K22" s="914">
        <v>2</v>
      </c>
      <c r="L22" s="914">
        <v>2</v>
      </c>
      <c r="M22" s="914">
        <v>2</v>
      </c>
    </row>
    <row r="23" spans="1:13" ht="12.75">
      <c r="A23" s="911" t="s">
        <v>1066</v>
      </c>
      <c r="B23" s="912">
        <v>1</v>
      </c>
      <c r="C23" s="912">
        <v>1</v>
      </c>
      <c r="D23" s="912">
        <v>1</v>
      </c>
      <c r="E23" s="912">
        <v>1</v>
      </c>
      <c r="F23" s="912">
        <v>1</v>
      </c>
      <c r="G23" s="912">
        <v>1</v>
      </c>
      <c r="H23" s="912">
        <v>1</v>
      </c>
      <c r="I23" s="912">
        <v>1</v>
      </c>
      <c r="J23" s="914">
        <v>1</v>
      </c>
      <c r="K23" s="914">
        <v>1</v>
      </c>
      <c r="L23" s="914">
        <v>1</v>
      </c>
      <c r="M23" s="914">
        <v>1</v>
      </c>
    </row>
    <row r="24" spans="1:13" ht="12.75">
      <c r="A24" s="909" t="s">
        <v>584</v>
      </c>
      <c r="B24" s="910"/>
      <c r="C24" s="910"/>
      <c r="D24" s="910"/>
      <c r="E24" s="910"/>
      <c r="F24" s="910"/>
      <c r="G24" s="910"/>
      <c r="H24" s="910"/>
      <c r="I24" s="910"/>
      <c r="J24" s="910"/>
      <c r="K24" s="910"/>
      <c r="L24" s="910"/>
      <c r="M24" s="910"/>
    </row>
    <row r="25" spans="1:13" ht="12.75">
      <c r="A25" s="911" t="s">
        <v>1067</v>
      </c>
      <c r="B25" s="912">
        <v>1</v>
      </c>
      <c r="C25" s="912">
        <v>1</v>
      </c>
      <c r="D25" s="912">
        <v>1</v>
      </c>
      <c r="E25" s="912">
        <v>1</v>
      </c>
      <c r="F25" s="912">
        <v>1</v>
      </c>
      <c r="G25" s="912">
        <v>1</v>
      </c>
      <c r="H25" s="912">
        <v>1</v>
      </c>
      <c r="I25" s="912">
        <v>1</v>
      </c>
      <c r="J25" s="912">
        <v>1</v>
      </c>
      <c r="K25" s="912">
        <v>1</v>
      </c>
      <c r="L25" s="912">
        <v>1</v>
      </c>
      <c r="M25" s="912">
        <v>1</v>
      </c>
    </row>
    <row r="26" spans="1:13" ht="12.75">
      <c r="A26" s="911" t="s">
        <v>1068</v>
      </c>
      <c r="B26" s="912">
        <v>2</v>
      </c>
      <c r="C26" s="912">
        <v>2</v>
      </c>
      <c r="D26" s="912">
        <v>2</v>
      </c>
      <c r="E26" s="912">
        <v>2</v>
      </c>
      <c r="F26" s="912">
        <v>2</v>
      </c>
      <c r="G26" s="912">
        <v>2</v>
      </c>
      <c r="H26" s="912">
        <v>2</v>
      </c>
      <c r="I26" s="912">
        <v>2</v>
      </c>
      <c r="J26" s="912">
        <v>2</v>
      </c>
      <c r="K26" s="912">
        <v>2</v>
      </c>
      <c r="L26" s="912">
        <v>2</v>
      </c>
      <c r="M26" s="912">
        <v>2</v>
      </c>
    </row>
    <row r="27" spans="1:13" ht="25.5">
      <c r="A27" s="911" t="s">
        <v>1069</v>
      </c>
      <c r="B27" s="912">
        <v>0.5</v>
      </c>
      <c r="C27" s="912">
        <v>0.5</v>
      </c>
      <c r="D27" s="912">
        <v>0.5</v>
      </c>
      <c r="E27" s="912">
        <v>0.5</v>
      </c>
      <c r="F27" s="912">
        <v>0.5</v>
      </c>
      <c r="G27" s="912">
        <v>0.5</v>
      </c>
      <c r="H27" s="912">
        <v>0.5</v>
      </c>
      <c r="I27" s="912">
        <v>0.5</v>
      </c>
      <c r="J27" s="912">
        <v>0.5</v>
      </c>
      <c r="K27" s="912">
        <v>0.5</v>
      </c>
      <c r="L27" s="912">
        <v>0.5</v>
      </c>
      <c r="M27" s="912">
        <v>0.5</v>
      </c>
    </row>
    <row r="28" spans="1:13" ht="25.5">
      <c r="A28" s="911" t="s">
        <v>1070</v>
      </c>
      <c r="B28" s="912">
        <v>0.625</v>
      </c>
      <c r="C28" s="912">
        <v>0.625</v>
      </c>
      <c r="D28" s="912">
        <v>0.625</v>
      </c>
      <c r="E28" s="912">
        <v>0.625</v>
      </c>
      <c r="F28" s="912">
        <v>0.625</v>
      </c>
      <c r="G28" s="912">
        <v>0.625</v>
      </c>
      <c r="H28" s="912">
        <v>0.625</v>
      </c>
      <c r="I28" s="912">
        <v>0.625</v>
      </c>
      <c r="J28" s="912">
        <v>0.625</v>
      </c>
      <c r="K28" s="912">
        <v>0.625</v>
      </c>
      <c r="L28" s="912">
        <v>0.625</v>
      </c>
      <c r="M28" s="912">
        <v>0.625</v>
      </c>
    </row>
    <row r="29" spans="1:13" ht="12.75">
      <c r="A29" s="909" t="s">
        <v>707</v>
      </c>
      <c r="B29" s="910"/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</row>
    <row r="30" spans="1:13" ht="12.75">
      <c r="A30" s="911" t="s">
        <v>1071</v>
      </c>
      <c r="B30" s="912">
        <v>0.5</v>
      </c>
      <c r="C30" s="912">
        <v>0.5</v>
      </c>
      <c r="D30" s="912">
        <v>0.5</v>
      </c>
      <c r="E30" s="912">
        <v>0.5</v>
      </c>
      <c r="F30" s="912">
        <v>0.5</v>
      </c>
      <c r="G30" s="912">
        <v>0.5</v>
      </c>
      <c r="H30" s="912">
        <v>0.5</v>
      </c>
      <c r="I30" s="912">
        <v>0.5</v>
      </c>
      <c r="J30" s="912">
        <v>0.5</v>
      </c>
      <c r="K30" s="912">
        <v>0.5</v>
      </c>
      <c r="L30" s="912">
        <v>0.5</v>
      </c>
      <c r="M30" s="912">
        <v>0.5</v>
      </c>
    </row>
    <row r="31" spans="1:13" ht="12.75">
      <c r="A31" s="911" t="s">
        <v>1072</v>
      </c>
      <c r="B31" s="912">
        <v>3</v>
      </c>
      <c r="C31" s="912">
        <v>4</v>
      </c>
      <c r="D31" s="912">
        <v>4</v>
      </c>
      <c r="E31" s="912">
        <v>4</v>
      </c>
      <c r="F31" s="912">
        <v>4</v>
      </c>
      <c r="G31" s="912">
        <v>4</v>
      </c>
      <c r="H31" s="912">
        <v>4</v>
      </c>
      <c r="I31" s="912">
        <v>4</v>
      </c>
      <c r="J31" s="912">
        <v>4</v>
      </c>
      <c r="K31" s="912">
        <v>4</v>
      </c>
      <c r="L31" s="912">
        <v>4</v>
      </c>
      <c r="M31" s="912">
        <v>4</v>
      </c>
    </row>
    <row r="32" spans="1:13" ht="25.5">
      <c r="A32" s="915" t="s">
        <v>1073</v>
      </c>
      <c r="B32" s="916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</row>
    <row r="33" spans="1:13" ht="12.75">
      <c r="A33" s="911" t="s">
        <v>1074</v>
      </c>
      <c r="B33" s="912">
        <v>0</v>
      </c>
      <c r="C33" s="912">
        <v>3</v>
      </c>
      <c r="D33" s="912">
        <v>3</v>
      </c>
      <c r="E33" s="912">
        <v>3</v>
      </c>
      <c r="F33" s="912">
        <v>3</v>
      </c>
      <c r="G33" s="912">
        <v>3</v>
      </c>
      <c r="H33" s="912">
        <v>3</v>
      </c>
      <c r="I33" s="912">
        <v>3</v>
      </c>
      <c r="J33" s="912">
        <v>3</v>
      </c>
      <c r="K33" s="912">
        <v>3</v>
      </c>
      <c r="L33" s="912">
        <v>3</v>
      </c>
      <c r="M33" s="912">
        <v>3</v>
      </c>
    </row>
    <row r="34" spans="1:13" ht="12.75">
      <c r="A34" s="911" t="s">
        <v>1075</v>
      </c>
      <c r="B34" s="912">
        <v>0</v>
      </c>
      <c r="C34" s="912">
        <v>1</v>
      </c>
      <c r="D34" s="912">
        <v>1</v>
      </c>
      <c r="E34" s="912">
        <v>1</v>
      </c>
      <c r="F34" s="912">
        <v>1</v>
      </c>
      <c r="G34" s="912">
        <v>1</v>
      </c>
      <c r="H34" s="912">
        <v>0</v>
      </c>
      <c r="I34" s="912">
        <v>0</v>
      </c>
      <c r="J34" s="912">
        <v>1</v>
      </c>
      <c r="K34" s="912">
        <v>1</v>
      </c>
      <c r="L34" s="912">
        <v>1</v>
      </c>
      <c r="M34" s="912">
        <v>1</v>
      </c>
    </row>
    <row r="35" spans="1:13" ht="25.5">
      <c r="A35" s="915" t="s">
        <v>1076</v>
      </c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</row>
    <row r="36" spans="1:13" ht="12.75">
      <c r="A36" s="911" t="s">
        <v>1077</v>
      </c>
      <c r="B36" s="912">
        <v>1.5</v>
      </c>
      <c r="C36" s="912">
        <v>1.5</v>
      </c>
      <c r="D36" s="912">
        <v>1.5</v>
      </c>
      <c r="E36" s="912">
        <v>1.5</v>
      </c>
      <c r="F36" s="912">
        <v>1.5</v>
      </c>
      <c r="G36" s="912">
        <v>1.5</v>
      </c>
      <c r="H36" s="912">
        <v>1.5</v>
      </c>
      <c r="I36" s="912">
        <v>1.5</v>
      </c>
      <c r="J36" s="912">
        <v>1.5</v>
      </c>
      <c r="K36" s="912">
        <v>1.5</v>
      </c>
      <c r="L36" s="912">
        <v>1.5</v>
      </c>
      <c r="M36" s="912">
        <v>1.5</v>
      </c>
    </row>
    <row r="37" spans="1:13" ht="25.5">
      <c r="A37" s="917" t="s">
        <v>803</v>
      </c>
      <c r="B37" s="918">
        <f>SUM(B9:B36)</f>
        <v>43.125</v>
      </c>
      <c r="C37" s="918">
        <f aca="true" t="shared" si="0" ref="C37:M37">SUM(C9:C36)</f>
        <v>48.125</v>
      </c>
      <c r="D37" s="918">
        <f t="shared" si="0"/>
        <v>48.125</v>
      </c>
      <c r="E37" s="918">
        <f t="shared" si="0"/>
        <v>48.125</v>
      </c>
      <c r="F37" s="918">
        <f t="shared" si="0"/>
        <v>48.125</v>
      </c>
      <c r="G37" s="918">
        <f t="shared" si="0"/>
        <v>48.125</v>
      </c>
      <c r="H37" s="918">
        <f t="shared" si="0"/>
        <v>47.125</v>
      </c>
      <c r="I37" s="918">
        <f t="shared" si="0"/>
        <v>47.125</v>
      </c>
      <c r="J37" s="918">
        <f t="shared" si="0"/>
        <v>46.125</v>
      </c>
      <c r="K37" s="918">
        <f t="shared" si="0"/>
        <v>46.125</v>
      </c>
      <c r="L37" s="918">
        <f t="shared" si="0"/>
        <v>46.125</v>
      </c>
      <c r="M37" s="918">
        <f t="shared" si="0"/>
        <v>46.125</v>
      </c>
    </row>
    <row r="38" spans="1:13" ht="12.75">
      <c r="A38" s="919"/>
      <c r="B38" s="912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</row>
    <row r="39" spans="1:13" ht="12.75">
      <c r="A39" s="907" t="s">
        <v>367</v>
      </c>
      <c r="B39" s="908"/>
      <c r="C39" s="908"/>
      <c r="D39" s="908"/>
      <c r="E39" s="908"/>
      <c r="F39" s="908"/>
      <c r="G39" s="908"/>
      <c r="H39" s="908"/>
      <c r="I39" s="908"/>
      <c r="J39" s="908"/>
      <c r="K39" s="908"/>
      <c r="L39" s="908"/>
      <c r="M39" s="908"/>
    </row>
    <row r="40" spans="1:13" ht="12.75">
      <c r="A40" s="911" t="s">
        <v>1078</v>
      </c>
      <c r="B40" s="912">
        <v>23</v>
      </c>
      <c r="C40" s="912">
        <v>23</v>
      </c>
      <c r="D40" s="912">
        <v>23</v>
      </c>
      <c r="E40" s="912">
        <v>23</v>
      </c>
      <c r="F40" s="912">
        <v>23</v>
      </c>
      <c r="G40" s="912">
        <v>23</v>
      </c>
      <c r="H40" s="912">
        <v>23</v>
      </c>
      <c r="I40" s="912">
        <v>23</v>
      </c>
      <c r="J40" s="912">
        <v>23</v>
      </c>
      <c r="K40" s="912">
        <v>23</v>
      </c>
      <c r="L40" s="912">
        <v>23</v>
      </c>
      <c r="M40" s="912">
        <v>23</v>
      </c>
    </row>
    <row r="41" spans="1:13" ht="12.75">
      <c r="A41" s="911" t="s">
        <v>1079</v>
      </c>
      <c r="B41" s="912">
        <v>1</v>
      </c>
      <c r="C41" s="912">
        <v>1</v>
      </c>
      <c r="D41" s="912">
        <v>1</v>
      </c>
      <c r="E41" s="912">
        <v>2</v>
      </c>
      <c r="F41" s="912">
        <v>2</v>
      </c>
      <c r="G41" s="912">
        <v>2</v>
      </c>
      <c r="H41" s="912">
        <v>2</v>
      </c>
      <c r="I41" s="912">
        <v>2</v>
      </c>
      <c r="J41" s="912">
        <v>2</v>
      </c>
      <c r="K41" s="912">
        <v>2</v>
      </c>
      <c r="L41" s="912">
        <v>2</v>
      </c>
      <c r="M41" s="912">
        <v>2</v>
      </c>
    </row>
    <row r="42" spans="1:13" ht="12.75">
      <c r="A42" s="907" t="s">
        <v>492</v>
      </c>
      <c r="B42" s="918">
        <f>SUM(B40:B41)</f>
        <v>24</v>
      </c>
      <c r="C42" s="918">
        <f aca="true" t="shared" si="1" ref="C42:M42">SUM(C40:C41)</f>
        <v>24</v>
      </c>
      <c r="D42" s="918">
        <f t="shared" si="1"/>
        <v>24</v>
      </c>
      <c r="E42" s="918">
        <f t="shared" si="1"/>
        <v>25</v>
      </c>
      <c r="F42" s="918">
        <f t="shared" si="1"/>
        <v>25</v>
      </c>
      <c r="G42" s="918">
        <f t="shared" si="1"/>
        <v>25</v>
      </c>
      <c r="H42" s="918">
        <f t="shared" si="1"/>
        <v>25</v>
      </c>
      <c r="I42" s="918">
        <f t="shared" si="1"/>
        <v>25</v>
      </c>
      <c r="J42" s="918">
        <f t="shared" si="1"/>
        <v>25</v>
      </c>
      <c r="K42" s="918">
        <f t="shared" si="1"/>
        <v>25</v>
      </c>
      <c r="L42" s="918">
        <f t="shared" si="1"/>
        <v>25</v>
      </c>
      <c r="M42" s="918">
        <f t="shared" si="1"/>
        <v>25</v>
      </c>
    </row>
    <row r="43" spans="1:13" ht="12.75">
      <c r="A43" s="920"/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</row>
    <row r="44" spans="1:13" ht="12.75">
      <c r="A44" s="907" t="s">
        <v>435</v>
      </c>
      <c r="B44" s="908"/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</row>
    <row r="45" spans="1:13" ht="12.75">
      <c r="A45" s="915" t="s">
        <v>1080</v>
      </c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</row>
    <row r="46" spans="1:13" ht="12.75">
      <c r="A46" s="911" t="s">
        <v>1081</v>
      </c>
      <c r="B46" s="912">
        <v>1</v>
      </c>
      <c r="C46" s="912">
        <v>1</v>
      </c>
      <c r="D46" s="912">
        <v>1</v>
      </c>
      <c r="E46" s="912">
        <v>1</v>
      </c>
      <c r="F46" s="912">
        <v>1</v>
      </c>
      <c r="G46" s="912">
        <v>1</v>
      </c>
      <c r="H46" s="912">
        <v>1</v>
      </c>
      <c r="I46" s="912">
        <v>1</v>
      </c>
      <c r="J46" s="912">
        <v>1</v>
      </c>
      <c r="K46" s="912">
        <v>1</v>
      </c>
      <c r="L46" s="912">
        <v>1</v>
      </c>
      <c r="M46" s="912">
        <v>1</v>
      </c>
    </row>
    <row r="47" spans="1:13" ht="12.75">
      <c r="A47" s="922" t="s">
        <v>1082</v>
      </c>
      <c r="B47" s="912">
        <v>1</v>
      </c>
      <c r="C47" s="912">
        <v>1</v>
      </c>
      <c r="D47" s="912">
        <v>1</v>
      </c>
      <c r="E47" s="912">
        <v>1</v>
      </c>
      <c r="F47" s="912">
        <v>1</v>
      </c>
      <c r="G47" s="912">
        <v>1</v>
      </c>
      <c r="H47" s="912">
        <v>1</v>
      </c>
      <c r="I47" s="912">
        <v>1</v>
      </c>
      <c r="J47" s="912">
        <v>1</v>
      </c>
      <c r="K47" s="912">
        <v>1</v>
      </c>
      <c r="L47" s="912">
        <v>1</v>
      </c>
      <c r="M47" s="912">
        <v>1</v>
      </c>
    </row>
    <row r="48" spans="1:13" ht="12.75">
      <c r="A48" s="915" t="s">
        <v>1083</v>
      </c>
      <c r="B48" s="916"/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</row>
    <row r="49" spans="1:13" ht="12.75">
      <c r="A49" s="922" t="s">
        <v>1084</v>
      </c>
      <c r="B49" s="912">
        <v>12</v>
      </c>
      <c r="C49" s="912">
        <v>12</v>
      </c>
      <c r="D49" s="912">
        <v>12</v>
      </c>
      <c r="E49" s="912">
        <v>12</v>
      </c>
      <c r="F49" s="912">
        <v>12</v>
      </c>
      <c r="G49" s="912">
        <v>12</v>
      </c>
      <c r="H49" s="912">
        <v>12</v>
      </c>
      <c r="I49" s="912">
        <v>12</v>
      </c>
      <c r="J49" s="912">
        <v>12</v>
      </c>
      <c r="K49" s="912">
        <v>12</v>
      </c>
      <c r="L49" s="912">
        <v>12</v>
      </c>
      <c r="M49" s="912">
        <v>12</v>
      </c>
    </row>
    <row r="50" spans="1:13" ht="12.75">
      <c r="A50" s="915" t="s">
        <v>1085</v>
      </c>
      <c r="B50" s="916"/>
      <c r="C50" s="916"/>
      <c r="D50" s="916"/>
      <c r="E50" s="916"/>
      <c r="F50" s="916"/>
      <c r="G50" s="916"/>
      <c r="H50" s="916"/>
      <c r="I50" s="916"/>
      <c r="J50" s="916"/>
      <c r="K50" s="916"/>
      <c r="L50" s="916"/>
      <c r="M50" s="916"/>
    </row>
    <row r="51" spans="1:13" ht="25.5">
      <c r="A51" s="911" t="s">
        <v>1086</v>
      </c>
      <c r="B51" s="912">
        <v>1</v>
      </c>
      <c r="C51" s="912">
        <v>1</v>
      </c>
      <c r="D51" s="912">
        <v>1</v>
      </c>
      <c r="E51" s="912">
        <v>1</v>
      </c>
      <c r="F51" s="912">
        <v>1</v>
      </c>
      <c r="G51" s="912">
        <v>1</v>
      </c>
      <c r="H51" s="912">
        <v>1</v>
      </c>
      <c r="I51" s="912">
        <v>1</v>
      </c>
      <c r="J51" s="912">
        <v>1</v>
      </c>
      <c r="K51" s="912">
        <v>1</v>
      </c>
      <c r="L51" s="912">
        <v>1</v>
      </c>
      <c r="M51" s="912">
        <v>1</v>
      </c>
    </row>
    <row r="52" spans="1:13" ht="12.75">
      <c r="A52" s="915" t="s">
        <v>1087</v>
      </c>
      <c r="B52" s="916"/>
      <c r="C52" s="916"/>
      <c r="D52" s="916"/>
      <c r="E52" s="916"/>
      <c r="F52" s="916"/>
      <c r="G52" s="916"/>
      <c r="H52" s="916"/>
      <c r="I52" s="916"/>
      <c r="J52" s="916"/>
      <c r="K52" s="916"/>
      <c r="L52" s="916"/>
      <c r="M52" s="916"/>
    </row>
    <row r="53" spans="1:13" ht="25.5">
      <c r="A53" s="911" t="s">
        <v>1088</v>
      </c>
      <c r="B53" s="912">
        <v>1</v>
      </c>
      <c r="C53" s="912">
        <v>1</v>
      </c>
      <c r="D53" s="912">
        <v>1</v>
      </c>
      <c r="E53" s="912">
        <v>1</v>
      </c>
      <c r="F53" s="912">
        <v>1</v>
      </c>
      <c r="G53" s="912">
        <v>1</v>
      </c>
      <c r="H53" s="912">
        <v>1</v>
      </c>
      <c r="I53" s="912">
        <v>1</v>
      </c>
      <c r="J53" s="912">
        <v>1</v>
      </c>
      <c r="K53" s="912">
        <v>1</v>
      </c>
      <c r="L53" s="912">
        <v>1</v>
      </c>
      <c r="M53" s="912">
        <v>1</v>
      </c>
    </row>
    <row r="54" spans="1:13" ht="12.75">
      <c r="A54" s="915" t="s">
        <v>1089</v>
      </c>
      <c r="B54" s="916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</row>
    <row r="55" spans="1:13" ht="12.75">
      <c r="A55" s="911" t="s">
        <v>1090</v>
      </c>
      <c r="B55" s="912">
        <v>1</v>
      </c>
      <c r="C55" s="912">
        <v>1</v>
      </c>
      <c r="D55" s="912">
        <v>1</v>
      </c>
      <c r="E55" s="912">
        <v>1</v>
      </c>
      <c r="F55" s="912">
        <v>1</v>
      </c>
      <c r="G55" s="912">
        <v>1</v>
      </c>
      <c r="H55" s="912">
        <v>1</v>
      </c>
      <c r="I55" s="912">
        <v>1</v>
      </c>
      <c r="J55" s="912">
        <v>1</v>
      </c>
      <c r="K55" s="912">
        <v>1</v>
      </c>
      <c r="L55" s="912">
        <v>1</v>
      </c>
      <c r="M55" s="912">
        <v>1</v>
      </c>
    </row>
    <row r="56" spans="1:13" ht="12.75">
      <c r="A56" s="911" t="s">
        <v>1091</v>
      </c>
      <c r="B56" s="912">
        <v>1</v>
      </c>
      <c r="C56" s="912">
        <v>1</v>
      </c>
      <c r="D56" s="912">
        <v>1</v>
      </c>
      <c r="E56" s="912">
        <v>1</v>
      </c>
      <c r="F56" s="912">
        <v>1</v>
      </c>
      <c r="G56" s="912">
        <v>1</v>
      </c>
      <c r="H56" s="912">
        <v>1</v>
      </c>
      <c r="I56" s="912">
        <v>1</v>
      </c>
      <c r="J56" s="912">
        <v>1</v>
      </c>
      <c r="K56" s="912">
        <v>1</v>
      </c>
      <c r="L56" s="912">
        <v>1</v>
      </c>
      <c r="M56" s="912">
        <v>1</v>
      </c>
    </row>
    <row r="57" spans="1:13" ht="12.75">
      <c r="A57" s="915" t="s">
        <v>1092</v>
      </c>
      <c r="B57" s="916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</row>
    <row r="58" spans="1:13" ht="12.75">
      <c r="A58" s="923" t="s">
        <v>1093</v>
      </c>
      <c r="B58" s="912">
        <v>1</v>
      </c>
      <c r="C58" s="912">
        <v>1</v>
      </c>
      <c r="D58" s="912">
        <v>1</v>
      </c>
      <c r="E58" s="912">
        <v>1</v>
      </c>
      <c r="F58" s="912">
        <v>1</v>
      </c>
      <c r="G58" s="912">
        <v>1</v>
      </c>
      <c r="H58" s="912">
        <v>1</v>
      </c>
      <c r="I58" s="912">
        <v>1</v>
      </c>
      <c r="J58" s="912">
        <v>1</v>
      </c>
      <c r="K58" s="912">
        <v>1</v>
      </c>
      <c r="L58" s="912">
        <v>1</v>
      </c>
      <c r="M58" s="912">
        <v>1</v>
      </c>
    </row>
    <row r="59" spans="1:13" ht="12.75">
      <c r="A59" s="915" t="s">
        <v>1094</v>
      </c>
      <c r="B59" s="916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</row>
    <row r="60" spans="1:13" ht="12.75">
      <c r="A60" s="923" t="s">
        <v>1095</v>
      </c>
      <c r="B60" s="924">
        <v>5</v>
      </c>
      <c r="C60" s="924">
        <v>5</v>
      </c>
      <c r="D60" s="924">
        <v>5</v>
      </c>
      <c r="E60" s="924">
        <v>5</v>
      </c>
      <c r="F60" s="924">
        <v>5</v>
      </c>
      <c r="G60" s="924">
        <v>5</v>
      </c>
      <c r="H60" s="912">
        <v>5</v>
      </c>
      <c r="I60" s="912">
        <v>5</v>
      </c>
      <c r="J60" s="912">
        <v>5</v>
      </c>
      <c r="K60" s="912">
        <v>5</v>
      </c>
      <c r="L60" s="912">
        <v>5</v>
      </c>
      <c r="M60" s="912">
        <v>5</v>
      </c>
    </row>
    <row r="61" spans="1:13" ht="38.25">
      <c r="A61" s="915" t="s">
        <v>1096</v>
      </c>
      <c r="B61" s="916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</row>
    <row r="62" spans="1:13" ht="12.75">
      <c r="A62" s="923" t="s">
        <v>1097</v>
      </c>
      <c r="B62" s="924">
        <v>0.5</v>
      </c>
      <c r="C62" s="924">
        <v>0.5</v>
      </c>
      <c r="D62" s="924">
        <v>0.5</v>
      </c>
      <c r="E62" s="924">
        <v>0.5</v>
      </c>
      <c r="F62" s="924">
        <v>0.5</v>
      </c>
      <c r="G62" s="924">
        <v>0.5</v>
      </c>
      <c r="H62" s="912">
        <v>0.5</v>
      </c>
      <c r="I62" s="912">
        <v>0.5</v>
      </c>
      <c r="J62" s="912">
        <v>0.5</v>
      </c>
      <c r="K62" s="912">
        <v>0.5</v>
      </c>
      <c r="L62" s="912">
        <v>0.5</v>
      </c>
      <c r="M62" s="912">
        <v>0.5</v>
      </c>
    </row>
    <row r="63" spans="1:13" ht="12.75">
      <c r="A63" s="923" t="s">
        <v>1098</v>
      </c>
      <c r="B63" s="924">
        <v>0.5</v>
      </c>
      <c r="C63" s="924">
        <v>0.5</v>
      </c>
      <c r="D63" s="924">
        <v>0.5</v>
      </c>
      <c r="E63" s="924">
        <v>0.5</v>
      </c>
      <c r="F63" s="924">
        <v>0.5</v>
      </c>
      <c r="G63" s="924">
        <v>0.5</v>
      </c>
      <c r="H63" s="912">
        <v>0.5</v>
      </c>
      <c r="I63" s="912">
        <v>0.5</v>
      </c>
      <c r="J63" s="912">
        <v>0.5</v>
      </c>
      <c r="K63" s="912">
        <v>0.5</v>
      </c>
      <c r="L63" s="912">
        <v>0.5</v>
      </c>
      <c r="M63" s="912">
        <v>0.5</v>
      </c>
    </row>
    <row r="64" spans="1:13" ht="12.75">
      <c r="A64" s="911" t="s">
        <v>1067</v>
      </c>
      <c r="B64" s="924">
        <v>1</v>
      </c>
      <c r="C64" s="924">
        <v>1</v>
      </c>
      <c r="D64" s="924">
        <v>1</v>
      </c>
      <c r="E64" s="924">
        <v>1</v>
      </c>
      <c r="F64" s="924">
        <v>1</v>
      </c>
      <c r="G64" s="924">
        <v>1</v>
      </c>
      <c r="H64" s="924">
        <v>1</v>
      </c>
      <c r="I64" s="924">
        <v>1</v>
      </c>
      <c r="J64" s="924">
        <v>1</v>
      </c>
      <c r="K64" s="924">
        <v>1</v>
      </c>
      <c r="L64" s="924">
        <v>1</v>
      </c>
      <c r="M64" s="924">
        <v>1</v>
      </c>
    </row>
    <row r="65" spans="1:13" ht="12.75">
      <c r="A65" s="911" t="s">
        <v>1099</v>
      </c>
      <c r="B65" s="924">
        <v>1</v>
      </c>
      <c r="C65" s="924">
        <v>2</v>
      </c>
      <c r="D65" s="924">
        <v>2</v>
      </c>
      <c r="E65" s="924">
        <v>2</v>
      </c>
      <c r="F65" s="924">
        <v>2</v>
      </c>
      <c r="G65" s="924">
        <v>2</v>
      </c>
      <c r="H65" s="924">
        <v>2</v>
      </c>
      <c r="I65" s="924">
        <v>2</v>
      </c>
      <c r="J65" s="924">
        <v>2</v>
      </c>
      <c r="K65" s="924">
        <v>2</v>
      </c>
      <c r="L65" s="924">
        <v>2</v>
      </c>
      <c r="M65" s="924">
        <v>2</v>
      </c>
    </row>
    <row r="66" spans="1:13" ht="12.75">
      <c r="A66" s="911" t="s">
        <v>1100</v>
      </c>
      <c r="B66" s="924">
        <v>1</v>
      </c>
      <c r="C66" s="924">
        <v>1</v>
      </c>
      <c r="D66" s="924">
        <v>1</v>
      </c>
      <c r="E66" s="924">
        <v>1</v>
      </c>
      <c r="F66" s="924">
        <v>1</v>
      </c>
      <c r="G66" s="924">
        <v>1</v>
      </c>
      <c r="H66" s="924">
        <v>1</v>
      </c>
      <c r="I66" s="924">
        <v>1</v>
      </c>
      <c r="J66" s="924">
        <v>1</v>
      </c>
      <c r="K66" s="924">
        <v>1</v>
      </c>
      <c r="L66" s="924">
        <v>1</v>
      </c>
      <c r="M66" s="924">
        <v>1</v>
      </c>
    </row>
    <row r="67" spans="1:13" ht="12.75">
      <c r="A67" s="911" t="s">
        <v>1101</v>
      </c>
      <c r="B67" s="924">
        <v>0.5</v>
      </c>
      <c r="C67" s="924">
        <v>0.5</v>
      </c>
      <c r="D67" s="924">
        <v>0.5</v>
      </c>
      <c r="E67" s="924">
        <v>0.5</v>
      </c>
      <c r="F67" s="924">
        <v>0.5</v>
      </c>
      <c r="G67" s="924">
        <v>0.5</v>
      </c>
      <c r="H67" s="924">
        <v>0.5</v>
      </c>
      <c r="I67" s="924">
        <v>0.5</v>
      </c>
      <c r="J67" s="924">
        <v>0.5</v>
      </c>
      <c r="K67" s="924">
        <v>0.5</v>
      </c>
      <c r="L67" s="924">
        <v>0.5</v>
      </c>
      <c r="M67" s="924">
        <v>0.5</v>
      </c>
    </row>
    <row r="68" spans="1:13" ht="12.75">
      <c r="A68" s="923" t="s">
        <v>1102</v>
      </c>
      <c r="B68" s="924">
        <v>0</v>
      </c>
      <c r="C68" s="924">
        <v>1</v>
      </c>
      <c r="D68" s="924">
        <v>1</v>
      </c>
      <c r="E68" s="924">
        <v>1</v>
      </c>
      <c r="F68" s="924">
        <v>1</v>
      </c>
      <c r="G68" s="924">
        <v>1</v>
      </c>
      <c r="H68" s="924">
        <v>1</v>
      </c>
      <c r="I68" s="924">
        <v>1</v>
      </c>
      <c r="J68" s="924">
        <v>1</v>
      </c>
      <c r="K68" s="924">
        <v>1</v>
      </c>
      <c r="L68" s="924">
        <v>1</v>
      </c>
      <c r="M68" s="924">
        <v>1</v>
      </c>
    </row>
    <row r="69" spans="1:13" ht="25.5">
      <c r="A69" s="915" t="s">
        <v>1103</v>
      </c>
      <c r="B69" s="916"/>
      <c r="C69" s="916"/>
      <c r="D69" s="916"/>
      <c r="E69" s="916"/>
      <c r="F69" s="916"/>
      <c r="G69" s="916"/>
      <c r="H69" s="916"/>
      <c r="I69" s="916"/>
      <c r="J69" s="916"/>
      <c r="K69" s="916"/>
      <c r="L69" s="916"/>
      <c r="M69" s="916"/>
    </row>
    <row r="70" spans="1:13" ht="12.75">
      <c r="A70" s="923" t="s">
        <v>1104</v>
      </c>
      <c r="B70" s="924">
        <v>0</v>
      </c>
      <c r="C70" s="924">
        <v>0</v>
      </c>
      <c r="D70" s="924">
        <v>0</v>
      </c>
      <c r="E70" s="924">
        <v>2</v>
      </c>
      <c r="F70" s="924">
        <v>2</v>
      </c>
      <c r="G70" s="924">
        <v>2</v>
      </c>
      <c r="H70" s="924">
        <v>2</v>
      </c>
      <c r="I70" s="924">
        <v>2</v>
      </c>
      <c r="J70" s="924">
        <v>2</v>
      </c>
      <c r="K70" s="924">
        <v>2</v>
      </c>
      <c r="L70" s="924">
        <v>2</v>
      </c>
      <c r="M70" s="924">
        <v>2</v>
      </c>
    </row>
    <row r="71" spans="1:13" ht="12.75">
      <c r="A71" s="923" t="s">
        <v>1105</v>
      </c>
      <c r="B71" s="924">
        <v>0</v>
      </c>
      <c r="C71" s="924">
        <v>0</v>
      </c>
      <c r="D71" s="924">
        <v>0</v>
      </c>
      <c r="E71" s="924">
        <v>1</v>
      </c>
      <c r="F71" s="924">
        <v>1</v>
      </c>
      <c r="G71" s="924">
        <v>1</v>
      </c>
      <c r="H71" s="924">
        <v>1</v>
      </c>
      <c r="I71" s="924">
        <v>1</v>
      </c>
      <c r="J71" s="924">
        <v>1</v>
      </c>
      <c r="K71" s="924">
        <v>1</v>
      </c>
      <c r="L71" s="924">
        <v>1</v>
      </c>
      <c r="M71" s="924">
        <v>1</v>
      </c>
    </row>
    <row r="72" spans="1:13" ht="12.75">
      <c r="A72" s="923" t="s">
        <v>1106</v>
      </c>
      <c r="B72" s="924">
        <v>0</v>
      </c>
      <c r="C72" s="924">
        <v>0</v>
      </c>
      <c r="D72" s="924">
        <v>0</v>
      </c>
      <c r="E72" s="924">
        <v>1</v>
      </c>
      <c r="F72" s="924">
        <v>1</v>
      </c>
      <c r="G72" s="924">
        <v>1</v>
      </c>
      <c r="H72" s="924">
        <v>1</v>
      </c>
      <c r="I72" s="924">
        <v>1</v>
      </c>
      <c r="J72" s="924">
        <v>1</v>
      </c>
      <c r="K72" s="924">
        <v>1</v>
      </c>
      <c r="L72" s="924">
        <v>1</v>
      </c>
      <c r="M72" s="924">
        <v>1</v>
      </c>
    </row>
    <row r="73" spans="1:13" ht="12.75">
      <c r="A73" s="923" t="s">
        <v>1107</v>
      </c>
      <c r="B73" s="924">
        <v>0</v>
      </c>
      <c r="C73" s="924">
        <v>0</v>
      </c>
      <c r="D73" s="924">
        <v>0</v>
      </c>
      <c r="E73" s="924">
        <v>1</v>
      </c>
      <c r="F73" s="924">
        <v>1</v>
      </c>
      <c r="G73" s="924">
        <v>1</v>
      </c>
      <c r="H73" s="924">
        <v>1</v>
      </c>
      <c r="I73" s="924">
        <v>1</v>
      </c>
      <c r="J73" s="924">
        <v>1</v>
      </c>
      <c r="K73" s="924">
        <v>1</v>
      </c>
      <c r="L73" s="924">
        <v>1</v>
      </c>
      <c r="M73" s="924">
        <v>1</v>
      </c>
    </row>
    <row r="74" spans="1:13" ht="25.5">
      <c r="A74" s="915" t="s">
        <v>1108</v>
      </c>
      <c r="B74" s="916"/>
      <c r="C74" s="916"/>
      <c r="D74" s="916"/>
      <c r="E74" s="916"/>
      <c r="F74" s="916"/>
      <c r="G74" s="916"/>
      <c r="H74" s="916"/>
      <c r="I74" s="916"/>
      <c r="J74" s="916"/>
      <c r="K74" s="916"/>
      <c r="L74" s="916"/>
      <c r="M74" s="916"/>
    </row>
    <row r="75" spans="1:13" ht="12.75">
      <c r="A75" s="923" t="s">
        <v>1109</v>
      </c>
      <c r="B75" s="924">
        <v>0</v>
      </c>
      <c r="C75" s="924">
        <v>0</v>
      </c>
      <c r="D75" s="924">
        <v>1</v>
      </c>
      <c r="E75" s="924">
        <v>1</v>
      </c>
      <c r="F75" s="924">
        <v>1</v>
      </c>
      <c r="G75" s="924">
        <v>1</v>
      </c>
      <c r="H75" s="924">
        <v>1</v>
      </c>
      <c r="I75" s="924">
        <v>1</v>
      </c>
      <c r="J75" s="924">
        <v>1</v>
      </c>
      <c r="K75" s="924">
        <v>1</v>
      </c>
      <c r="L75" s="924">
        <v>1</v>
      </c>
      <c r="M75" s="924">
        <v>1</v>
      </c>
    </row>
    <row r="76" spans="1:13" ht="12.75">
      <c r="A76" s="907" t="s">
        <v>380</v>
      </c>
      <c r="B76" s="918">
        <f>SUM(B46:B75)</f>
        <v>28.5</v>
      </c>
      <c r="C76" s="918">
        <f aca="true" t="shared" si="2" ref="C76:M76">SUM(C46:C75)</f>
        <v>30.5</v>
      </c>
      <c r="D76" s="918">
        <f t="shared" si="2"/>
        <v>31.5</v>
      </c>
      <c r="E76" s="918">
        <f t="shared" si="2"/>
        <v>36.5</v>
      </c>
      <c r="F76" s="918">
        <f t="shared" si="2"/>
        <v>36.5</v>
      </c>
      <c r="G76" s="918">
        <f t="shared" si="2"/>
        <v>36.5</v>
      </c>
      <c r="H76" s="918">
        <f t="shared" si="2"/>
        <v>36.5</v>
      </c>
      <c r="I76" s="918">
        <f t="shared" si="2"/>
        <v>36.5</v>
      </c>
      <c r="J76" s="918">
        <f t="shared" si="2"/>
        <v>36.5</v>
      </c>
      <c r="K76" s="918">
        <f t="shared" si="2"/>
        <v>36.5</v>
      </c>
      <c r="L76" s="918">
        <f t="shared" si="2"/>
        <v>36.5</v>
      </c>
      <c r="M76" s="918">
        <f t="shared" si="2"/>
        <v>36.5</v>
      </c>
    </row>
    <row r="77" spans="1:13" ht="12.75">
      <c r="A77" s="919"/>
      <c r="B77" s="912"/>
      <c r="C77" s="912"/>
      <c r="D77" s="912"/>
      <c r="E77" s="912"/>
      <c r="F77" s="912"/>
      <c r="G77" s="912"/>
      <c r="H77" s="912"/>
      <c r="I77" s="912"/>
      <c r="J77" s="912"/>
      <c r="K77" s="912"/>
      <c r="L77" s="912"/>
      <c r="M77" s="912"/>
    </row>
    <row r="78" spans="1:13" ht="12.75">
      <c r="A78" s="907" t="s">
        <v>860</v>
      </c>
      <c r="B78" s="908"/>
      <c r="C78" s="908"/>
      <c r="D78" s="908"/>
      <c r="E78" s="908"/>
      <c r="F78" s="908"/>
      <c r="G78" s="908"/>
      <c r="H78" s="908"/>
      <c r="I78" s="908"/>
      <c r="J78" s="908"/>
      <c r="K78" s="908"/>
      <c r="L78" s="908"/>
      <c r="M78" s="908"/>
    </row>
    <row r="79" spans="1:13" ht="12.75">
      <c r="A79" s="911" t="s">
        <v>1110</v>
      </c>
      <c r="B79" s="912">
        <v>1</v>
      </c>
      <c r="C79" s="912">
        <v>1</v>
      </c>
      <c r="D79" s="912">
        <v>1</v>
      </c>
      <c r="E79" s="912">
        <v>1</v>
      </c>
      <c r="F79" s="912">
        <v>1</v>
      </c>
      <c r="G79" s="912">
        <v>1</v>
      </c>
      <c r="H79" s="912">
        <v>1</v>
      </c>
      <c r="I79" s="912">
        <v>1</v>
      </c>
      <c r="J79" s="912">
        <v>1</v>
      </c>
      <c r="K79" s="912">
        <v>1</v>
      </c>
      <c r="L79" s="912">
        <v>1</v>
      </c>
      <c r="M79" s="912">
        <v>1</v>
      </c>
    </row>
    <row r="80" spans="1:13" ht="12.75">
      <c r="A80" s="911" t="s">
        <v>1111</v>
      </c>
      <c r="B80" s="912">
        <v>1</v>
      </c>
      <c r="C80" s="912">
        <v>1</v>
      </c>
      <c r="D80" s="912">
        <v>1</v>
      </c>
      <c r="E80" s="912">
        <v>1</v>
      </c>
      <c r="F80" s="912">
        <v>1</v>
      </c>
      <c r="G80" s="912">
        <v>1</v>
      </c>
      <c r="H80" s="912">
        <v>1</v>
      </c>
      <c r="I80" s="912">
        <v>1</v>
      </c>
      <c r="J80" s="912">
        <v>1</v>
      </c>
      <c r="K80" s="912">
        <v>1</v>
      </c>
      <c r="L80" s="912">
        <v>1</v>
      </c>
      <c r="M80" s="912">
        <v>1</v>
      </c>
    </row>
    <row r="81" spans="1:13" ht="12.75">
      <c r="A81" s="911" t="s">
        <v>1112</v>
      </c>
      <c r="B81" s="912">
        <v>1</v>
      </c>
      <c r="C81" s="912">
        <v>1</v>
      </c>
      <c r="D81" s="912">
        <v>1</v>
      </c>
      <c r="E81" s="912">
        <v>1</v>
      </c>
      <c r="F81" s="912">
        <v>1</v>
      </c>
      <c r="G81" s="912">
        <v>1</v>
      </c>
      <c r="H81" s="912">
        <v>1</v>
      </c>
      <c r="I81" s="912">
        <v>1</v>
      </c>
      <c r="J81" s="912">
        <v>1</v>
      </c>
      <c r="K81" s="912">
        <v>1</v>
      </c>
      <c r="L81" s="912">
        <v>1</v>
      </c>
      <c r="M81" s="912">
        <v>1</v>
      </c>
    </row>
    <row r="82" spans="1:13" ht="12.75">
      <c r="A82" s="911" t="s">
        <v>1113</v>
      </c>
      <c r="B82" s="912">
        <v>1</v>
      </c>
      <c r="C82" s="912">
        <v>1</v>
      </c>
      <c r="D82" s="912">
        <v>1</v>
      </c>
      <c r="E82" s="912">
        <v>1</v>
      </c>
      <c r="F82" s="912">
        <v>1</v>
      </c>
      <c r="G82" s="912">
        <v>1</v>
      </c>
      <c r="H82" s="912">
        <v>1</v>
      </c>
      <c r="I82" s="912">
        <v>1</v>
      </c>
      <c r="J82" s="912">
        <v>1</v>
      </c>
      <c r="K82" s="912">
        <v>1</v>
      </c>
      <c r="L82" s="912">
        <v>1</v>
      </c>
      <c r="M82" s="912">
        <v>1</v>
      </c>
    </row>
    <row r="83" spans="1:13" ht="12.75">
      <c r="A83" s="907" t="s">
        <v>861</v>
      </c>
      <c r="B83" s="918">
        <f aca="true" t="shared" si="3" ref="B83:M83">SUM(B79:B82)</f>
        <v>4</v>
      </c>
      <c r="C83" s="918">
        <f t="shared" si="3"/>
        <v>4</v>
      </c>
      <c r="D83" s="918">
        <f t="shared" si="3"/>
        <v>4</v>
      </c>
      <c r="E83" s="918">
        <f t="shared" si="3"/>
        <v>4</v>
      </c>
      <c r="F83" s="918">
        <f t="shared" si="3"/>
        <v>4</v>
      </c>
      <c r="G83" s="918">
        <f t="shared" si="3"/>
        <v>4</v>
      </c>
      <c r="H83" s="918">
        <f t="shared" si="3"/>
        <v>4</v>
      </c>
      <c r="I83" s="918">
        <f t="shared" si="3"/>
        <v>4</v>
      </c>
      <c r="J83" s="918">
        <f t="shared" si="3"/>
        <v>4</v>
      </c>
      <c r="K83" s="918">
        <f t="shared" si="3"/>
        <v>4</v>
      </c>
      <c r="L83" s="918">
        <f t="shared" si="3"/>
        <v>4</v>
      </c>
      <c r="M83" s="918">
        <f t="shared" si="3"/>
        <v>4</v>
      </c>
    </row>
    <row r="84" spans="1:13" ht="25.5">
      <c r="A84" s="925" t="s">
        <v>1114</v>
      </c>
      <c r="B84" s="926">
        <f aca="true" t="shared" si="4" ref="B84:M84">SUM(B83,B76,B42,B37)</f>
        <v>99.625</v>
      </c>
      <c r="C84" s="926">
        <f t="shared" si="4"/>
        <v>106.625</v>
      </c>
      <c r="D84" s="926">
        <f t="shared" si="4"/>
        <v>107.625</v>
      </c>
      <c r="E84" s="926">
        <f t="shared" si="4"/>
        <v>113.625</v>
      </c>
      <c r="F84" s="926">
        <f t="shared" si="4"/>
        <v>113.625</v>
      </c>
      <c r="G84" s="926">
        <f t="shared" si="4"/>
        <v>113.625</v>
      </c>
      <c r="H84" s="926">
        <f t="shared" si="4"/>
        <v>112.625</v>
      </c>
      <c r="I84" s="926">
        <f t="shared" si="4"/>
        <v>112.625</v>
      </c>
      <c r="J84" s="926">
        <f t="shared" si="4"/>
        <v>111.625</v>
      </c>
      <c r="K84" s="926">
        <f t="shared" si="4"/>
        <v>111.625</v>
      </c>
      <c r="L84" s="926">
        <f t="shared" si="4"/>
        <v>111.625</v>
      </c>
      <c r="M84" s="926">
        <f t="shared" si="4"/>
        <v>111.625</v>
      </c>
    </row>
    <row r="85" spans="1:13" ht="12.75">
      <c r="A85" s="919"/>
      <c r="B85" s="912"/>
      <c r="C85" s="912"/>
      <c r="D85" s="912"/>
      <c r="E85" s="912"/>
      <c r="F85" s="912"/>
      <c r="G85" s="912"/>
      <c r="H85" s="912"/>
      <c r="I85" s="912"/>
      <c r="J85" s="912"/>
      <c r="K85" s="912"/>
      <c r="L85" s="912"/>
      <c r="M85" s="912"/>
    </row>
    <row r="86" spans="1:13" ht="12.75">
      <c r="A86" s="907" t="s">
        <v>1115</v>
      </c>
      <c r="B86" s="908"/>
      <c r="C86" s="908"/>
      <c r="D86" s="908"/>
      <c r="E86" s="908"/>
      <c r="F86" s="908"/>
      <c r="G86" s="908"/>
      <c r="H86" s="908"/>
      <c r="I86" s="908"/>
      <c r="J86" s="908"/>
      <c r="K86" s="908"/>
      <c r="L86" s="908"/>
      <c r="M86" s="908"/>
    </row>
    <row r="87" spans="1:13" ht="25.5">
      <c r="A87" s="909" t="s">
        <v>1116</v>
      </c>
      <c r="B87" s="910"/>
      <c r="C87" s="910"/>
      <c r="D87" s="910"/>
      <c r="E87" s="910"/>
      <c r="F87" s="910"/>
      <c r="G87" s="910"/>
      <c r="H87" s="910"/>
      <c r="I87" s="910"/>
      <c r="J87" s="910"/>
      <c r="K87" s="910"/>
      <c r="L87" s="910"/>
      <c r="M87" s="910"/>
    </row>
    <row r="88" spans="1:13" ht="12.75">
      <c r="A88" s="927" t="s">
        <v>1117</v>
      </c>
      <c r="B88" s="928">
        <v>12</v>
      </c>
      <c r="C88" s="928">
        <v>12</v>
      </c>
      <c r="D88" s="928">
        <v>0</v>
      </c>
      <c r="E88" s="928">
        <v>0</v>
      </c>
      <c r="F88" s="928">
        <v>0</v>
      </c>
      <c r="G88" s="928">
        <v>0</v>
      </c>
      <c r="H88" s="928">
        <v>0</v>
      </c>
      <c r="I88" s="928">
        <v>0</v>
      </c>
      <c r="J88" s="928">
        <v>0</v>
      </c>
      <c r="K88" s="928">
        <v>0</v>
      </c>
      <c r="L88" s="928">
        <v>0</v>
      </c>
      <c r="M88" s="928">
        <v>0</v>
      </c>
    </row>
    <row r="89" spans="1:13" ht="12.75">
      <c r="A89" s="927" t="s">
        <v>1118</v>
      </c>
      <c r="B89" s="928">
        <v>15</v>
      </c>
      <c r="C89" s="928">
        <v>15</v>
      </c>
      <c r="D89" s="928">
        <v>0</v>
      </c>
      <c r="E89" s="928">
        <v>0</v>
      </c>
      <c r="F89" s="928">
        <v>0</v>
      </c>
      <c r="G89" s="928">
        <v>0</v>
      </c>
      <c r="H89" s="928">
        <v>0</v>
      </c>
      <c r="I89" s="928">
        <v>0</v>
      </c>
      <c r="J89" s="928">
        <v>0</v>
      </c>
      <c r="K89" s="928">
        <v>0</v>
      </c>
      <c r="L89" s="928">
        <v>0</v>
      </c>
      <c r="M89" s="928">
        <v>0</v>
      </c>
    </row>
    <row r="90" spans="1:13" ht="12.75">
      <c r="A90" s="927" t="s">
        <v>1119</v>
      </c>
      <c r="B90" s="928">
        <v>15</v>
      </c>
      <c r="C90" s="928">
        <v>15</v>
      </c>
      <c r="D90" s="928">
        <v>0</v>
      </c>
      <c r="E90" s="928">
        <v>0</v>
      </c>
      <c r="F90" s="928">
        <v>0</v>
      </c>
      <c r="G90" s="928">
        <v>0</v>
      </c>
      <c r="H90" s="928">
        <v>0</v>
      </c>
      <c r="I90" s="928">
        <v>0</v>
      </c>
      <c r="J90" s="928">
        <v>0</v>
      </c>
      <c r="K90" s="928">
        <v>0</v>
      </c>
      <c r="L90" s="928">
        <v>0</v>
      </c>
      <c r="M90" s="928">
        <v>0</v>
      </c>
    </row>
    <row r="91" spans="1:13" ht="25.5">
      <c r="A91" s="909" t="s">
        <v>1120</v>
      </c>
      <c r="B91" s="910"/>
      <c r="C91" s="910"/>
      <c r="D91" s="910"/>
      <c r="E91" s="910"/>
      <c r="F91" s="910"/>
      <c r="G91" s="910"/>
      <c r="H91" s="910"/>
      <c r="I91" s="910"/>
      <c r="J91" s="910"/>
      <c r="K91" s="910"/>
      <c r="L91" s="910"/>
      <c r="M91" s="910"/>
    </row>
    <row r="92" spans="1:13" ht="12.75">
      <c r="A92" s="927" t="s">
        <v>1117</v>
      </c>
      <c r="B92" s="928">
        <v>0</v>
      </c>
      <c r="C92" s="928">
        <v>0</v>
      </c>
      <c r="D92" s="928">
        <v>11</v>
      </c>
      <c r="E92" s="928">
        <v>11</v>
      </c>
      <c r="F92" s="928">
        <v>11</v>
      </c>
      <c r="G92" s="928">
        <v>11</v>
      </c>
      <c r="H92" s="928">
        <v>11</v>
      </c>
      <c r="I92" s="928">
        <v>11</v>
      </c>
      <c r="J92" s="928">
        <v>11</v>
      </c>
      <c r="K92" s="928">
        <v>11</v>
      </c>
      <c r="L92" s="928">
        <v>11</v>
      </c>
      <c r="M92" s="928">
        <v>11</v>
      </c>
    </row>
    <row r="93" spans="1:13" ht="12.75">
      <c r="A93" s="927" t="s">
        <v>1118</v>
      </c>
      <c r="B93" s="928">
        <v>0</v>
      </c>
      <c r="C93" s="928">
        <v>0</v>
      </c>
      <c r="D93" s="928">
        <v>11</v>
      </c>
      <c r="E93" s="928">
        <v>11</v>
      </c>
      <c r="F93" s="928">
        <v>11</v>
      </c>
      <c r="G93" s="928">
        <v>11</v>
      </c>
      <c r="H93" s="928">
        <v>11</v>
      </c>
      <c r="I93" s="928">
        <v>11</v>
      </c>
      <c r="J93" s="928">
        <v>11</v>
      </c>
      <c r="K93" s="928">
        <v>11</v>
      </c>
      <c r="L93" s="928">
        <v>11</v>
      </c>
      <c r="M93" s="928">
        <v>11</v>
      </c>
    </row>
    <row r="94" spans="1:13" ht="12.75">
      <c r="A94" s="927" t="s">
        <v>1119</v>
      </c>
      <c r="B94" s="928">
        <v>0</v>
      </c>
      <c r="C94" s="928">
        <v>0</v>
      </c>
      <c r="D94" s="928">
        <v>11</v>
      </c>
      <c r="E94" s="928">
        <v>11</v>
      </c>
      <c r="F94" s="928">
        <v>11</v>
      </c>
      <c r="G94" s="928">
        <v>11</v>
      </c>
      <c r="H94" s="928">
        <v>11</v>
      </c>
      <c r="I94" s="928">
        <v>11</v>
      </c>
      <c r="J94" s="928">
        <v>11</v>
      </c>
      <c r="K94" s="928">
        <v>11</v>
      </c>
      <c r="L94" s="928">
        <v>11</v>
      </c>
      <c r="M94" s="928">
        <v>11</v>
      </c>
    </row>
    <row r="95" spans="1:13" ht="25.5">
      <c r="A95" s="927" t="s">
        <v>1121</v>
      </c>
      <c r="B95" s="928">
        <v>0</v>
      </c>
      <c r="C95" s="928">
        <v>0</v>
      </c>
      <c r="D95" s="928">
        <v>5</v>
      </c>
      <c r="E95" s="928">
        <v>5</v>
      </c>
      <c r="F95" s="928">
        <v>5</v>
      </c>
      <c r="G95" s="928">
        <v>5</v>
      </c>
      <c r="H95" s="928">
        <v>5</v>
      </c>
      <c r="I95" s="928">
        <v>5</v>
      </c>
      <c r="J95" s="928">
        <v>5</v>
      </c>
      <c r="K95" s="928">
        <v>5</v>
      </c>
      <c r="L95" s="928">
        <v>5</v>
      </c>
      <c r="M95" s="928">
        <v>5</v>
      </c>
    </row>
    <row r="96" spans="1:13" ht="25.5">
      <c r="A96" s="909" t="s">
        <v>1122</v>
      </c>
      <c r="B96" s="910"/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10"/>
    </row>
    <row r="97" spans="1:13" ht="12.75">
      <c r="A97" s="927" t="s">
        <v>1123</v>
      </c>
      <c r="B97" s="928">
        <v>12</v>
      </c>
      <c r="C97" s="928">
        <v>12</v>
      </c>
      <c r="D97" s="928">
        <v>0</v>
      </c>
      <c r="E97" s="928">
        <v>0</v>
      </c>
      <c r="F97" s="928">
        <v>0</v>
      </c>
      <c r="G97" s="928">
        <v>0</v>
      </c>
      <c r="H97" s="928">
        <v>0</v>
      </c>
      <c r="I97" s="928">
        <v>0</v>
      </c>
      <c r="J97" s="928">
        <v>0</v>
      </c>
      <c r="K97" s="928">
        <v>0</v>
      </c>
      <c r="L97" s="928">
        <v>0</v>
      </c>
      <c r="M97" s="928">
        <v>0</v>
      </c>
    </row>
    <row r="98" spans="1:13" ht="12.75">
      <c r="A98" s="927" t="s">
        <v>1124</v>
      </c>
      <c r="B98" s="928">
        <v>72</v>
      </c>
      <c r="C98" s="928">
        <v>72</v>
      </c>
      <c r="D98" s="928">
        <v>0</v>
      </c>
      <c r="E98" s="928">
        <v>0</v>
      </c>
      <c r="F98" s="928">
        <v>0</v>
      </c>
      <c r="G98" s="928">
        <v>0</v>
      </c>
      <c r="H98" s="928">
        <v>0</v>
      </c>
      <c r="I98" s="928">
        <v>0</v>
      </c>
      <c r="J98" s="928">
        <v>0</v>
      </c>
      <c r="K98" s="928">
        <v>0</v>
      </c>
      <c r="L98" s="928">
        <v>0</v>
      </c>
      <c r="M98" s="928">
        <v>0</v>
      </c>
    </row>
    <row r="99" spans="1:13" ht="25.5">
      <c r="A99" s="909" t="s">
        <v>1125</v>
      </c>
      <c r="B99" s="910"/>
      <c r="C99" s="910"/>
      <c r="D99" s="910"/>
      <c r="E99" s="910"/>
      <c r="F99" s="910"/>
      <c r="G99" s="910"/>
      <c r="H99" s="910"/>
      <c r="I99" s="910"/>
      <c r="J99" s="910"/>
      <c r="K99" s="910"/>
      <c r="L99" s="910"/>
      <c r="M99" s="910"/>
    </row>
    <row r="100" spans="1:13" ht="12.75">
      <c r="A100" s="927" t="s">
        <v>1173</v>
      </c>
      <c r="B100" s="928">
        <v>0</v>
      </c>
      <c r="C100" s="928">
        <v>0</v>
      </c>
      <c r="D100" s="928">
        <v>94</v>
      </c>
      <c r="E100" s="928">
        <v>94</v>
      </c>
      <c r="F100" s="928">
        <v>94</v>
      </c>
      <c r="G100" s="928">
        <v>94</v>
      </c>
      <c r="H100" s="928">
        <v>20</v>
      </c>
      <c r="I100" s="928">
        <v>20</v>
      </c>
      <c r="J100" s="928">
        <v>20</v>
      </c>
      <c r="K100" s="928">
        <v>20</v>
      </c>
      <c r="L100" s="928">
        <v>20</v>
      </c>
      <c r="M100" s="928">
        <v>20</v>
      </c>
    </row>
    <row r="101" spans="1:13" ht="25.5">
      <c r="A101" s="909" t="s">
        <v>1138</v>
      </c>
      <c r="B101" s="910"/>
      <c r="C101" s="910"/>
      <c r="D101" s="910"/>
      <c r="E101" s="910"/>
      <c r="F101" s="910"/>
      <c r="G101" s="910"/>
      <c r="H101" s="910"/>
      <c r="I101" s="910"/>
      <c r="J101" s="910"/>
      <c r="K101" s="910"/>
      <c r="L101" s="910"/>
      <c r="M101" s="910"/>
    </row>
    <row r="102" spans="1:13" ht="12.75">
      <c r="A102" s="927" t="s">
        <v>1139</v>
      </c>
      <c r="B102" s="928">
        <v>0</v>
      </c>
      <c r="C102" s="928">
        <v>0</v>
      </c>
      <c r="D102" s="928">
        <v>0</v>
      </c>
      <c r="E102" s="928">
        <v>0</v>
      </c>
      <c r="F102" s="928">
        <v>0</v>
      </c>
      <c r="G102" s="928">
        <v>0</v>
      </c>
      <c r="H102" s="928">
        <v>23</v>
      </c>
      <c r="I102" s="928">
        <v>23</v>
      </c>
      <c r="J102" s="928">
        <v>23</v>
      </c>
      <c r="K102" s="928">
        <v>23</v>
      </c>
      <c r="L102" s="928">
        <v>23</v>
      </c>
      <c r="M102" s="928">
        <v>23</v>
      </c>
    </row>
    <row r="103" spans="1:13" ht="24" customHeight="1">
      <c r="A103" s="925" t="s">
        <v>1126</v>
      </c>
      <c r="B103" s="926">
        <f>SUM(B87:B102)</f>
        <v>126</v>
      </c>
      <c r="C103" s="926">
        <f aca="true" t="shared" si="5" ref="C103:M103">SUM(C87:C102)</f>
        <v>126</v>
      </c>
      <c r="D103" s="926">
        <f t="shared" si="5"/>
        <v>132</v>
      </c>
      <c r="E103" s="926">
        <f t="shared" si="5"/>
        <v>132</v>
      </c>
      <c r="F103" s="926">
        <f t="shared" si="5"/>
        <v>132</v>
      </c>
      <c r="G103" s="926">
        <f t="shared" si="5"/>
        <v>132</v>
      </c>
      <c r="H103" s="926">
        <f t="shared" si="5"/>
        <v>81</v>
      </c>
      <c r="I103" s="926">
        <f t="shared" si="5"/>
        <v>81</v>
      </c>
      <c r="J103" s="926">
        <f t="shared" si="5"/>
        <v>81</v>
      </c>
      <c r="K103" s="926">
        <f t="shared" si="5"/>
        <v>81</v>
      </c>
      <c r="L103" s="926">
        <f t="shared" si="5"/>
        <v>81</v>
      </c>
      <c r="M103" s="926">
        <f t="shared" si="5"/>
        <v>81</v>
      </c>
    </row>
    <row r="104" spans="1:13" ht="12.75">
      <c r="A104" s="680"/>
      <c r="M104" s="1347"/>
    </row>
    <row r="105" spans="1:14" s="936" customFormat="1" ht="25.5" customHeight="1">
      <c r="A105" s="907" t="s">
        <v>1150</v>
      </c>
      <c r="B105" s="908"/>
      <c r="C105" s="908"/>
      <c r="D105" s="908"/>
      <c r="E105" s="908"/>
      <c r="F105" s="908"/>
      <c r="G105" s="908"/>
      <c r="H105" s="908"/>
      <c r="I105" s="908"/>
      <c r="J105" s="908"/>
      <c r="K105" s="908"/>
      <c r="L105" s="908"/>
      <c r="M105" s="908"/>
      <c r="N105" s="935"/>
    </row>
    <row r="106" spans="1:14" s="938" customFormat="1" ht="28.5" customHeight="1">
      <c r="A106" s="927" t="s">
        <v>770</v>
      </c>
      <c r="B106" s="928">
        <v>0</v>
      </c>
      <c r="C106" s="928">
        <v>0</v>
      </c>
      <c r="D106" s="928">
        <v>0</v>
      </c>
      <c r="E106" s="928">
        <v>0</v>
      </c>
      <c r="F106" s="928">
        <v>0</v>
      </c>
      <c r="G106" s="928">
        <v>0</v>
      </c>
      <c r="H106" s="928">
        <v>3</v>
      </c>
      <c r="I106" s="928">
        <v>3</v>
      </c>
      <c r="J106" s="928">
        <v>0</v>
      </c>
      <c r="K106" s="928">
        <v>0</v>
      </c>
      <c r="L106" s="928">
        <v>0</v>
      </c>
      <c r="M106" s="928">
        <v>0</v>
      </c>
      <c r="N106" s="937"/>
    </row>
    <row r="107" spans="1:14" s="936" customFormat="1" ht="32.25" customHeight="1">
      <c r="A107" s="925" t="s">
        <v>1153</v>
      </c>
      <c r="B107" s="926">
        <f>SUM(B106)</f>
        <v>0</v>
      </c>
      <c r="C107" s="926">
        <f aca="true" t="shared" si="6" ref="C107:M107">SUM(C106)</f>
        <v>0</v>
      </c>
      <c r="D107" s="926">
        <f t="shared" si="6"/>
        <v>0</v>
      </c>
      <c r="E107" s="926">
        <f t="shared" si="6"/>
        <v>0</v>
      </c>
      <c r="F107" s="926">
        <f t="shared" si="6"/>
        <v>0</v>
      </c>
      <c r="G107" s="926">
        <f t="shared" si="6"/>
        <v>0</v>
      </c>
      <c r="H107" s="926">
        <f t="shared" si="6"/>
        <v>3</v>
      </c>
      <c r="I107" s="926">
        <f t="shared" si="6"/>
        <v>3</v>
      </c>
      <c r="J107" s="926">
        <f t="shared" si="6"/>
        <v>0</v>
      </c>
      <c r="K107" s="926">
        <f t="shared" si="6"/>
        <v>0</v>
      </c>
      <c r="L107" s="926">
        <f t="shared" si="6"/>
        <v>0</v>
      </c>
      <c r="M107" s="926">
        <f t="shared" si="6"/>
        <v>0</v>
      </c>
      <c r="N107" s="935"/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92"/>
  <sheetViews>
    <sheetView zoomScaleSheetLayoutView="100" zoomScalePageLayoutView="0" workbookViewId="0" topLeftCell="A25">
      <selection activeCell="C37" sqref="C37"/>
    </sheetView>
  </sheetViews>
  <sheetFormatPr defaultColWidth="8.875" defaultRowHeight="12.75"/>
  <cols>
    <col min="1" max="1" width="4.125" style="78" bestFit="1" customWidth="1"/>
    <col min="2" max="2" width="2.375" style="2" customWidth="1"/>
    <col min="3" max="3" width="88.625" style="2" customWidth="1"/>
    <col min="4" max="4" width="15.625" style="2" bestFit="1" customWidth="1"/>
    <col min="5" max="16384" width="8.875" style="2" customWidth="1"/>
  </cols>
  <sheetData>
    <row r="1" spans="3:5" ht="15">
      <c r="C1" s="982" t="s">
        <v>1167</v>
      </c>
      <c r="D1" s="1245"/>
      <c r="E1" s="77"/>
    </row>
    <row r="2" spans="3:5" ht="15">
      <c r="C2" s="5"/>
      <c r="D2" s="132"/>
      <c r="E2" s="77"/>
    </row>
    <row r="3" spans="2:4" ht="15.75">
      <c r="B3" s="1246" t="s">
        <v>820</v>
      </c>
      <c r="C3" s="1246"/>
      <c r="D3" s="1246"/>
    </row>
    <row r="4" spans="2:4" ht="15">
      <c r="B4" s="136"/>
      <c r="C4" s="136"/>
      <c r="D4" s="136"/>
    </row>
    <row r="5" ht="15.75" thickBot="1">
      <c r="D5" s="5"/>
    </row>
    <row r="6" spans="1:4" s="3" customFormat="1" ht="14.25">
      <c r="A6" s="1240" t="s">
        <v>426</v>
      </c>
      <c r="B6" s="1247" t="s">
        <v>357</v>
      </c>
      <c r="C6" s="1248"/>
      <c r="D6" s="6" t="s">
        <v>369</v>
      </c>
    </row>
    <row r="7" spans="1:4" s="90" customFormat="1" ht="12">
      <c r="A7" s="1241"/>
      <c r="B7" s="1239" t="s">
        <v>420</v>
      </c>
      <c r="C7" s="1239"/>
      <c r="D7" s="89" t="s">
        <v>421</v>
      </c>
    </row>
    <row r="8" spans="1:4" s="3" customFormat="1" ht="14.25">
      <c r="A8" s="96">
        <v>1</v>
      </c>
      <c r="B8" s="91" t="s">
        <v>363</v>
      </c>
      <c r="C8" s="10"/>
      <c r="D8" s="269"/>
    </row>
    <row r="9" spans="1:4" s="12" customFormat="1" ht="15">
      <c r="A9" s="96">
        <v>2</v>
      </c>
      <c r="B9" s="92" t="s">
        <v>435</v>
      </c>
      <c r="C9" s="11"/>
      <c r="D9" s="270"/>
    </row>
    <row r="10" spans="1:4" ht="27.75" customHeight="1">
      <c r="A10" s="96">
        <v>3</v>
      </c>
      <c r="B10" s="80" t="s">
        <v>370</v>
      </c>
      <c r="C10" s="127" t="s">
        <v>826</v>
      </c>
      <c r="D10" s="660">
        <f>242490975+151044</f>
        <v>242642019</v>
      </c>
    </row>
    <row r="11" spans="1:4" ht="27.75" customHeight="1">
      <c r="A11" s="96">
        <v>4</v>
      </c>
      <c r="B11" s="80" t="s">
        <v>370</v>
      </c>
      <c r="C11" s="127" t="s">
        <v>827</v>
      </c>
      <c r="D11" s="660">
        <v>3832400</v>
      </c>
    </row>
    <row r="12" spans="1:4" ht="27.75" customHeight="1">
      <c r="A12" s="96">
        <v>5</v>
      </c>
      <c r="B12" s="80" t="s">
        <v>370</v>
      </c>
      <c r="C12" s="127" t="s">
        <v>828</v>
      </c>
      <c r="D12" s="660">
        <v>17861888</v>
      </c>
    </row>
    <row r="13" spans="1:4" ht="27.75" customHeight="1">
      <c r="A13" s="96">
        <v>6</v>
      </c>
      <c r="B13" s="80" t="s">
        <v>370</v>
      </c>
      <c r="C13" s="127" t="s">
        <v>735</v>
      </c>
      <c r="D13" s="660">
        <f>17462500-5238750</f>
        <v>12223750</v>
      </c>
    </row>
    <row r="14" spans="1:4" ht="27.75" customHeight="1">
      <c r="A14" s="96">
        <v>7</v>
      </c>
      <c r="B14" s="80" t="s">
        <v>370</v>
      </c>
      <c r="C14" s="127" t="s">
        <v>736</v>
      </c>
      <c r="D14" s="660">
        <v>525300</v>
      </c>
    </row>
    <row r="15" spans="1:4" ht="27.75" customHeight="1">
      <c r="A15" s="96">
        <v>8</v>
      </c>
      <c r="B15" s="80" t="s">
        <v>370</v>
      </c>
      <c r="C15" s="127" t="s">
        <v>737</v>
      </c>
      <c r="D15" s="660">
        <v>3225085</v>
      </c>
    </row>
    <row r="16" spans="1:4" ht="18.75" customHeight="1">
      <c r="A16" s="96">
        <v>9</v>
      </c>
      <c r="B16" s="80" t="s">
        <v>370</v>
      </c>
      <c r="C16" s="127" t="s">
        <v>829</v>
      </c>
      <c r="D16" s="660">
        <f>5419000+106200000</f>
        <v>111619000</v>
      </c>
    </row>
    <row r="17" spans="1:4" ht="45">
      <c r="A17" s="96">
        <v>10</v>
      </c>
      <c r="B17" s="80" t="s">
        <v>370</v>
      </c>
      <c r="C17" s="127" t="s">
        <v>887</v>
      </c>
      <c r="D17" s="660">
        <f>335750+495250</f>
        <v>831000</v>
      </c>
    </row>
    <row r="18" spans="1:4" ht="30">
      <c r="A18" s="96">
        <v>11</v>
      </c>
      <c r="B18" s="80" t="s">
        <v>370</v>
      </c>
      <c r="C18" s="127" t="s">
        <v>1028</v>
      </c>
      <c r="D18" s="660">
        <f>76200+233830</f>
        <v>310030</v>
      </c>
    </row>
    <row r="19" spans="1:4" ht="21.75" customHeight="1">
      <c r="A19" s="96">
        <v>12</v>
      </c>
      <c r="B19" s="80" t="s">
        <v>370</v>
      </c>
      <c r="C19" s="127" t="s">
        <v>832</v>
      </c>
      <c r="D19" s="660">
        <v>1023620</v>
      </c>
    </row>
    <row r="20" spans="1:4" ht="28.5" customHeight="1">
      <c r="A20" s="96">
        <v>13</v>
      </c>
      <c r="B20" s="80" t="s">
        <v>370</v>
      </c>
      <c r="C20" s="127" t="s">
        <v>1014</v>
      </c>
      <c r="D20" s="660">
        <v>235153</v>
      </c>
    </row>
    <row r="21" spans="1:4" ht="21" customHeight="1">
      <c r="A21" s="96">
        <v>14</v>
      </c>
      <c r="B21" s="80" t="s">
        <v>370</v>
      </c>
      <c r="C21" s="127" t="s">
        <v>833</v>
      </c>
      <c r="D21" s="660">
        <v>3250000</v>
      </c>
    </row>
    <row r="22" spans="1:4" ht="28.5" customHeight="1">
      <c r="A22" s="96">
        <v>15</v>
      </c>
      <c r="B22" s="80" t="s">
        <v>370</v>
      </c>
      <c r="C22" s="127" t="s">
        <v>1013</v>
      </c>
      <c r="D22" s="660">
        <f>101600+150000</f>
        <v>251600</v>
      </c>
    </row>
    <row r="23" spans="1:4" ht="28.5" customHeight="1">
      <c r="A23" s="96">
        <v>16</v>
      </c>
      <c r="B23" s="80" t="s">
        <v>370</v>
      </c>
      <c r="C23" s="127" t="s">
        <v>834</v>
      </c>
      <c r="D23" s="660">
        <v>10986734</v>
      </c>
    </row>
    <row r="24" spans="1:4" ht="15.75" customHeight="1">
      <c r="A24" s="96">
        <v>17</v>
      </c>
      <c r="B24" s="80" t="s">
        <v>370</v>
      </c>
      <c r="C24" s="127" t="s">
        <v>923</v>
      </c>
      <c r="D24" s="660">
        <v>299888</v>
      </c>
    </row>
    <row r="25" spans="1:4" ht="15.75" customHeight="1">
      <c r="A25" s="96">
        <v>18</v>
      </c>
      <c r="B25" s="80" t="s">
        <v>370</v>
      </c>
      <c r="C25" s="127" t="s">
        <v>924</v>
      </c>
      <c r="D25" s="660">
        <v>1846997</v>
      </c>
    </row>
    <row r="26" spans="1:4" ht="30" customHeight="1">
      <c r="A26" s="96">
        <v>19</v>
      </c>
      <c r="B26" s="80" t="s">
        <v>370</v>
      </c>
      <c r="C26" s="127" t="s">
        <v>927</v>
      </c>
      <c r="D26" s="660">
        <v>8983129</v>
      </c>
    </row>
    <row r="27" spans="1:4" ht="17.25" customHeight="1">
      <c r="A27" s="96">
        <v>20</v>
      </c>
      <c r="B27" s="80" t="s">
        <v>370</v>
      </c>
      <c r="C27" s="127" t="s">
        <v>926</v>
      </c>
      <c r="D27" s="660">
        <v>2497100</v>
      </c>
    </row>
    <row r="28" spans="1:4" ht="17.25" customHeight="1">
      <c r="A28" s="96">
        <v>21</v>
      </c>
      <c r="B28" s="80" t="s">
        <v>370</v>
      </c>
      <c r="C28" s="127" t="s">
        <v>1142</v>
      </c>
      <c r="D28" s="660">
        <v>2893619</v>
      </c>
    </row>
    <row r="29" spans="1:4" ht="20.25" customHeight="1">
      <c r="A29" s="96">
        <v>22</v>
      </c>
      <c r="B29" s="80" t="s">
        <v>370</v>
      </c>
      <c r="C29" s="127" t="s">
        <v>1015</v>
      </c>
      <c r="D29" s="660">
        <f>120000+73660</f>
        <v>193660</v>
      </c>
    </row>
    <row r="30" spans="1:4" ht="30">
      <c r="A30" s="96">
        <v>23</v>
      </c>
      <c r="B30" s="80" t="s">
        <v>370</v>
      </c>
      <c r="C30" s="127" t="s">
        <v>1021</v>
      </c>
      <c r="D30" s="660">
        <v>1920000</v>
      </c>
    </row>
    <row r="31" spans="1:4" ht="16.5" customHeight="1">
      <c r="A31" s="96">
        <v>24</v>
      </c>
      <c r="B31" s="1338" t="s">
        <v>370</v>
      </c>
      <c r="C31" s="893" t="s">
        <v>1012</v>
      </c>
      <c r="D31" s="660">
        <v>30000</v>
      </c>
    </row>
    <row r="32" spans="1:4" ht="16.5" customHeight="1">
      <c r="A32" s="96">
        <v>25</v>
      </c>
      <c r="B32" s="1338" t="s">
        <v>370</v>
      </c>
      <c r="C32" s="893" t="s">
        <v>1140</v>
      </c>
      <c r="D32" s="660">
        <v>3863162</v>
      </c>
    </row>
    <row r="33" spans="1:4" ht="16.5" customHeight="1">
      <c r="A33" s="96">
        <v>26</v>
      </c>
      <c r="B33" s="1338" t="s">
        <v>370</v>
      </c>
      <c r="C33" s="893" t="s">
        <v>1141</v>
      </c>
      <c r="D33" s="660">
        <v>1910826</v>
      </c>
    </row>
    <row r="34" spans="1:4" ht="16.5" customHeight="1">
      <c r="A34" s="96">
        <v>27</v>
      </c>
      <c r="B34" s="1338" t="s">
        <v>370</v>
      </c>
      <c r="C34" s="893" t="s">
        <v>1168</v>
      </c>
      <c r="D34" s="660">
        <v>162433</v>
      </c>
    </row>
    <row r="35" spans="1:4" s="36" customFormat="1" ht="15">
      <c r="A35" s="96">
        <v>28</v>
      </c>
      <c r="B35" s="80"/>
      <c r="C35" s="14" t="s">
        <v>380</v>
      </c>
      <c r="D35" s="271">
        <f>SUM(D10:D34)</f>
        <v>433418393</v>
      </c>
    </row>
    <row r="36" spans="1:4" s="36" customFormat="1" ht="15">
      <c r="A36" s="96">
        <v>29</v>
      </c>
      <c r="B36" s="1236" t="s">
        <v>367</v>
      </c>
      <c r="C36" s="1237"/>
      <c r="D36" s="1238"/>
    </row>
    <row r="37" spans="1:4" ht="18.75" customHeight="1">
      <c r="A37" s="96">
        <v>30</v>
      </c>
      <c r="B37" s="80" t="s">
        <v>370</v>
      </c>
      <c r="C37" s="127" t="s">
        <v>835</v>
      </c>
      <c r="D37" s="660">
        <f>1229404-139700</f>
        <v>1089704</v>
      </c>
    </row>
    <row r="38" spans="1:4" ht="18.75" customHeight="1">
      <c r="A38" s="96">
        <v>31</v>
      </c>
      <c r="B38" s="80" t="s">
        <v>370</v>
      </c>
      <c r="C38" s="127" t="s">
        <v>1030</v>
      </c>
      <c r="D38" s="660">
        <f>139700</f>
        <v>139700</v>
      </c>
    </row>
    <row r="39" spans="1:4" ht="18.75" customHeight="1">
      <c r="A39" s="96">
        <v>32</v>
      </c>
      <c r="B39" s="80" t="s">
        <v>370</v>
      </c>
      <c r="C39" s="127" t="s">
        <v>1143</v>
      </c>
      <c r="D39" s="660">
        <v>1269600</v>
      </c>
    </row>
    <row r="40" spans="1:4" s="36" customFormat="1" ht="15">
      <c r="A40" s="96">
        <v>33</v>
      </c>
      <c r="B40" s="1346"/>
      <c r="C40" s="14" t="s">
        <v>492</v>
      </c>
      <c r="D40" s="271">
        <f>SUM(D37:D39)</f>
        <v>2499004</v>
      </c>
    </row>
    <row r="41" spans="1:4" s="36" customFormat="1" ht="15">
      <c r="A41" s="96">
        <v>34</v>
      </c>
      <c r="B41" s="1236" t="s">
        <v>770</v>
      </c>
      <c r="C41" s="1237"/>
      <c r="D41" s="1238"/>
    </row>
    <row r="42" spans="1:4" ht="32.25" customHeight="1">
      <c r="A42" s="96">
        <v>35</v>
      </c>
      <c r="B42" s="80" t="s">
        <v>370</v>
      </c>
      <c r="C42" s="127" t="s">
        <v>1019</v>
      </c>
      <c r="D42" s="660">
        <f>139700+84541+79900</f>
        <v>304141</v>
      </c>
    </row>
    <row r="43" spans="1:4" ht="19.5" customHeight="1">
      <c r="A43" s="96">
        <v>36</v>
      </c>
      <c r="B43" s="80" t="s">
        <v>370</v>
      </c>
      <c r="C43" s="127" t="s">
        <v>1031</v>
      </c>
      <c r="D43" s="660">
        <f>123070+198285-39190</f>
        <v>282165</v>
      </c>
    </row>
    <row r="44" spans="1:4" ht="18.75" customHeight="1">
      <c r="A44" s="96">
        <v>37</v>
      </c>
      <c r="B44" s="80" t="s">
        <v>370</v>
      </c>
      <c r="C44" s="127" t="s">
        <v>1017</v>
      </c>
      <c r="D44" s="660">
        <f>88900+152273</f>
        <v>241173</v>
      </c>
    </row>
    <row r="45" spans="1:4" ht="18.75" customHeight="1">
      <c r="A45" s="96">
        <v>38</v>
      </c>
      <c r="B45" s="80" t="s">
        <v>370</v>
      </c>
      <c r="C45" s="127" t="s">
        <v>1018</v>
      </c>
      <c r="D45" s="660">
        <f>76200+151629</f>
        <v>227829</v>
      </c>
    </row>
    <row r="46" spans="1:4" ht="18.75" customHeight="1">
      <c r="A46" s="96">
        <v>39</v>
      </c>
      <c r="B46" s="80" t="s">
        <v>370</v>
      </c>
      <c r="C46" s="127" t="s">
        <v>1016</v>
      </c>
      <c r="D46" s="660">
        <v>195000</v>
      </c>
    </row>
    <row r="47" spans="1:4" ht="30">
      <c r="A47" s="96">
        <v>40</v>
      </c>
      <c r="B47" s="80" t="s">
        <v>370</v>
      </c>
      <c r="C47" s="127" t="s">
        <v>930</v>
      </c>
      <c r="D47" s="660">
        <v>1687190</v>
      </c>
    </row>
    <row r="48" spans="1:4" ht="15">
      <c r="A48" s="96">
        <v>41</v>
      </c>
      <c r="B48" s="80" t="s">
        <v>370</v>
      </c>
      <c r="C48" s="127" t="s">
        <v>931</v>
      </c>
      <c r="D48" s="660">
        <v>2412553</v>
      </c>
    </row>
    <row r="49" spans="1:4" s="36" customFormat="1" ht="15">
      <c r="A49" s="96">
        <v>42</v>
      </c>
      <c r="B49" s="126"/>
      <c r="C49" s="14" t="s">
        <v>928</v>
      </c>
      <c r="D49" s="271">
        <f>SUM(D42:D48)</f>
        <v>5350051</v>
      </c>
    </row>
    <row r="50" spans="1:4" s="36" customFormat="1" ht="15">
      <c r="A50" s="96">
        <v>43</v>
      </c>
      <c r="B50" s="1236" t="s">
        <v>860</v>
      </c>
      <c r="C50" s="1237"/>
      <c r="D50" s="1238"/>
    </row>
    <row r="51" spans="1:4" ht="18.75" customHeight="1">
      <c r="A51" s="96">
        <v>44</v>
      </c>
      <c r="B51" s="80" t="s">
        <v>370</v>
      </c>
      <c r="C51" s="127" t="s">
        <v>929</v>
      </c>
      <c r="D51" s="660">
        <v>103900</v>
      </c>
    </row>
    <row r="52" spans="1:4" s="36" customFormat="1" ht="15">
      <c r="A52" s="96">
        <v>45</v>
      </c>
      <c r="B52" s="126"/>
      <c r="C52" s="14" t="s">
        <v>861</v>
      </c>
      <c r="D52" s="271">
        <f>SUM(D51:D51)</f>
        <v>103900</v>
      </c>
    </row>
    <row r="53" spans="1:4" s="3" customFormat="1" ht="15" thickBot="1">
      <c r="A53" s="97">
        <v>46</v>
      </c>
      <c r="B53" s="15" t="s">
        <v>360</v>
      </c>
      <c r="C53" s="15"/>
      <c r="D53" s="272">
        <f>SUM(D49+D52+D40+D35)</f>
        <v>441371348</v>
      </c>
    </row>
    <row r="54" spans="1:4" ht="15">
      <c r="A54" s="539">
        <v>47</v>
      </c>
      <c r="B54" s="1242" t="s">
        <v>368</v>
      </c>
      <c r="C54" s="1242"/>
      <c r="D54" s="1243"/>
    </row>
    <row r="55" spans="1:4" s="12" customFormat="1" ht="15">
      <c r="A55" s="96">
        <v>48</v>
      </c>
      <c r="B55" s="104" t="s">
        <v>435</v>
      </c>
      <c r="C55" s="13"/>
      <c r="D55" s="7"/>
    </row>
    <row r="56" spans="1:4" ht="18.75" customHeight="1">
      <c r="A56" s="96">
        <v>49</v>
      </c>
      <c r="B56" s="80" t="s">
        <v>370</v>
      </c>
      <c r="C56" s="127" t="s">
        <v>738</v>
      </c>
      <c r="D56" s="660">
        <v>254000</v>
      </c>
    </row>
    <row r="57" spans="1:4" ht="18.75" customHeight="1">
      <c r="A57" s="96">
        <v>50</v>
      </c>
      <c r="B57" s="80" t="s">
        <v>370</v>
      </c>
      <c r="C57" s="127" t="s">
        <v>823</v>
      </c>
      <c r="D57" s="660">
        <v>254000</v>
      </c>
    </row>
    <row r="58" spans="1:4" s="36" customFormat="1" ht="29.25" customHeight="1">
      <c r="A58" s="96">
        <v>51</v>
      </c>
      <c r="B58" s="80" t="s">
        <v>370</v>
      </c>
      <c r="C58" s="127" t="s">
        <v>821</v>
      </c>
      <c r="D58" s="660">
        <v>2500000</v>
      </c>
    </row>
    <row r="59" spans="1:4" s="36" customFormat="1" ht="45">
      <c r="A59" s="96">
        <v>52</v>
      </c>
      <c r="B59" s="80" t="s">
        <v>370</v>
      </c>
      <c r="C59" s="127" t="s">
        <v>886</v>
      </c>
      <c r="D59" s="660">
        <f>22279919+850900</f>
        <v>23130819</v>
      </c>
    </row>
    <row r="60" spans="1:4" s="36" customFormat="1" ht="29.25" customHeight="1">
      <c r="A60" s="96">
        <v>53</v>
      </c>
      <c r="B60" s="80" t="s">
        <v>370</v>
      </c>
      <c r="C60" s="127" t="s">
        <v>831</v>
      </c>
      <c r="D60" s="660">
        <f>2606050+95000000</f>
        <v>97606050</v>
      </c>
    </row>
    <row r="61" spans="1:4" ht="18.75" customHeight="1">
      <c r="A61" s="96">
        <v>54</v>
      </c>
      <c r="B61" s="80" t="s">
        <v>370</v>
      </c>
      <c r="C61" s="127" t="s">
        <v>830</v>
      </c>
      <c r="D61" s="660">
        <v>389000</v>
      </c>
    </row>
    <row r="62" spans="1:4" ht="18.75" customHeight="1">
      <c r="A62" s="96">
        <v>55</v>
      </c>
      <c r="B62" s="80" t="s">
        <v>370</v>
      </c>
      <c r="C62" s="127" t="s">
        <v>837</v>
      </c>
      <c r="D62" s="660">
        <v>17634204</v>
      </c>
    </row>
    <row r="63" spans="1:4" ht="18.75" customHeight="1">
      <c r="A63" s="96">
        <v>56</v>
      </c>
      <c r="B63" s="80" t="s">
        <v>370</v>
      </c>
      <c r="C63" s="127" t="s">
        <v>890</v>
      </c>
      <c r="D63" s="660">
        <v>3000000</v>
      </c>
    </row>
    <row r="64" spans="1:4" ht="18.75" customHeight="1">
      <c r="A64" s="96">
        <v>57</v>
      </c>
      <c r="B64" s="80" t="s">
        <v>370</v>
      </c>
      <c r="C64" s="127" t="s">
        <v>891</v>
      </c>
      <c r="D64" s="660">
        <v>5000000</v>
      </c>
    </row>
    <row r="65" spans="1:4" ht="30">
      <c r="A65" s="96">
        <v>58</v>
      </c>
      <c r="B65" s="80" t="s">
        <v>370</v>
      </c>
      <c r="C65" s="127" t="s">
        <v>925</v>
      </c>
      <c r="D65" s="660">
        <v>6528562</v>
      </c>
    </row>
    <row r="66" spans="1:4" ht="19.5" customHeight="1">
      <c r="A66" s="96">
        <v>59</v>
      </c>
      <c r="B66" s="80" t="s">
        <v>370</v>
      </c>
      <c r="C66" s="127" t="s">
        <v>1156</v>
      </c>
      <c r="D66" s="660">
        <f>1576197+29947750</f>
        <v>31523947</v>
      </c>
    </row>
    <row r="67" spans="1:4" s="12" customFormat="1" ht="15">
      <c r="A67" s="96">
        <v>60</v>
      </c>
      <c r="B67" s="94"/>
      <c r="C67" s="4" t="s">
        <v>380</v>
      </c>
      <c r="D67" s="273">
        <f>SUM(D54:D66)</f>
        <v>187820582</v>
      </c>
    </row>
    <row r="68" spans="1:5" s="12" customFormat="1" ht="15">
      <c r="A68" s="894">
        <v>61</v>
      </c>
      <c r="B68" s="895"/>
      <c r="C68" s="1236" t="s">
        <v>770</v>
      </c>
      <c r="D68" s="1237"/>
      <c r="E68" s="895"/>
    </row>
    <row r="69" spans="1:4" ht="18.75" customHeight="1">
      <c r="A69" s="96">
        <v>62</v>
      </c>
      <c r="B69" s="80" t="s">
        <v>370</v>
      </c>
      <c r="C69" s="127" t="s">
        <v>1020</v>
      </c>
      <c r="D69" s="660">
        <f>700924+49430</f>
        <v>750354</v>
      </c>
    </row>
    <row r="70" spans="1:4" s="12" customFormat="1" ht="15">
      <c r="A70" s="894">
        <v>63</v>
      </c>
      <c r="B70" s="902"/>
      <c r="C70" s="14" t="s">
        <v>928</v>
      </c>
      <c r="D70" s="903">
        <f>SUM(D69)</f>
        <v>750354</v>
      </c>
    </row>
    <row r="71" spans="1:4" ht="15.75" thickBot="1">
      <c r="A71" s="97">
        <v>64</v>
      </c>
      <c r="B71" s="93" t="s">
        <v>360</v>
      </c>
      <c r="C71" s="901"/>
      <c r="D71" s="274">
        <f>SUM(D67+D70)</f>
        <v>188570936</v>
      </c>
    </row>
    <row r="72" spans="1:4" ht="15">
      <c r="A72" s="96">
        <v>65</v>
      </c>
      <c r="B72" s="1242" t="s">
        <v>116</v>
      </c>
      <c r="C72" s="1242"/>
      <c r="D72" s="1243"/>
    </row>
    <row r="73" spans="1:4" s="12" customFormat="1" ht="15">
      <c r="A73" s="96">
        <v>66</v>
      </c>
      <c r="B73" s="16" t="s">
        <v>435</v>
      </c>
      <c r="C73" s="13"/>
      <c r="D73" s="8"/>
    </row>
    <row r="74" spans="1:4" s="36" customFormat="1" ht="20.25" customHeight="1">
      <c r="A74" s="96">
        <v>67</v>
      </c>
      <c r="B74" s="80" t="s">
        <v>370</v>
      </c>
      <c r="C74" s="127" t="s">
        <v>416</v>
      </c>
      <c r="D74" s="661">
        <v>449520</v>
      </c>
    </row>
    <row r="75" spans="1:4" s="36" customFormat="1" ht="30">
      <c r="A75" s="96">
        <v>68</v>
      </c>
      <c r="B75" s="80" t="s">
        <v>370</v>
      </c>
      <c r="C75" s="127" t="s">
        <v>822</v>
      </c>
      <c r="D75" s="660">
        <v>1159500</v>
      </c>
    </row>
    <row r="76" spans="1:4" ht="27.75" customHeight="1">
      <c r="A76" s="96">
        <v>69</v>
      </c>
      <c r="B76" s="80" t="s">
        <v>370</v>
      </c>
      <c r="C76" s="127" t="s">
        <v>1022</v>
      </c>
      <c r="D76" s="660">
        <v>18081467</v>
      </c>
    </row>
    <row r="77" spans="1:4" s="3" customFormat="1" ht="15" thickBot="1">
      <c r="A77" s="97">
        <v>70</v>
      </c>
      <c r="B77" s="17" t="s">
        <v>360</v>
      </c>
      <c r="C77" s="15"/>
      <c r="D77" s="275">
        <f>SUM(D74:D76)</f>
        <v>19690487</v>
      </c>
    </row>
    <row r="78" spans="1:4" ht="15" hidden="1">
      <c r="A78" s="539">
        <v>45</v>
      </c>
      <c r="B78" s="1242" t="s">
        <v>417</v>
      </c>
      <c r="C78" s="1242"/>
      <c r="D78" s="1243"/>
    </row>
    <row r="79" spans="1:4" s="12" customFormat="1" ht="15" hidden="1">
      <c r="A79" s="96">
        <v>46</v>
      </c>
      <c r="B79" s="80"/>
      <c r="C79" s="19"/>
      <c r="D79" s="18"/>
    </row>
    <row r="80" spans="1:4" s="3" customFormat="1" ht="15" hidden="1" thickBot="1">
      <c r="A80" s="96">
        <v>47</v>
      </c>
      <c r="B80" s="17" t="s">
        <v>360</v>
      </c>
      <c r="C80" s="15"/>
      <c r="D80" s="9">
        <f>SUM(D79:D79)</f>
        <v>0</v>
      </c>
    </row>
    <row r="81" spans="1:4" ht="15">
      <c r="A81" s="96">
        <v>71</v>
      </c>
      <c r="B81" s="1242" t="s">
        <v>418</v>
      </c>
      <c r="C81" s="1242"/>
      <c r="D81" s="1243"/>
    </row>
    <row r="82" spans="1:4" ht="15">
      <c r="A82" s="96">
        <v>72</v>
      </c>
      <c r="B82" s="16" t="s">
        <v>435</v>
      </c>
      <c r="C82" s="88"/>
      <c r="D82" s="87"/>
    </row>
    <row r="83" spans="1:4" ht="30">
      <c r="A83" s="96">
        <v>73</v>
      </c>
      <c r="B83" s="80" t="s">
        <v>370</v>
      </c>
      <c r="C83" s="81" t="s">
        <v>836</v>
      </c>
      <c r="D83" s="896">
        <f>5000000-1269600</f>
        <v>3730400</v>
      </c>
    </row>
    <row r="84" spans="1:4" ht="30">
      <c r="A84" s="894">
        <v>74</v>
      </c>
      <c r="B84" s="80" t="s">
        <v>370</v>
      </c>
      <c r="C84" s="81" t="s">
        <v>1023</v>
      </c>
      <c r="D84" s="896">
        <v>4176519</v>
      </c>
    </row>
    <row r="85" spans="1:4" s="3" customFormat="1" ht="15" thickBot="1">
      <c r="A85" s="97">
        <v>75</v>
      </c>
      <c r="B85" s="17" t="s">
        <v>360</v>
      </c>
      <c r="C85" s="15"/>
      <c r="D85" s="275">
        <f>SUM(D83:D84)</f>
        <v>7906919</v>
      </c>
    </row>
    <row r="86" spans="1:4" ht="21" customHeight="1" thickBot="1">
      <c r="A86" s="97">
        <v>76</v>
      </c>
      <c r="B86" s="95" t="s">
        <v>361</v>
      </c>
      <c r="C86" s="17"/>
      <c r="D86" s="275">
        <f>SUM(D85+D77+D71+D53)</f>
        <v>657539690</v>
      </c>
    </row>
    <row r="88" ht="21" customHeight="1"/>
    <row r="90" spans="2:4" ht="15">
      <c r="B90" s="1244"/>
      <c r="C90" s="1244"/>
      <c r="D90" s="1244"/>
    </row>
    <row r="92" ht="15">
      <c r="H92" s="79"/>
    </row>
  </sheetData>
  <sheetProtection/>
  <mergeCells count="14">
    <mergeCell ref="B81:D81"/>
    <mergeCell ref="B90:D90"/>
    <mergeCell ref="B41:D41"/>
    <mergeCell ref="C1:D1"/>
    <mergeCell ref="B72:D72"/>
    <mergeCell ref="B3:D3"/>
    <mergeCell ref="B6:C6"/>
    <mergeCell ref="B54:D54"/>
    <mergeCell ref="B50:D50"/>
    <mergeCell ref="B7:C7"/>
    <mergeCell ref="B36:D36"/>
    <mergeCell ref="C68:D68"/>
    <mergeCell ref="A6:A7"/>
    <mergeCell ref="B78:D7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2018-09-28T07:13:39Z</cp:lastPrinted>
  <dcterms:created xsi:type="dcterms:W3CDTF">2001-11-30T10:27:10Z</dcterms:created>
  <dcterms:modified xsi:type="dcterms:W3CDTF">2018-09-28T07:27:32Z</dcterms:modified>
  <cp:category/>
  <cp:version/>
  <cp:contentType/>
  <cp:contentStatus/>
</cp:coreProperties>
</file>