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M." sheetId="1" r:id="rId1"/>
    <sheet name="2.M. " sheetId="2" r:id="rId2"/>
    <sheet name="3.M." sheetId="3" r:id="rId3"/>
    <sheet name="4.M." sheetId="4" r:id="rId4"/>
    <sheet name="5.M." sheetId="5" r:id="rId5"/>
    <sheet name="6.M" sheetId="6" r:id="rId6"/>
    <sheet name="7.M" sheetId="7" r:id="rId7"/>
    <sheet name="8.M" sheetId="8" r:id="rId8"/>
    <sheet name="9.M" sheetId="9" r:id="rId9"/>
    <sheet name="10.M" sheetId="10" r:id="rId10"/>
    <sheet name="11.M" sheetId="11" r:id="rId11"/>
    <sheet name="12.M" sheetId="12" r:id="rId12"/>
  </sheets>
  <definedNames>
    <definedName name="_xlnm.Print_Area" localSheetId="0">'1.M.'!$A$1:$E$46</definedName>
    <definedName name="_xlnm.Print_Area" localSheetId="1">'2.M. '!$A$1:$E$85</definedName>
    <definedName name="_xlnm.Print_Area" localSheetId="2">'3.M.'!#REF!</definedName>
    <definedName name="_xlnm.Print_Area" localSheetId="8">'9.M'!$A$1:$AD$36</definedName>
  </definedNames>
  <calcPr fullCalcOnLoad="1"/>
</workbook>
</file>

<file path=xl/sharedStrings.xml><?xml version="1.0" encoding="utf-8"?>
<sst xmlns="http://schemas.openxmlformats.org/spreadsheetml/2006/main" count="586" uniqueCount="483">
  <si>
    <t>1.</t>
  </si>
  <si>
    <t>2.</t>
  </si>
  <si>
    <t>3.</t>
  </si>
  <si>
    <t>4.</t>
  </si>
  <si>
    <t>5.</t>
  </si>
  <si>
    <t>7.</t>
  </si>
  <si>
    <t>8.</t>
  </si>
  <si>
    <t>Előirányzat-csoport, kiemelt előirányzat megnevezése</t>
  </si>
  <si>
    <t xml:space="preserve">Nagypáli Közös Önkormányzati Hivatal     </t>
  </si>
  <si>
    <t>Eredeti előirányzat mindösszesen:</t>
  </si>
  <si>
    <t>1. Működési bevételek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</si>
  <si>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</si>
  <si>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</si>
  <si>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</si>
  <si>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</si>
  <si>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</si>
  <si>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</si>
  <si>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</si>
  <si>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</si>
  <si>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</si>
  <si>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</si>
  <si>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</si>
  <si>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</si>
  <si>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</si>
  <si>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>Költségvetési bevételek:</t>
  </si>
  <si>
    <t>Rovat száma</t>
  </si>
  <si>
    <t>Összesen:</t>
  </si>
  <si>
    <t>Működési</t>
  </si>
  <si>
    <t>Felhalmozási</t>
  </si>
  <si>
    <t>Helyi önkormányzatok működésének általános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</si>
  <si>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</si>
  <si>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</si>
  <si>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</si>
  <si>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</si>
  <si>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</si>
  <si>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</si>
  <si>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</si>
  <si>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</si>
  <si>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</si>
  <si>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</si>
  <si>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</si>
  <si>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>B3</t>
  </si>
  <si>
    <t>Szolgáltatások ellenértéke</t>
  </si>
  <si>
    <t>Kiszámlázott általános forgalmi adó</t>
  </si>
  <si>
    <t>B4</t>
  </si>
  <si>
    <t>Maradvány igénybevétele</t>
  </si>
  <si>
    <t>B8</t>
  </si>
  <si>
    <t>TÁRGYÉVI BEVÉTELEK ÖSSZESEN:</t>
  </si>
  <si>
    <t>Tervezett előirányzat</t>
  </si>
  <si>
    <t xml:space="preserve"> -</t>
  </si>
  <si>
    <t>Központi, irányító szervi támogatások folyósítása - Hivatal finanszírozás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</si>
  <si>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</si>
  <si>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</si>
  <si>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</si>
  <si>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</si>
  <si>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</si>
  <si>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</si>
  <si>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-Gázenergia</t>
  </si>
  <si>
    <t xml:space="preserve"> -Villamos energia</t>
  </si>
  <si>
    <t xml:space="preserve"> -Víz- és csatorna díjak</t>
  </si>
  <si>
    <t>K3</t>
  </si>
  <si>
    <t>K4</t>
  </si>
  <si>
    <t>Egyéb működési célú támogatások államháztartáson belülre</t>
  </si>
  <si>
    <t xml:space="preserve"> -Kistérségi ügyelet működési hozzájárulás</t>
  </si>
  <si>
    <t>Egyéb működési célú támogatások államháztartáson kívülre</t>
  </si>
  <si>
    <t xml:space="preserve"> -Zalai Falvakért Egyesület tagdíj hozzájárulás</t>
  </si>
  <si>
    <t xml:space="preserve"> -Zala-Menti Polgármesterek és Polgárok egyesületének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</si>
  <si>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</si>
  <si>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</si>
  <si>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</si>
  <si>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</si>
  <si>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</si>
  <si>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>K5</t>
  </si>
  <si>
    <t>Beruházási célú előzetesen felszámított általános forgalmi adó</t>
  </si>
  <si>
    <t>K6</t>
  </si>
  <si>
    <t xml:space="preserve">Költségvetési kiadások </t>
  </si>
  <si>
    <t>K1-K8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</si>
  <si>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</si>
  <si>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</si>
  <si>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</si>
  <si>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</si>
  <si>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</si>
  <si>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</si>
  <si>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</si>
  <si>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</si>
  <si>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</si>
  <si>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</si>
  <si>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</si>
  <si>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</si>
  <si>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</si>
  <si>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</si>
  <si>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</si>
  <si>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</si>
  <si>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</si>
  <si>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</si>
  <si>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</si>
  <si>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</si>
  <si>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</si>
  <si>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Költségvetési bevételek </t>
  </si>
  <si>
    <t xml:space="preserve">TÁRGYÉVI KIADÁSOK  ÖSSZESEN: </t>
  </si>
  <si>
    <t>Előző évek pénzmaradványának igénybevétele uáni többlet / hiány</t>
  </si>
  <si>
    <t>Projekt megnevezése</t>
  </si>
  <si>
    <t>Törvény szerinti illetmények, munkabérek</t>
  </si>
  <si>
    <t>Béren kívüli juttatások</t>
  </si>
  <si>
    <t>I. Kiadások és bevételek kormányzati funkcióként</t>
  </si>
  <si>
    <t>052020</t>
  </si>
  <si>
    <t>051030</t>
  </si>
  <si>
    <t>Nem veszélyes (települési) hulladék vegyes (ömlesztett) begyűjtése, szállítása, átrakása</t>
  </si>
  <si>
    <t>013350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</si>
  <si>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</si>
  <si>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</si>
  <si>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</si>
  <si>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</si>
  <si>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</si>
  <si>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</si>
  <si>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</si>
  <si>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</si>
  <si>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</si>
  <si>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</si>
  <si>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</si>
  <si>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</si>
  <si>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</si>
  <si>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</si>
  <si>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107060</t>
  </si>
  <si>
    <t>Egyéb szociális pénzbeli ellátások, támogatások</t>
  </si>
  <si>
    <t>041233</t>
  </si>
  <si>
    <t>082094</t>
  </si>
  <si>
    <t>Közművelődés-kulturális alapú gazdaságfejlesztés</t>
  </si>
  <si>
    <t>013320</t>
  </si>
  <si>
    <t>Köztemető - fenntartás és - működtetés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</si>
  <si>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</si>
  <si>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</si>
  <si>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</si>
  <si>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</si>
  <si>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</si>
  <si>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</si>
  <si>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066010</t>
  </si>
  <si>
    <t>Zöldterület-kezelés</t>
  </si>
  <si>
    <t xml:space="preserve"> - általános tartalék</t>
  </si>
  <si>
    <t>MINDÖSSZESEN:</t>
  </si>
  <si>
    <t>Címrend a költségvetési rendelet 2.§ (2) bekezdéséhez</t>
  </si>
  <si>
    <t>Cím száma</t>
  </si>
  <si>
    <t>Cím neve</t>
  </si>
  <si>
    <t>Nagypáli Közös Önkormányzati Hivatal</t>
  </si>
  <si>
    <t>Anyagbeszerzés</t>
  </si>
  <si>
    <t>BEVÉTELEK</t>
  </si>
  <si>
    <t>KIADÁSOK</t>
  </si>
  <si>
    <t>Működési költségvetési bevételek</t>
  </si>
  <si>
    <t>Működési költségvetési kiadások</t>
  </si>
  <si>
    <t>BEVÉTELEK ÖSSZESEN:</t>
  </si>
  <si>
    <t>Felújítások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</si>
  <si>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</si>
  <si>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</si>
  <si>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</si>
  <si>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</si>
  <si>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</si>
  <si>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</si>
  <si>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</si>
  <si>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</si>
  <si>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</si>
  <si>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</si>
  <si>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</si>
  <si>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</si>
  <si>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</si>
  <si>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</si>
  <si>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Ebből:</t>
  </si>
  <si>
    <t>Helyi adó bevétel</t>
  </si>
  <si>
    <t xml:space="preserve"> Helyi adó elengedés és kedvezmény</t>
  </si>
  <si>
    <t xml:space="preserve"> - kommunális adó</t>
  </si>
  <si>
    <t>Gépjárműadó elengedés és kedvezmény</t>
  </si>
  <si>
    <t>Vagyoni típusu adók</t>
  </si>
  <si>
    <t>Termékek és szolgáltatások adói</t>
  </si>
  <si>
    <t>Talajterhelési díj</t>
  </si>
  <si>
    <t>Talajterhelési díj kedvezmény</t>
  </si>
  <si>
    <t xml:space="preserve"> - idegenforgalmi adó</t>
  </si>
  <si>
    <t>Bevételi  forrás  megnevezése</t>
  </si>
  <si>
    <t>Működési bevételek</t>
  </si>
  <si>
    <t>Maradvány működési célú igénybevétele</t>
  </si>
  <si>
    <t>Munkáltatót terhelő járulékok és szociális hozzájárulási adó</t>
  </si>
  <si>
    <t>Tartalék felhalmozási célú igénybevétele</t>
  </si>
  <si>
    <t>Központi, irányító szervi támogatás foly.</t>
  </si>
  <si>
    <t>Rovatrend</t>
  </si>
  <si>
    <t>Finanszírozási bevételek</t>
  </si>
  <si>
    <t>Bevételek összesen</t>
  </si>
  <si>
    <t>Finanszírozási kiadások</t>
  </si>
  <si>
    <t>Kiadások összesen</t>
  </si>
  <si>
    <t>Sorszám</t>
  </si>
  <si>
    <t>Időpont</t>
  </si>
  <si>
    <t>Finanszírozandó összeg</t>
  </si>
  <si>
    <t>6.</t>
  </si>
  <si>
    <t>9.</t>
  </si>
  <si>
    <t>10.</t>
  </si>
  <si>
    <t>11.</t>
  </si>
  <si>
    <t>12.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</si>
  <si>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</si>
  <si>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</si>
  <si>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</si>
  <si>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átvett pénzeszközök</t>
  </si>
  <si>
    <t>FINANSZÍROZÁSI BEVÉTELEK</t>
  </si>
  <si>
    <t>Választott tisztségviselők juttatásai</t>
  </si>
  <si>
    <t xml:space="preserve"> - Üzemeltetési anyagok beszerzése</t>
  </si>
  <si>
    <t xml:space="preserve"> - Telefon költség</t>
  </si>
  <si>
    <t xml:space="preserve"> - Karbantartási, kisjavítási szolgáltatások</t>
  </si>
  <si>
    <t xml:space="preserve"> - Egyéb szolgáltatások</t>
  </si>
  <si>
    <t xml:space="preserve"> - Működési célú előzetesen felszámított általános forgalmi adó</t>
  </si>
  <si>
    <t xml:space="preserve"> - Fizetendő általános forgalmi adó</t>
  </si>
  <si>
    <t xml:space="preserve"> - Biztosítási díjak</t>
  </si>
  <si>
    <t xml:space="preserve"> - Nagypáli Tűzoltó Egyesület működési hozzájárulás</t>
  </si>
  <si>
    <t xml:space="preserve"> - Pályázati Menedzsment Iroda Nonpr.Kft. Támogatása</t>
  </si>
  <si>
    <t xml:space="preserve"> - Nagypáli Nyugdíjas Klub támogatása</t>
  </si>
  <si>
    <t>Maradvány felhalmozási célú igénybevétele</t>
  </si>
  <si>
    <t>081030</t>
  </si>
  <si>
    <t>Sportlétesítmények, edzőtáborok működtetése és fejlesztése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</si>
  <si>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eredeti előirányzata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</si>
  <si>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eredeti előirányzata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</si>
  <si>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eredeti előirányzata</t>
    </r>
  </si>
  <si>
    <t>2. Finanszírozási bevételek</t>
  </si>
  <si>
    <t>2.2. Előző évi maradvány igénybevétele</t>
  </si>
  <si>
    <t>2. Munkáltatót terhelő járulékok és szociális hozzájárulási adó</t>
  </si>
  <si>
    <t>3. Dologi kiadások</t>
  </si>
  <si>
    <t>Költségvetési egyenleg megállapítása, hiány finanszírozásának módja, többlet felhasználása - 5. melléklet</t>
  </si>
  <si>
    <t>9. melléklet</t>
  </si>
  <si>
    <t>10. melléklet</t>
  </si>
  <si>
    <t>11. melléklet</t>
  </si>
  <si>
    <t>12. melléklet</t>
  </si>
  <si>
    <t xml:space="preserve"> - Üdülőhelyi feladatok támogatása</t>
  </si>
  <si>
    <t xml:space="preserve">  - Közfoglalkoztatottak bére</t>
  </si>
  <si>
    <t xml:space="preserve">Működési célú támogatások bevételei államháztartáson belülről </t>
  </si>
  <si>
    <t>Alsónemesapáti, Nemesapáti, Kisbucsa, Nemeshetéstől pénzeszköz átvétel</t>
  </si>
  <si>
    <t>Felhalmozási bevételek</t>
  </si>
  <si>
    <t>B1-B6</t>
  </si>
  <si>
    <t xml:space="preserve"> - Könyv, folyóirat</t>
  </si>
  <si>
    <t xml:space="preserve"> - Postaköltség</t>
  </si>
  <si>
    <t xml:space="preserve"> -Utalványdíjak (bankköltség)</t>
  </si>
  <si>
    <t xml:space="preserve"> - Szállítási díjak</t>
  </si>
  <si>
    <t xml:space="preserve"> -Göcsej-Zala mente Leader Egyesület tagdíj hozzájárulás</t>
  </si>
  <si>
    <t>Államháztartáson belüli megelőlegezések visszafizetése</t>
  </si>
  <si>
    <t xml:space="preserve"> -Óvoda finanszírozás Egervár</t>
  </si>
  <si>
    <t xml:space="preserve"> -Iskolai étkeztetés Egervár</t>
  </si>
  <si>
    <t xml:space="preserve"> -Polgárőr Egyesület Nagypáli működésének támogatása</t>
  </si>
  <si>
    <t>900020</t>
  </si>
  <si>
    <t>018030</t>
  </si>
  <si>
    <t>Támogatási célú finanszírozási műveletek</t>
  </si>
  <si>
    <t>Irányító szervi támogatások folyósítását/államháztartáson belüli megelőlegezésének visszafizetését követő többlet / hiány</t>
  </si>
  <si>
    <t>Államháztartáson belüli megelőlegezések visszafiz.</t>
  </si>
  <si>
    <t xml:space="preserve">Egyéb működési célú kiadások </t>
  </si>
  <si>
    <t>Helyi adó bevételhez tartozó közvetett támogatások</t>
  </si>
  <si>
    <t>Termékek és szolgáltatások adóihoz tartozó közvetett támogatások</t>
  </si>
  <si>
    <t>Önkorm. Által saját hatáskörben adott ellátás</t>
  </si>
  <si>
    <t xml:space="preserve"> -Észak-Zaláért Egyesület tagdíj hozzájárulás</t>
  </si>
  <si>
    <t xml:space="preserve"> - Internet díj, informatikai szolgáltatás</t>
  </si>
  <si>
    <t>Kiküldetések kiadásai</t>
  </si>
  <si>
    <t xml:space="preserve"> - Ebből BURSA</t>
  </si>
  <si>
    <t>4. Egyéb működési célú kiadások</t>
  </si>
  <si>
    <r>
      <t>2.1. Központi, irányító szervi támogatás (</t>
    </r>
    <r>
      <rPr>
        <b/>
        <sz val="11"/>
        <rFont val="Garamond"/>
        <family val="1"/>
      </rPr>
      <t>Kisbucsa, Nemeshetés Községek Önkormányzatának hozzájárulása</t>
    </r>
    <r>
      <rPr>
        <sz val="11"/>
        <rFont val="Garamond"/>
        <family val="1"/>
      </rPr>
      <t xml:space="preserve"> a Hivatal működéséhez)</t>
    </r>
  </si>
  <si>
    <r>
      <t>2.1.Központi, irányító szervi támogatás (</t>
    </r>
    <r>
      <rPr>
        <b/>
        <sz val="11"/>
        <rFont val="Garamond"/>
        <family val="1"/>
      </rPr>
      <t xml:space="preserve">Nemesapáti, Alsónemesapáti Községek Önkormányzatának hozzájárulása </t>
    </r>
    <r>
      <rPr>
        <sz val="11"/>
        <rFont val="Garamond"/>
        <family val="1"/>
      </rPr>
      <t>a Hivatal működéséhez)</t>
    </r>
  </si>
  <si>
    <r>
      <t xml:space="preserve">2.1. Központi, irányító szervi támogatás </t>
    </r>
    <r>
      <rPr>
        <b/>
        <sz val="11"/>
        <rFont val="Garamond"/>
        <family val="1"/>
      </rPr>
      <t>(Nagypáli Község Önkormányzatának hozzájárulása)</t>
    </r>
  </si>
  <si>
    <r>
      <t xml:space="preserve">2.1. Központi, irányító szervi támogatás </t>
    </r>
    <r>
      <rPr>
        <b/>
        <sz val="11"/>
        <rFont val="Garamond"/>
        <family val="1"/>
      </rPr>
      <t>ÁLLAMI NORMATÍVA</t>
    </r>
  </si>
  <si>
    <t xml:space="preserve"> -Egyéb közhatalmi bevételek, adópótlék, adóbírság</t>
  </si>
  <si>
    <t xml:space="preserve"> - Tárgyi eszköz bérbeadásából származó bevétel (teljes egészében csatorna HD)</t>
  </si>
  <si>
    <t xml:space="preserve"> - Bérleti díj bevétel (Autóbusz bérbeadása, Ivóvíz HD, Sportpálya bérbeadás, Üzleti helyiségek bérbeadása)</t>
  </si>
  <si>
    <t>Közvetített szolgáltatások értéke (Bolt költségátalánya)</t>
  </si>
  <si>
    <t>Kamatbevétel</t>
  </si>
  <si>
    <t>Egyéb működési bevételek (így Közüzemi díj, Egyéb visszatérítések)</t>
  </si>
  <si>
    <t>Általános forgalmi adó visszatérítése (Visszaigényel áfa)</t>
  </si>
  <si>
    <t xml:space="preserve"> - RURENER tagdíj 2017. (200 euró)</t>
  </si>
  <si>
    <t xml:space="preserve"> - Kiküldetések kiadásai, reklám-és propaganda kiadások</t>
  </si>
  <si>
    <t xml:space="preserve"> - Bérleti és lízing díjak (Traktor rendelkezésre állása itt került betervezésre)</t>
  </si>
  <si>
    <t xml:space="preserve"> - Állami támogatás AKG+Földalapú - almás után</t>
  </si>
  <si>
    <r>
      <rPr>
        <b/>
        <sz val="12"/>
        <rFont val="Garamond"/>
        <family val="1"/>
      </rPr>
      <t xml:space="preserve">EGYÉB </t>
    </r>
    <r>
      <rPr>
        <sz val="12"/>
        <rFont val="Garamond"/>
        <family val="1"/>
      </rPr>
      <t>tárgyi eszközök beszerzése, létesítése  (NETTÓ)</t>
    </r>
  </si>
  <si>
    <t xml:space="preserve"> -  Általános tartalék</t>
  </si>
  <si>
    <t>Felhalmozási tartalék</t>
  </si>
  <si>
    <t xml:space="preserve">Hosszabb időtartamú közfoglalkoztatás </t>
  </si>
  <si>
    <t xml:space="preserve">Önkormányzati vagyonnal való gazdálkodással kapcsolatos feladatok </t>
  </si>
  <si>
    <t>Vízgazdálkodás (Szennyvíz és ivóvíz)</t>
  </si>
  <si>
    <t>Egyéb szárazföldi személyszállítás</t>
  </si>
  <si>
    <t>045150</t>
  </si>
  <si>
    <t>Költségvetési elsz. szla:</t>
  </si>
  <si>
    <t>Pénztár:</t>
  </si>
  <si>
    <t>Nyitó egyenleg:</t>
  </si>
  <si>
    <t>Bevételek:</t>
  </si>
  <si>
    <t>állami támogatás</t>
  </si>
  <si>
    <t>Ellátmány felvétel</t>
  </si>
  <si>
    <t>Gépjárműadó átvezetése</t>
  </si>
  <si>
    <t>Bérleti díj</t>
  </si>
  <si>
    <t>Buszos kirándulás</t>
  </si>
  <si>
    <t>Bevételek mindösszesen:</t>
  </si>
  <si>
    <t>Kiadások</t>
  </si>
  <si>
    <t>munkabér</t>
  </si>
  <si>
    <t>Megbízási díj</t>
  </si>
  <si>
    <t>Bérek kifizetése</t>
  </si>
  <si>
    <t>Ktg.átalány</t>
  </si>
  <si>
    <t>Önkormányzati képviselők tiszteletdíja</t>
  </si>
  <si>
    <t>Ellátmány felvét</t>
  </si>
  <si>
    <t>Átvezetés kártya alszámlára</t>
  </si>
  <si>
    <t>Üzemanyag</t>
  </si>
  <si>
    <t>Gázdíj</t>
  </si>
  <si>
    <t>Cégautó befizetés</t>
  </si>
  <si>
    <t>Egyéb anyagbeszerzés</t>
  </si>
  <si>
    <t xml:space="preserve">MTZ 892-es traktor és kapcsolódó adapterek bérlése (üzemanyag nélkül), kizárólagos rendelkezésre állás </t>
  </si>
  <si>
    <t>Támogatás (PMI)</t>
  </si>
  <si>
    <t>Támogatás (NFÖ)</t>
  </si>
  <si>
    <t>Támogatás (Faluért Alapítvány)</t>
  </si>
  <si>
    <t>Vagyonnyilatkozattételi nyomtatványcsomag</t>
  </si>
  <si>
    <t>Postabélyeg</t>
  </si>
  <si>
    <t>Étkezés</t>
  </si>
  <si>
    <t>Áramdíj</t>
  </si>
  <si>
    <t>Kiadói tevékenység (Észak-Nyugat Zala Újság)</t>
  </si>
  <si>
    <t>Újság előfizetés</t>
  </si>
  <si>
    <t>Bankköltség</t>
  </si>
  <si>
    <t>Kiadások mindösszesen:</t>
  </si>
  <si>
    <t>Fogorvosi ügyelet hozzájárulás</t>
  </si>
  <si>
    <t>Nagypáli Község Önkormányzat útjainak kezelésével kapcsolatos feladatok ellátásában való közreműködés</t>
  </si>
  <si>
    <t>Ivóvíz, szennyvízdíj</t>
  </si>
  <si>
    <t>Egyenlegek alakulása:</t>
  </si>
  <si>
    <t>Biztosítás Mercedesz busz (NHA357)</t>
  </si>
  <si>
    <t>Költségvetési elsz.szla.:</t>
  </si>
  <si>
    <t>Fedezet biztosítás, tagdíj (NHA357)</t>
  </si>
  <si>
    <t>Kártya alszámla:</t>
  </si>
  <si>
    <t>Valutapénztás (EUR)</t>
  </si>
  <si>
    <t>Valutapénztás (RON)</t>
  </si>
  <si>
    <t>Valutapénztás (PLN)</t>
  </si>
  <si>
    <t>Magánszemélyek kommunális adója:</t>
  </si>
  <si>
    <t>Bursa ösztöndíj</t>
  </si>
  <si>
    <t>Idegenforglmi adó:</t>
  </si>
  <si>
    <t>Illeték beszedési számla:</t>
  </si>
  <si>
    <t>Telefon, internet, Kábel tv</t>
  </si>
  <si>
    <t>Bírság számla:</t>
  </si>
  <si>
    <t>Késedelmi pótlék:</t>
  </si>
  <si>
    <t>Talajterhelési díj:</t>
  </si>
  <si>
    <t xml:space="preserve">Szőnyeg bérlet és tisztítás költségei </t>
  </si>
  <si>
    <t>Idegen bevételi számla:</t>
  </si>
  <si>
    <t>Telefon szolg.</t>
  </si>
  <si>
    <t>Jövedéki adó beszedési számla:</t>
  </si>
  <si>
    <t>Állami hozzájárulások számla:</t>
  </si>
  <si>
    <t>Termőföld bérbeadási számla:</t>
  </si>
  <si>
    <t>Egyéb bevételek beszedési számla:</t>
  </si>
  <si>
    <t>Gépjárműadó beszedési számla:</t>
  </si>
  <si>
    <t>Nagypáli szennyvízhasználati díj:</t>
  </si>
  <si>
    <t>Vállalati vagyon- és felelősségbiztosítás</t>
  </si>
  <si>
    <t>Kispáli szennyvízhasználati díj:</t>
  </si>
  <si>
    <t>Nagykutas szennyvízhasználati díj:</t>
  </si>
  <si>
    <t>Kiskutas szennyvízhasználati díj:</t>
  </si>
  <si>
    <t>Nagypáli szennyvízhasználati díj Ságod-Neszele:</t>
  </si>
  <si>
    <t>Biomassza erőmű számla:</t>
  </si>
  <si>
    <t>EMVA támogatás:</t>
  </si>
  <si>
    <t>Közfoglalkoztatási számla:</t>
  </si>
  <si>
    <t>Ivóvíz-használati számla:</t>
  </si>
  <si>
    <t>Lekötött betét Np Szennyvízhaszn.díj:</t>
  </si>
  <si>
    <t>Zalavölgye Takarékszövetkezet</t>
  </si>
  <si>
    <t>Átvezetési bevétel</t>
  </si>
  <si>
    <t>Éttermi vendéglátás</t>
  </si>
  <si>
    <t>Autópálya matrica</t>
  </si>
  <si>
    <t>Kimutatás a költségvetés elfogadásáig beszedett bevételekről, teljesített kiadásokról (adatok Ft-ban) - 7. melléklet</t>
  </si>
  <si>
    <t>- Kiegészítés</t>
  </si>
  <si>
    <t>- Polgármesteri illetmény támogatása</t>
  </si>
  <si>
    <t xml:space="preserve"> -Önkormányzati Hivatal működésének támogatása </t>
  </si>
  <si>
    <t xml:space="preserve"> - Szakmai tevékenységet segítő szolgáltatások</t>
  </si>
  <si>
    <t xml:space="preserve"> -Védőnői szolgálat </t>
  </si>
  <si>
    <t>Egyéb kommunikációs szolgáltatás</t>
  </si>
  <si>
    <t xml:space="preserve"> - Egyéb dologi kiadások </t>
  </si>
  <si>
    <t>Reklám és propagandakiadások</t>
  </si>
  <si>
    <t xml:space="preserve"> - Verseny és Szabadidő Sportegyesület Nagypáli működéséhez hozzájárulás (2017. évi tény alapján)</t>
  </si>
  <si>
    <t>Zala-menti Turisztikai KHT</t>
  </si>
  <si>
    <t xml:space="preserve"> -Magyarországi Települések Közvilágítási Közhasznú Egyesülete</t>
  </si>
  <si>
    <t xml:space="preserve"> -Egyéb civil szervezetek támogatása</t>
  </si>
  <si>
    <t xml:space="preserve"> -EFOP - 1.5.2. - 16 Projekt működési része</t>
  </si>
  <si>
    <t xml:space="preserve"> - EFOP - 1.5.2. - 16 Projekt felhalmozási része</t>
  </si>
  <si>
    <t>Felhalmozási célú támogatások államháztartáson belülről</t>
  </si>
  <si>
    <t>B2</t>
  </si>
  <si>
    <t>EFOP 1.5.2. projekt egyéb tárgyi eszközök beszerzése (NETTÓ)</t>
  </si>
  <si>
    <t>VP 6-7.2.1-7.4.1.2-16 Külterületi helyi közutak fejlesztése (NETTÓ)</t>
  </si>
  <si>
    <t xml:space="preserve">                                                                                 ( Adatok Ft- ban ) </t>
  </si>
  <si>
    <t>MRM Nonprofit Kft. Cégtulajdon vásárlás</t>
  </si>
  <si>
    <t xml:space="preserve"> - VP 6-7.2.1-7.4.1.2-16 Külterületi helyi közutak fejlesztése</t>
  </si>
  <si>
    <t xml:space="preserve"> -Szennyvíz, víz- alszámla pénzkészlete</t>
  </si>
  <si>
    <t xml:space="preserve"> - EFOP 1.5.2.-16 Tartalék</t>
  </si>
  <si>
    <t>Központi, irányító szervi támogatások folyósítása</t>
  </si>
  <si>
    <r>
      <t xml:space="preserve">2.1. Központi, irányító szervi támogatás </t>
    </r>
    <r>
      <rPr>
        <b/>
        <sz val="11"/>
        <rFont val="Garamond"/>
        <family val="1"/>
      </rPr>
      <t>(Kispáli Község Önkormányzatának hozzájárulása)</t>
    </r>
  </si>
  <si>
    <r>
      <t xml:space="preserve">2.1. Központi, irányító szervi támogatás </t>
    </r>
    <r>
      <rPr>
        <b/>
        <sz val="11"/>
        <rFont val="Garamond"/>
        <family val="1"/>
      </rPr>
      <t>(Pethőhenye Község Önkormányzatának hozzájárulása)</t>
    </r>
  </si>
  <si>
    <r>
      <t xml:space="preserve">2.1. Központi, irányító szervi támogatás </t>
    </r>
    <r>
      <rPr>
        <b/>
        <sz val="11"/>
        <rFont val="Garamond"/>
        <family val="1"/>
      </rPr>
      <t>(Gősfa Község Önkormányzatának hozzájárulása)</t>
    </r>
  </si>
  <si>
    <r>
      <t xml:space="preserve">2.1. Központi, irányító szervi támogatás </t>
    </r>
    <r>
      <rPr>
        <b/>
        <sz val="11"/>
        <rFont val="Garamond"/>
        <family val="1"/>
      </rPr>
      <t>(Vasboldogasszony Község Önkormányzatának hozzájárulása)</t>
    </r>
  </si>
  <si>
    <r>
      <t xml:space="preserve">2.1. Központi, irányító szervi támogatás </t>
    </r>
    <r>
      <rPr>
        <b/>
        <sz val="11"/>
        <rFont val="Garamond"/>
        <family val="1"/>
      </rPr>
      <t>(Nagypáli Község Önkormányzatának hozzájárulása nyelvpótlékhoz)</t>
    </r>
  </si>
  <si>
    <t>2.4. Jegyzői bérhez hozzájárulás</t>
  </si>
  <si>
    <t>Nagypáli Község Önkormányzatának 2018. évi bevételi előirányzatai működési és felhalmozási cél szerinti bontásban (adatok Ft-ban)                                                                                          1. melléklet</t>
  </si>
  <si>
    <t>Nagypáli Község Önkormányzatánakt 2018. évi  költségvetési kiadásai működési és felhalmozási cél szerinti bontásban és létszám előirányzata                                                                                                          (adatok Ft-ban) -2. melléklet</t>
  </si>
  <si>
    <t xml:space="preserve">Nagypáli Közös Önkormányzati Hivatal  2018. évi bevételei és kiadásai (ÖSSZETOLT  adatok Ft-ban)                                                               </t>
  </si>
  <si>
    <t>2018. évi kormányzati funkció</t>
  </si>
  <si>
    <t>2018. évi kormányzati funkció elnevezése</t>
  </si>
  <si>
    <t>Bevétel 2018. évi eredeti előirányzata</t>
  </si>
  <si>
    <t>Kiadás 2018. évi eredeti előirányzata</t>
  </si>
  <si>
    <t>Helyi önkormányzat bevételei és kiadásai kormányzati funkciók szerinti bontásban (adatok Ft-ban)- 4. melléklet</t>
  </si>
  <si>
    <t xml:space="preserve"> /adatok Ft-ban/</t>
  </si>
  <si>
    <t>2018. évi eredeti előirányzat</t>
  </si>
  <si>
    <t>2018. évi eredeti eir. Működési</t>
  </si>
  <si>
    <t xml:space="preserve">2018. évi eredeti eir. Felhalmozási </t>
  </si>
  <si>
    <t>Európai Uniós forrásból finanszírozott támogatással megvalósuló projektek bevételei, kiadásai, az azokhoz történő hozzájárulás (adatok Ft-ban) - 6. melléklet</t>
  </si>
  <si>
    <t>2018. évi önkormányzati hozzájárulások EU-s projektekhez (visszatérítendő támogatások)</t>
  </si>
  <si>
    <t>2018. évi várható bevétel (Ft)</t>
  </si>
  <si>
    <t>2018. évi várható kiadás (Ft)</t>
  </si>
  <si>
    <t>Költségvetési évet követő három év keretszámai (adatok Ft-ban) - 8. melléklet</t>
  </si>
  <si>
    <t>2018. január</t>
  </si>
  <si>
    <t>2018. február</t>
  </si>
  <si>
    <t>2018. március</t>
  </si>
  <si>
    <t>2018. április</t>
  </si>
  <si>
    <t>2018. május</t>
  </si>
  <si>
    <t>2018. június</t>
  </si>
  <si>
    <t>2018. július</t>
  </si>
  <si>
    <t>2018. augusztus</t>
  </si>
  <si>
    <t>2018. szeptember</t>
  </si>
  <si>
    <t>2018. október</t>
  </si>
  <si>
    <t>2018. november</t>
  </si>
  <si>
    <t>2018. december</t>
  </si>
  <si>
    <t>Kimutatás az önkormányzat által nyújtott közvetett támogatásokról (adatok Ft-ban)</t>
  </si>
  <si>
    <t xml:space="preserve">                             Költségvetési mérleg közgazdasági tagolásban (adatok Ft-ban)</t>
  </si>
  <si>
    <t>2018. évi eredeti eir. Összesen</t>
  </si>
  <si>
    <t xml:space="preserve"> - EFOP - 1.5.2. -16 Projekt</t>
  </si>
  <si>
    <t xml:space="preserve"> Előirányzat-felhasználási ütemterv, finanszírozási ütemterv</t>
  </si>
  <si>
    <t>082091</t>
  </si>
  <si>
    <t>Közművelődés-közösségi és társadalmi részvétel fejlesztés (EFOP)</t>
  </si>
  <si>
    <t>Önk. Funkcióra nem sorolható bevételei áht-on kívülről</t>
  </si>
  <si>
    <t>ASP működtet5ése</t>
  </si>
  <si>
    <t>Társulás pénzvagyonának átadása</t>
  </si>
  <si>
    <t>Buszos kirándulás bevétele</t>
  </si>
  <si>
    <t>Gyümölcs értékesítés</t>
  </si>
  <si>
    <t>Visszautalt támogatás</t>
  </si>
  <si>
    <t>Postai befizetés</t>
  </si>
  <si>
    <t>Települési támogatás</t>
  </si>
  <si>
    <t>Adomány (Országos Mentőszolgálat Alapítvány)</t>
  </si>
  <si>
    <t>Vezeték nélküli kamera</t>
  </si>
  <si>
    <t>Tűzifa vásárlás</t>
  </si>
  <si>
    <t>Vissza nem térítendő támogatás</t>
  </si>
  <si>
    <t>MRM üzletrész vásárlás</t>
  </si>
  <si>
    <t>Ispa használati díj</t>
  </si>
  <si>
    <t>sertés</t>
  </si>
  <si>
    <t>fűtéskapcsoló csere</t>
  </si>
  <si>
    <t>Bérmunka</t>
  </si>
  <si>
    <t>autópálya matrica</t>
  </si>
  <si>
    <t>Koszorú vásárlás</t>
  </si>
  <si>
    <t>Biogas</t>
  </si>
  <si>
    <t>tüdőszűrés</t>
  </si>
  <si>
    <t>Lángőr (kémény tísztítás)</t>
  </si>
  <si>
    <t>reprezentáció</t>
  </si>
  <si>
    <t>Záró egyenleg /2018.03.13./:</t>
  </si>
  <si>
    <t>Újszülött támogatás</t>
  </si>
  <si>
    <t>MRM támogatás</t>
  </si>
  <si>
    <t>(NNB239) bíztosítása</t>
  </si>
  <si>
    <t>villamos energia</t>
  </si>
  <si>
    <t>NHKV Zrt. (hulladék szálítás)</t>
  </si>
  <si>
    <t>futóműjavítás</t>
  </si>
  <si>
    <t>024/20 hrsz. Művelési ágból való kivonás</t>
  </si>
  <si>
    <t>Autójavítás (NNB498)</t>
  </si>
  <si>
    <t xml:space="preserve">ASP Pályázat </t>
  </si>
  <si>
    <t>Munkavédelmi és tűzvédelmi oktatás</t>
  </si>
  <si>
    <t>Reprezentáció</t>
  </si>
  <si>
    <t>Tetőablak</t>
  </si>
  <si>
    <t>Irodaszer</t>
  </si>
  <si>
    <t xml:space="preserve">Javall Consulting Bt. </t>
  </si>
  <si>
    <t>Talajvédelmi terv</t>
  </si>
  <si>
    <t>Mosógép karbantartási díj</t>
  </si>
  <si>
    <t>Repülőjegy</t>
  </si>
  <si>
    <t>Egyéb szolgáltatás</t>
  </si>
  <si>
    <t>Záró pénzkészlet /2018.03.13./</t>
  </si>
  <si>
    <t>vízvételezés tűzcsapról</t>
  </si>
  <si>
    <t>üzemanyag busz</t>
  </si>
  <si>
    <t>jövedéki adó busz</t>
  </si>
  <si>
    <t>METOSZ</t>
  </si>
  <si>
    <t>ügyvédi díj</t>
  </si>
  <si>
    <t>Pénztári készpénzkifizetés</t>
  </si>
  <si>
    <t>Illeték</t>
  </si>
  <si>
    <t>Tulajdonilap másolat</t>
  </si>
  <si>
    <t>Vektoros digitális térkép</t>
  </si>
  <si>
    <t>Térkép másolat</t>
  </si>
  <si>
    <t>Igazgatási, szolgáltatási díj</t>
  </si>
  <si>
    <t>Villámvédelmi felülvizsgálat</t>
  </si>
  <si>
    <t>Ívesített készpénzátutalási megbízás</t>
  </si>
  <si>
    <t>Külterületi út ingatlan megvásárlása</t>
  </si>
  <si>
    <t>Hatósági díj</t>
  </si>
  <si>
    <t>közútfejlesztés</t>
  </si>
  <si>
    <t>Virág</t>
  </si>
  <si>
    <t>Elektromon tűzhely</t>
  </si>
  <si>
    <t>Szállás díj</t>
  </si>
  <si>
    <t>Záró egyenleg /2018.03.13../: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</si>
</sst>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</numFmts>
  <fonts count="89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8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sz val="12"/>
      <color indexed="8"/>
      <name val="Times"/>
      <family val="1"/>
    </font>
    <font>
      <sz val="12"/>
      <name val="Times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i/>
      <u val="single"/>
      <sz val="12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11"/>
      <color indexed="8"/>
      <name val="Garamond"/>
      <family val="1"/>
    </font>
    <font>
      <i/>
      <sz val="12"/>
      <name val="Garamond"/>
      <family val="1"/>
    </font>
    <font>
      <b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i/>
      <u val="single"/>
      <sz val="12"/>
      <color indexed="10"/>
      <name val="Garamond"/>
      <family val="1"/>
    </font>
    <font>
      <b/>
      <i/>
      <sz val="12"/>
      <color indexed="8"/>
      <name val="Garamond"/>
      <family val="1"/>
    </font>
    <font>
      <b/>
      <i/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  <font>
      <i/>
      <u val="single"/>
      <sz val="12"/>
      <color rgb="FFFF0000"/>
      <name val="Garamond"/>
      <family val="1"/>
    </font>
    <font>
      <b/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2" fillId="38" borderId="1" applyNumberForma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41" borderId="7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13" fillId="13" borderId="2" applyNumberFormat="0" applyAlignment="0" applyProtection="0"/>
    <xf numFmtId="0" fontId="0" fillId="42" borderId="12" applyNumberFormat="0" applyFont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70" fillId="49" borderId="0" applyNumberFormat="0" applyBorder="0" applyAlignment="0" applyProtection="0"/>
    <xf numFmtId="0" fontId="71" fillId="50" borderId="13" applyNumberFormat="0" applyAlignment="0" applyProtection="0"/>
    <xf numFmtId="0" fontId="14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16" fillId="39" borderId="16" applyNumberFormat="0" applyAlignment="0" applyProtection="0"/>
    <xf numFmtId="0" fontId="7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2" fillId="0" borderId="0" xfId="90" applyFont="1">
      <alignment/>
      <protection/>
    </xf>
    <xf numFmtId="0" fontId="1" fillId="0" borderId="0" xfId="90">
      <alignment/>
      <protection/>
    </xf>
    <xf numFmtId="0" fontId="3" fillId="0" borderId="0" xfId="0" applyFont="1" applyAlignment="1">
      <alignment/>
    </xf>
    <xf numFmtId="3" fontId="1" fillId="0" borderId="0" xfId="90" applyNumberFormat="1">
      <alignment/>
      <protection/>
    </xf>
    <xf numFmtId="0" fontId="23" fillId="0" borderId="0" xfId="90" applyFont="1" applyBorder="1" applyAlignment="1">
      <alignment horizontal="center"/>
      <protection/>
    </xf>
    <xf numFmtId="0" fontId="23" fillId="0" borderId="0" xfId="90" applyFont="1" applyBorder="1">
      <alignment/>
      <protection/>
    </xf>
    <xf numFmtId="0" fontId="2" fillId="0" borderId="0" xfId="90" applyFont="1" applyBorder="1">
      <alignment/>
      <protection/>
    </xf>
    <xf numFmtId="0" fontId="23" fillId="0" borderId="0" xfId="90" applyFont="1" applyBorder="1" applyAlignment="1">
      <alignment horizontal="right"/>
      <protection/>
    </xf>
    <xf numFmtId="0" fontId="27" fillId="0" borderId="0" xfId="90" applyFont="1">
      <alignment/>
      <protection/>
    </xf>
    <xf numFmtId="0" fontId="27" fillId="0" borderId="0" xfId="90" applyFont="1" applyBorder="1">
      <alignment/>
      <protection/>
    </xf>
    <xf numFmtId="0" fontId="2" fillId="0" borderId="0" xfId="90" applyFont="1">
      <alignment/>
      <protection/>
    </xf>
    <xf numFmtId="0" fontId="1" fillId="0" borderId="0" xfId="90" applyAlignment="1">
      <alignment horizontal="center"/>
      <protection/>
    </xf>
    <xf numFmtId="0" fontId="30" fillId="0" borderId="19" xfId="90" applyFont="1" applyFill="1" applyBorder="1">
      <alignment/>
      <protection/>
    </xf>
    <xf numFmtId="0" fontId="30" fillId="0" borderId="20" xfId="90" applyFont="1" applyFill="1" applyBorder="1">
      <alignment/>
      <protection/>
    </xf>
    <xf numFmtId="3" fontId="30" fillId="0" borderId="20" xfId="90" applyNumberFormat="1" applyFont="1" applyFill="1" applyBorder="1">
      <alignment/>
      <protection/>
    </xf>
    <xf numFmtId="3" fontId="30" fillId="0" borderId="21" xfId="90" applyNumberFormat="1" applyFont="1" applyFill="1" applyBorder="1">
      <alignment/>
      <protection/>
    </xf>
    <xf numFmtId="0" fontId="32" fillId="0" borderId="22" xfId="90" applyFont="1" applyFill="1" applyBorder="1">
      <alignment/>
      <protection/>
    </xf>
    <xf numFmtId="0" fontId="32" fillId="0" borderId="23" xfId="90" applyFont="1" applyFill="1" applyBorder="1">
      <alignment/>
      <protection/>
    </xf>
    <xf numFmtId="0" fontId="32" fillId="0" borderId="23" xfId="90" applyFont="1" applyFill="1" applyBorder="1" applyAlignment="1">
      <alignment horizontal="right"/>
      <protection/>
    </xf>
    <xf numFmtId="0" fontId="32" fillId="0" borderId="24" xfId="90" applyFont="1" applyFill="1" applyBorder="1" applyAlignment="1">
      <alignment horizontal="right"/>
      <protection/>
    </xf>
    <xf numFmtId="0" fontId="37" fillId="0" borderId="25" xfId="90" applyFont="1" applyFill="1" applyBorder="1" applyAlignment="1">
      <alignment wrapText="1"/>
      <protection/>
    </xf>
    <xf numFmtId="0" fontId="32" fillId="0" borderId="26" xfId="90" applyFont="1" applyFill="1" applyBorder="1">
      <alignment/>
      <protection/>
    </xf>
    <xf numFmtId="0" fontId="32" fillId="0" borderId="26" xfId="90" applyFont="1" applyFill="1" applyBorder="1" applyAlignment="1">
      <alignment horizontal="right"/>
      <protection/>
    </xf>
    <xf numFmtId="0" fontId="32" fillId="0" borderId="27" xfId="90" applyFont="1" applyFill="1" applyBorder="1" applyAlignment="1">
      <alignment horizontal="right"/>
      <protection/>
    </xf>
    <xf numFmtId="3" fontId="32" fillId="0" borderId="28" xfId="90" applyNumberFormat="1" applyFont="1" applyFill="1" applyBorder="1">
      <alignment/>
      <protection/>
    </xf>
    <xf numFmtId="3" fontId="30" fillId="0" borderId="29" xfId="90" applyNumberFormat="1" applyFont="1" applyFill="1" applyBorder="1">
      <alignment/>
      <protection/>
    </xf>
    <xf numFmtId="3" fontId="30" fillId="0" borderId="30" xfId="90" applyNumberFormat="1" applyFont="1" applyFill="1" applyBorder="1">
      <alignment/>
      <protection/>
    </xf>
    <xf numFmtId="3" fontId="32" fillId="0" borderId="31" xfId="90" applyNumberFormat="1" applyFont="1" applyFill="1" applyBorder="1" applyAlignment="1">
      <alignment horizontal="left"/>
      <protection/>
    </xf>
    <xf numFmtId="0" fontId="37" fillId="0" borderId="31" xfId="90" applyFont="1" applyFill="1" applyBorder="1" applyAlignment="1">
      <alignment horizontal="center" vertical="center" wrapText="1"/>
      <protection/>
    </xf>
    <xf numFmtId="3" fontId="37" fillId="0" borderId="31" xfId="90" applyNumberFormat="1" applyFont="1" applyFill="1" applyBorder="1" applyAlignment="1">
      <alignment horizontal="right" vertical="center" wrapText="1"/>
      <protection/>
    </xf>
    <xf numFmtId="3" fontId="39" fillId="0" borderId="31" xfId="90" applyNumberFormat="1" applyFont="1" applyFill="1" applyBorder="1" applyAlignment="1">
      <alignment horizontal="right" vertical="center" wrapText="1"/>
      <protection/>
    </xf>
    <xf numFmtId="3" fontId="37" fillId="0" borderId="29" xfId="90" applyNumberFormat="1" applyFont="1" applyFill="1" applyBorder="1" applyAlignment="1">
      <alignment horizontal="right" vertical="center" wrapText="1"/>
      <protection/>
    </xf>
    <xf numFmtId="0" fontId="39" fillId="0" borderId="32" xfId="90" applyFont="1" applyFill="1" applyBorder="1">
      <alignment/>
      <protection/>
    </xf>
    <xf numFmtId="3" fontId="37" fillId="0" borderId="23" xfId="90" applyNumberFormat="1" applyFont="1" applyFill="1" applyBorder="1" applyAlignment="1">
      <alignment horizontal="right"/>
      <protection/>
    </xf>
    <xf numFmtId="3" fontId="37" fillId="0" borderId="31" xfId="90" applyNumberFormat="1" applyFont="1" applyFill="1" applyBorder="1" applyAlignment="1">
      <alignment horizontal="right"/>
      <protection/>
    </xf>
    <xf numFmtId="0" fontId="35" fillId="0" borderId="0" xfId="93" applyFont="1">
      <alignment/>
      <protection/>
    </xf>
    <xf numFmtId="0" fontId="41" fillId="0" borderId="33" xfId="93" applyFont="1" applyBorder="1" applyAlignment="1">
      <alignment horizontal="center" wrapText="1"/>
      <protection/>
    </xf>
    <xf numFmtId="0" fontId="41" fillId="0" borderId="31" xfId="93" applyFont="1" applyBorder="1" applyAlignment="1">
      <alignment horizontal="center" vertical="center" wrapText="1"/>
      <protection/>
    </xf>
    <xf numFmtId="0" fontId="41" fillId="0" borderId="28" xfId="93" applyFont="1" applyBorder="1" applyAlignment="1">
      <alignment horizontal="center" vertical="center" wrapText="1"/>
      <protection/>
    </xf>
    <xf numFmtId="49" fontId="33" fillId="0" borderId="33" xfId="93" applyNumberFormat="1" applyFont="1" applyBorder="1" applyAlignment="1">
      <alignment wrapText="1"/>
      <protection/>
    </xf>
    <xf numFmtId="0" fontId="33" fillId="0" borderId="31" xfId="93" applyFont="1" applyBorder="1" applyAlignment="1">
      <alignment wrapText="1"/>
      <protection/>
    </xf>
    <xf numFmtId="3" fontId="33" fillId="0" borderId="31" xfId="93" applyNumberFormat="1" applyFont="1" applyBorder="1" applyAlignment="1">
      <alignment horizontal="right" wrapText="1"/>
      <protection/>
    </xf>
    <xf numFmtId="3" fontId="33" fillId="0" borderId="28" xfId="93" applyNumberFormat="1" applyFont="1" applyBorder="1" applyAlignment="1">
      <alignment horizontal="right" wrapText="1"/>
      <protection/>
    </xf>
    <xf numFmtId="49" fontId="33" fillId="0" borderId="33" xfId="93" applyNumberFormat="1" applyFont="1" applyBorder="1">
      <alignment/>
      <protection/>
    </xf>
    <xf numFmtId="3" fontId="33" fillId="0" borderId="31" xfId="93" applyNumberFormat="1" applyFont="1" applyBorder="1" applyAlignment="1">
      <alignment wrapText="1"/>
      <protection/>
    </xf>
    <xf numFmtId="0" fontId="41" fillId="0" borderId="31" xfId="93" applyFont="1" applyBorder="1" applyAlignment="1">
      <alignment wrapText="1"/>
      <protection/>
    </xf>
    <xf numFmtId="3" fontId="41" fillId="0" borderId="34" xfId="93" applyNumberFormat="1" applyFont="1" applyBorder="1" applyAlignment="1">
      <alignment horizontal="right" wrapText="1"/>
      <protection/>
    </xf>
    <xf numFmtId="3" fontId="41" fillId="0" borderId="35" xfId="93" applyNumberFormat="1" applyFont="1" applyBorder="1" applyAlignment="1">
      <alignment horizontal="right" wrapText="1"/>
      <protection/>
    </xf>
    <xf numFmtId="3" fontId="35" fillId="0" borderId="0" xfId="93" applyNumberFormat="1" applyFont="1">
      <alignment/>
      <protection/>
    </xf>
    <xf numFmtId="0" fontId="36" fillId="0" borderId="31" xfId="90" applyFont="1" applyBorder="1" applyAlignment="1">
      <alignment horizontal="center" vertical="center" wrapText="1"/>
      <protection/>
    </xf>
    <xf numFmtId="0" fontId="35" fillId="0" borderId="31" xfId="90" applyFont="1" applyBorder="1">
      <alignment/>
      <protection/>
    </xf>
    <xf numFmtId="3" fontId="35" fillId="0" borderId="31" xfId="90" applyNumberFormat="1" applyFont="1" applyBorder="1" applyAlignment="1">
      <alignment horizontal="center"/>
      <protection/>
    </xf>
    <xf numFmtId="0" fontId="35" fillId="0" borderId="31" xfId="90" applyFont="1" applyBorder="1" applyAlignment="1">
      <alignment wrapText="1"/>
      <protection/>
    </xf>
    <xf numFmtId="0" fontId="36" fillId="0" borderId="31" xfId="90" applyFont="1" applyBorder="1">
      <alignment/>
      <protection/>
    </xf>
    <xf numFmtId="3" fontId="36" fillId="0" borderId="31" xfId="90" applyNumberFormat="1" applyFont="1" applyBorder="1" applyAlignment="1">
      <alignment horizontal="center"/>
      <protection/>
    </xf>
    <xf numFmtId="0" fontId="35" fillId="0" borderId="0" xfId="92" applyFont="1" applyFill="1">
      <alignment/>
      <protection/>
    </xf>
    <xf numFmtId="0" fontId="41" fillId="0" borderId="32" xfId="92" applyFont="1" applyFill="1" applyBorder="1" applyAlignment="1">
      <alignment horizontal="center" wrapText="1"/>
      <protection/>
    </xf>
    <xf numFmtId="0" fontId="41" fillId="0" borderId="34" xfId="92" applyFont="1" applyFill="1" applyBorder="1" applyAlignment="1">
      <alignment horizontal="center" wrapText="1"/>
      <protection/>
    </xf>
    <xf numFmtId="0" fontId="41" fillId="0" borderId="36" xfId="92" applyFont="1" applyFill="1" applyBorder="1" applyAlignment="1">
      <alignment horizontal="center" wrapText="1"/>
      <protection/>
    </xf>
    <xf numFmtId="0" fontId="41" fillId="0" borderId="35" xfId="92" applyFont="1" applyFill="1" applyBorder="1" applyAlignment="1">
      <alignment horizontal="center" wrapText="1"/>
      <protection/>
    </xf>
    <xf numFmtId="0" fontId="33" fillId="0" borderId="22" xfId="92" applyFont="1" applyFill="1" applyBorder="1" applyAlignment="1">
      <alignment wrapText="1"/>
      <protection/>
    </xf>
    <xf numFmtId="3" fontId="33" fillId="0" borderId="23" xfId="92" applyNumberFormat="1" applyFont="1" applyFill="1" applyBorder="1" applyAlignment="1">
      <alignment wrapText="1"/>
      <protection/>
    </xf>
    <xf numFmtId="3" fontId="33" fillId="0" borderId="37" xfId="92" applyNumberFormat="1" applyFont="1" applyFill="1" applyBorder="1" applyAlignment="1">
      <alignment wrapText="1"/>
      <protection/>
    </xf>
    <xf numFmtId="3" fontId="33" fillId="0" borderId="24" xfId="92" applyNumberFormat="1" applyFont="1" applyFill="1" applyBorder="1" applyAlignment="1">
      <alignment wrapText="1"/>
      <protection/>
    </xf>
    <xf numFmtId="0" fontId="33" fillId="0" borderId="33" xfId="92" applyFont="1" applyFill="1" applyBorder="1" applyAlignment="1">
      <alignment wrapText="1"/>
      <protection/>
    </xf>
    <xf numFmtId="3" fontId="33" fillId="0" borderId="31" xfId="92" applyNumberFormat="1" applyFont="1" applyFill="1" applyBorder="1" applyAlignment="1">
      <alignment horizontal="right" wrapText="1"/>
      <protection/>
    </xf>
    <xf numFmtId="3" fontId="33" fillId="0" borderId="38" xfId="92" applyNumberFormat="1" applyFont="1" applyFill="1" applyBorder="1" applyAlignment="1">
      <alignment wrapText="1"/>
      <protection/>
    </xf>
    <xf numFmtId="3" fontId="33" fillId="0" borderId="39" xfId="92" applyNumberFormat="1" applyFont="1" applyFill="1" applyBorder="1" applyAlignment="1">
      <alignment wrapText="1"/>
      <protection/>
    </xf>
    <xf numFmtId="3" fontId="33" fillId="0" borderId="40" xfId="92" applyNumberFormat="1" applyFont="1" applyFill="1" applyBorder="1" applyAlignment="1">
      <alignment wrapText="1"/>
      <protection/>
    </xf>
    <xf numFmtId="3" fontId="41" fillId="0" borderId="34" xfId="92" applyNumberFormat="1" applyFont="1" applyFill="1" applyBorder="1" applyAlignment="1">
      <alignment horizontal="right" wrapText="1"/>
      <protection/>
    </xf>
    <xf numFmtId="3" fontId="33" fillId="0" borderId="23" xfId="92" applyNumberFormat="1" applyFont="1" applyFill="1" applyBorder="1" applyAlignment="1">
      <alignment horizontal="right" wrapText="1"/>
      <protection/>
    </xf>
    <xf numFmtId="0" fontId="33" fillId="0" borderId="41" xfId="92" applyFont="1" applyFill="1" applyBorder="1" applyAlignment="1">
      <alignment wrapText="1"/>
      <protection/>
    </xf>
    <xf numFmtId="3" fontId="33" fillId="0" borderId="29" xfId="92" applyNumberFormat="1" applyFont="1" applyFill="1" applyBorder="1" applyAlignment="1">
      <alignment horizontal="right" wrapText="1"/>
      <protection/>
    </xf>
    <xf numFmtId="0" fontId="41" fillId="0" borderId="32" xfId="92" applyFont="1" applyFill="1" applyBorder="1" applyAlignment="1">
      <alignment wrapText="1"/>
      <protection/>
    </xf>
    <xf numFmtId="0" fontId="43" fillId="0" borderId="0" xfId="92" applyFont="1" applyFill="1">
      <alignment/>
      <protection/>
    </xf>
    <xf numFmtId="0" fontId="44" fillId="0" borderId="32" xfId="92" applyFont="1" applyFill="1" applyBorder="1" applyAlignment="1">
      <alignment wrapText="1"/>
      <protection/>
    </xf>
    <xf numFmtId="0" fontId="37" fillId="0" borderId="31" xfId="90" applyFont="1" applyBorder="1" applyAlignment="1">
      <alignment horizontal="center"/>
      <protection/>
    </xf>
    <xf numFmtId="0" fontId="37" fillId="0" borderId="33" xfId="90" applyFont="1" applyFill="1" applyBorder="1" applyAlignment="1">
      <alignment horizontal="center"/>
      <protection/>
    </xf>
    <xf numFmtId="0" fontId="37" fillId="0" borderId="0" xfId="90" applyFont="1" applyAlignment="1">
      <alignment horizontal="center"/>
      <protection/>
    </xf>
    <xf numFmtId="0" fontId="37" fillId="0" borderId="0" xfId="90" applyFont="1">
      <alignment/>
      <protection/>
    </xf>
    <xf numFmtId="0" fontId="37" fillId="0" borderId="0" xfId="90" applyFont="1" applyAlignment="1">
      <alignment/>
      <protection/>
    </xf>
    <xf numFmtId="14" fontId="37" fillId="0" borderId="31" xfId="90" applyNumberFormat="1" applyFont="1" applyBorder="1">
      <alignment/>
      <protection/>
    </xf>
    <xf numFmtId="3" fontId="37" fillId="0" borderId="31" xfId="90" applyNumberFormat="1" applyFont="1" applyBorder="1">
      <alignment/>
      <protection/>
    </xf>
    <xf numFmtId="3" fontId="37" fillId="0" borderId="31" xfId="90" applyNumberFormat="1" applyFont="1" applyBorder="1" applyAlignment="1">
      <alignment/>
      <protection/>
    </xf>
    <xf numFmtId="3" fontId="39" fillId="0" borderId="31" xfId="90" applyNumberFormat="1" applyFont="1" applyBorder="1" applyAlignment="1">
      <alignment horizontal="right"/>
      <protection/>
    </xf>
    <xf numFmtId="0" fontId="2" fillId="0" borderId="0" xfId="90" applyFont="1" applyFill="1">
      <alignment/>
      <protection/>
    </xf>
    <xf numFmtId="0" fontId="1" fillId="0" borderId="0" xfId="90" applyFill="1">
      <alignment/>
      <protection/>
    </xf>
    <xf numFmtId="0" fontId="37" fillId="0" borderId="25" xfId="90" applyFont="1" applyFill="1" applyBorder="1" applyAlignment="1">
      <alignment horizontal="center"/>
      <protection/>
    </xf>
    <xf numFmtId="0" fontId="1" fillId="0" borderId="0" xfId="90" applyFill="1" applyAlignment="1">
      <alignment horizontal="center"/>
      <protection/>
    </xf>
    <xf numFmtId="0" fontId="37" fillId="0" borderId="0" xfId="90" applyFont="1" applyFill="1" applyAlignment="1">
      <alignment horizontal="center"/>
      <protection/>
    </xf>
    <xf numFmtId="0" fontId="37" fillId="0" borderId="0" xfId="90" applyFont="1" applyFill="1">
      <alignment/>
      <protection/>
    </xf>
    <xf numFmtId="0" fontId="37" fillId="0" borderId="0" xfId="90" applyFont="1" applyFill="1" applyBorder="1" applyAlignment="1">
      <alignment/>
      <protection/>
    </xf>
    <xf numFmtId="0" fontId="1" fillId="0" borderId="0" xfId="90" applyFill="1" applyBorder="1" applyAlignment="1">
      <alignment/>
      <protection/>
    </xf>
    <xf numFmtId="0" fontId="35" fillId="0" borderId="0" xfId="0" applyFont="1" applyAlignment="1">
      <alignment/>
    </xf>
    <xf numFmtId="0" fontId="35" fillId="0" borderId="42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43" xfId="0" applyFont="1" applyBorder="1" applyAlignment="1">
      <alignment horizontal="right"/>
    </xf>
    <xf numFmtId="0" fontId="36" fillId="0" borderId="44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6" xfId="0" applyFont="1" applyBorder="1" applyAlignment="1">
      <alignment/>
    </xf>
    <xf numFmtId="0" fontId="35" fillId="0" borderId="47" xfId="0" applyFont="1" applyBorder="1" applyAlignment="1">
      <alignment/>
    </xf>
    <xf numFmtId="0" fontId="35" fillId="0" borderId="48" xfId="0" applyFont="1" applyBorder="1" applyAlignment="1">
      <alignment/>
    </xf>
    <xf numFmtId="0" fontId="35" fillId="0" borderId="49" xfId="0" applyFont="1" applyBorder="1" applyAlignment="1">
      <alignment/>
    </xf>
    <xf numFmtId="0" fontId="37" fillId="0" borderId="0" xfId="90" applyFont="1" applyBorder="1">
      <alignment/>
      <protection/>
    </xf>
    <xf numFmtId="0" fontId="39" fillId="0" borderId="0" xfId="90" applyFont="1" applyBorder="1" applyAlignment="1">
      <alignment horizontal="left"/>
      <protection/>
    </xf>
    <xf numFmtId="3" fontId="39" fillId="0" borderId="0" xfId="90" applyNumberFormat="1" applyFont="1" applyBorder="1" applyAlignment="1">
      <alignment horizontal="center"/>
      <protection/>
    </xf>
    <xf numFmtId="0" fontId="32" fillId="0" borderId="33" xfId="90" applyFont="1" applyFill="1" applyBorder="1" applyAlignment="1">
      <alignment horizontal="left" wrapText="1"/>
      <protection/>
    </xf>
    <xf numFmtId="3" fontId="32" fillId="0" borderId="31" xfId="90" applyNumberFormat="1" applyFont="1" applyFill="1" applyBorder="1" applyAlignment="1">
      <alignment horizontal="right"/>
      <protection/>
    </xf>
    <xf numFmtId="0" fontId="30" fillId="0" borderId="29" xfId="90" applyFont="1" applyFill="1" applyBorder="1" applyAlignment="1">
      <alignment horizontal="center"/>
      <protection/>
    </xf>
    <xf numFmtId="3" fontId="32" fillId="0" borderId="26" xfId="90" applyNumberFormat="1" applyFont="1" applyFill="1" applyBorder="1" applyAlignment="1">
      <alignment horizontal="left"/>
      <protection/>
    </xf>
    <xf numFmtId="3" fontId="32" fillId="0" borderId="50" xfId="90" applyNumberFormat="1" applyFont="1" applyFill="1" applyBorder="1">
      <alignment/>
      <protection/>
    </xf>
    <xf numFmtId="0" fontId="32" fillId="0" borderId="51" xfId="90" applyFont="1" applyBorder="1">
      <alignment/>
      <protection/>
    </xf>
    <xf numFmtId="0" fontId="37" fillId="0" borderId="33" xfId="90" applyFont="1" applyFill="1" applyBorder="1">
      <alignment/>
      <protection/>
    </xf>
    <xf numFmtId="3" fontId="37" fillId="0" borderId="28" xfId="90" applyNumberFormat="1" applyFont="1" applyFill="1" applyBorder="1" applyAlignment="1">
      <alignment horizontal="right" vertical="center" wrapText="1"/>
      <protection/>
    </xf>
    <xf numFmtId="0" fontId="37" fillId="0" borderId="33" xfId="90" applyFont="1" applyFill="1" applyBorder="1" applyAlignment="1">
      <alignment wrapText="1"/>
      <protection/>
    </xf>
    <xf numFmtId="49" fontId="37" fillId="0" borderId="41" xfId="90" applyNumberFormat="1" applyFont="1" applyFill="1" applyBorder="1" applyAlignment="1">
      <alignment wrapText="1"/>
      <protection/>
    </xf>
    <xf numFmtId="3" fontId="37" fillId="0" borderId="30" xfId="90" applyNumberFormat="1" applyFont="1" applyFill="1" applyBorder="1" applyAlignment="1">
      <alignment horizontal="right" vertical="center" wrapText="1"/>
      <protection/>
    </xf>
    <xf numFmtId="0" fontId="37" fillId="0" borderId="22" xfId="90" applyFont="1" applyFill="1" applyBorder="1">
      <alignment/>
      <protection/>
    </xf>
    <xf numFmtId="3" fontId="37" fillId="0" borderId="24" xfId="90" applyNumberFormat="1" applyFont="1" applyFill="1" applyBorder="1" applyAlignment="1">
      <alignment horizontal="right" vertical="center" wrapText="1"/>
      <protection/>
    </xf>
    <xf numFmtId="0" fontId="38" fillId="0" borderId="22" xfId="90" applyFont="1" applyFill="1" applyBorder="1">
      <alignment/>
      <protection/>
    </xf>
    <xf numFmtId="0" fontId="38" fillId="0" borderId="25" xfId="90" applyFont="1" applyFill="1" applyBorder="1">
      <alignment/>
      <protection/>
    </xf>
    <xf numFmtId="3" fontId="37" fillId="0" borderId="26" xfId="90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37" fillId="0" borderId="31" xfId="90" applyNumberFormat="1" applyFont="1" applyBorder="1" applyAlignment="1">
      <alignment horizontal="center"/>
      <protection/>
    </xf>
    <xf numFmtId="0" fontId="41" fillId="0" borderId="3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41" fillId="0" borderId="31" xfId="0" applyFont="1" applyBorder="1" applyAlignment="1">
      <alignment/>
    </xf>
    <xf numFmtId="3" fontId="33" fillId="0" borderId="34" xfId="92" applyNumberFormat="1" applyFont="1" applyFill="1" applyBorder="1" applyAlignment="1">
      <alignment wrapText="1"/>
      <protection/>
    </xf>
    <xf numFmtId="3" fontId="33" fillId="0" borderId="36" xfId="92" applyNumberFormat="1" applyFont="1" applyFill="1" applyBorder="1" applyAlignment="1">
      <alignment wrapText="1"/>
      <protection/>
    </xf>
    <xf numFmtId="3" fontId="33" fillId="0" borderId="35" xfId="92" applyNumberFormat="1" applyFont="1" applyFill="1" applyBorder="1" applyAlignment="1">
      <alignment wrapText="1"/>
      <protection/>
    </xf>
    <xf numFmtId="0" fontId="37" fillId="0" borderId="39" xfId="90" applyFont="1" applyBorder="1">
      <alignment/>
      <protection/>
    </xf>
    <xf numFmtId="0" fontId="37" fillId="0" borderId="52" xfId="90" applyFont="1" applyBorder="1">
      <alignment/>
      <protection/>
    </xf>
    <xf numFmtId="0" fontId="35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left" vertical="top" wrapText="1"/>
    </xf>
    <xf numFmtId="3" fontId="36" fillId="0" borderId="31" xfId="0" applyNumberFormat="1" applyFont="1" applyBorder="1" applyAlignment="1">
      <alignment horizontal="right" vertical="top" wrapText="1"/>
    </xf>
    <xf numFmtId="0" fontId="36" fillId="0" borderId="31" xfId="0" applyFont="1" applyBorder="1" applyAlignment="1">
      <alignment horizontal="center" vertical="top" wrapText="1"/>
    </xf>
    <xf numFmtId="0" fontId="36" fillId="0" borderId="31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3" fontId="35" fillId="0" borderId="31" xfId="0" applyNumberFormat="1" applyFont="1" applyBorder="1" applyAlignment="1">
      <alignment horizontal="right" vertical="top" wrapText="1"/>
    </xf>
    <xf numFmtId="0" fontId="35" fillId="0" borderId="31" xfId="0" applyFont="1" applyBorder="1" applyAlignment="1">
      <alignment horizontal="center" vertical="top" wrapText="1"/>
    </xf>
    <xf numFmtId="3" fontId="1" fillId="0" borderId="0" xfId="90" applyNumberFormat="1" applyFill="1">
      <alignment/>
      <protection/>
    </xf>
    <xf numFmtId="3" fontId="37" fillId="0" borderId="27" xfId="90" applyNumberFormat="1" applyFont="1" applyFill="1" applyBorder="1" applyAlignment="1">
      <alignment horizontal="right" vertical="center" wrapText="1"/>
      <protection/>
    </xf>
    <xf numFmtId="3" fontId="39" fillId="0" borderId="35" xfId="90" applyNumberFormat="1" applyFont="1" applyFill="1" applyBorder="1" applyAlignment="1">
      <alignment horizontal="right" vertical="center" wrapText="1"/>
      <protection/>
    </xf>
    <xf numFmtId="3" fontId="39" fillId="0" borderId="34" xfId="90" applyNumberFormat="1" applyFont="1" applyFill="1" applyBorder="1" applyAlignment="1">
      <alignment horizontal="right"/>
      <protection/>
    </xf>
    <xf numFmtId="3" fontId="37" fillId="0" borderId="38" xfId="90" applyNumberFormat="1" applyFont="1" applyFill="1" applyBorder="1" applyAlignment="1">
      <alignment horizontal="right"/>
      <protection/>
    </xf>
    <xf numFmtId="0" fontId="37" fillId="0" borderId="53" xfId="90" applyFont="1" applyFill="1" applyBorder="1">
      <alignment/>
      <protection/>
    </xf>
    <xf numFmtId="3" fontId="39" fillId="0" borderId="34" xfId="90" applyNumberFormat="1" applyFont="1" applyFill="1" applyBorder="1" applyAlignment="1">
      <alignment horizontal="right" vertical="center" wrapText="1"/>
      <protection/>
    </xf>
    <xf numFmtId="3" fontId="39" fillId="0" borderId="28" xfId="90" applyNumberFormat="1" applyFont="1" applyFill="1" applyBorder="1" applyAlignment="1">
      <alignment horizontal="right" vertical="center" wrapText="1"/>
      <protection/>
    </xf>
    <xf numFmtId="0" fontId="32" fillId="0" borderId="33" xfId="90" applyFont="1" applyFill="1" applyBorder="1" applyAlignment="1">
      <alignment horizontal="right" wrapText="1"/>
      <protection/>
    </xf>
    <xf numFmtId="0" fontId="32" fillId="0" borderId="41" xfId="90" applyFont="1" applyFill="1" applyBorder="1" applyAlignment="1">
      <alignment horizontal="right" wrapText="1"/>
      <protection/>
    </xf>
    <xf numFmtId="0" fontId="30" fillId="0" borderId="32" xfId="90" applyFont="1" applyFill="1" applyBorder="1">
      <alignment/>
      <protection/>
    </xf>
    <xf numFmtId="0" fontId="30" fillId="0" borderId="34" xfId="90" applyFont="1" applyFill="1" applyBorder="1" applyAlignment="1">
      <alignment horizontal="center"/>
      <protection/>
    </xf>
    <xf numFmtId="3" fontId="30" fillId="0" borderId="34" xfId="90" applyNumberFormat="1" applyFont="1" applyFill="1" applyBorder="1">
      <alignment/>
      <protection/>
    </xf>
    <xf numFmtId="3" fontId="30" fillId="0" borderId="35" xfId="90" applyNumberFormat="1" applyFont="1" applyFill="1" applyBorder="1">
      <alignment/>
      <protection/>
    </xf>
    <xf numFmtId="0" fontId="2" fillId="0" borderId="0" xfId="90" applyFont="1" applyFill="1" applyBorder="1">
      <alignment/>
      <protection/>
    </xf>
    <xf numFmtId="0" fontId="2" fillId="0" borderId="0" xfId="90" applyFont="1" applyFill="1">
      <alignment/>
      <protection/>
    </xf>
    <xf numFmtId="0" fontId="32" fillId="0" borderId="33" xfId="90" applyFont="1" applyFill="1" applyBorder="1" applyAlignment="1">
      <alignment horizontal="right"/>
      <protection/>
    </xf>
    <xf numFmtId="0" fontId="32" fillId="0" borderId="31" xfId="90" applyFont="1" applyFill="1" applyBorder="1">
      <alignment/>
      <protection/>
    </xf>
    <xf numFmtId="0" fontId="30" fillId="0" borderId="54" xfId="90" applyFont="1" applyFill="1" applyBorder="1">
      <alignment/>
      <protection/>
    </xf>
    <xf numFmtId="0" fontId="32" fillId="0" borderId="55" xfId="90" applyFont="1" applyFill="1" applyBorder="1">
      <alignment/>
      <protection/>
    </xf>
    <xf numFmtId="0" fontId="30" fillId="0" borderId="34" xfId="90" applyFont="1" applyFill="1" applyBorder="1" applyAlignment="1">
      <alignment horizontal="center" wrapText="1"/>
      <protection/>
    </xf>
    <xf numFmtId="0" fontId="36" fillId="0" borderId="34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0" fillId="0" borderId="23" xfId="90" applyFont="1" applyFill="1" applyBorder="1">
      <alignment/>
      <protection/>
    </xf>
    <xf numFmtId="3" fontId="32" fillId="0" borderId="23" xfId="90" applyNumberFormat="1" applyFont="1" applyFill="1" applyBorder="1">
      <alignment/>
      <protection/>
    </xf>
    <xf numFmtId="3" fontId="32" fillId="0" borderId="24" xfId="90" applyNumberFormat="1" applyFont="1" applyFill="1" applyBorder="1">
      <alignment/>
      <protection/>
    </xf>
    <xf numFmtId="0" fontId="32" fillId="0" borderId="41" xfId="90" applyFont="1" applyFill="1" applyBorder="1">
      <alignment/>
      <protection/>
    </xf>
    <xf numFmtId="0" fontId="32" fillId="0" borderId="29" xfId="90" applyFont="1" applyFill="1" applyBorder="1">
      <alignment/>
      <protection/>
    </xf>
    <xf numFmtId="3" fontId="32" fillId="0" borderId="29" xfId="90" applyNumberFormat="1" applyFont="1" applyFill="1" applyBorder="1">
      <alignment/>
      <protection/>
    </xf>
    <xf numFmtId="3" fontId="32" fillId="0" borderId="30" xfId="90" applyNumberFormat="1" applyFont="1" applyFill="1" applyBorder="1">
      <alignment/>
      <protection/>
    </xf>
    <xf numFmtId="0" fontId="30" fillId="0" borderId="33" xfId="90" applyFont="1" applyFill="1" applyBorder="1">
      <alignment/>
      <protection/>
    </xf>
    <xf numFmtId="3" fontId="30" fillId="0" borderId="31" xfId="90" applyNumberFormat="1" applyFont="1" applyFill="1" applyBorder="1">
      <alignment/>
      <protection/>
    </xf>
    <xf numFmtId="3" fontId="30" fillId="0" borderId="28" xfId="90" applyNumberFormat="1" applyFont="1" applyFill="1" applyBorder="1">
      <alignment/>
      <protection/>
    </xf>
    <xf numFmtId="0" fontId="32" fillId="0" borderId="33" xfId="90" applyFont="1" applyFill="1" applyBorder="1">
      <alignment/>
      <protection/>
    </xf>
    <xf numFmtId="0" fontId="30" fillId="0" borderId="31" xfId="90" applyFont="1" applyFill="1" applyBorder="1">
      <alignment/>
      <protection/>
    </xf>
    <xf numFmtId="3" fontId="32" fillId="0" borderId="31" xfId="90" applyNumberFormat="1" applyFont="1" applyFill="1" applyBorder="1">
      <alignment/>
      <protection/>
    </xf>
    <xf numFmtId="0" fontId="30" fillId="0" borderId="29" xfId="90" applyFont="1" applyFill="1" applyBorder="1">
      <alignment/>
      <protection/>
    </xf>
    <xf numFmtId="0" fontId="30" fillId="0" borderId="41" xfId="90" applyFont="1" applyFill="1" applyBorder="1">
      <alignment/>
      <protection/>
    </xf>
    <xf numFmtId="0" fontId="30" fillId="0" borderId="32" xfId="90" applyFont="1" applyFill="1" applyBorder="1" applyAlignment="1">
      <alignment wrapText="1"/>
      <protection/>
    </xf>
    <xf numFmtId="0" fontId="32" fillId="0" borderId="53" xfId="90" applyFont="1" applyFill="1" applyBorder="1" applyAlignment="1">
      <alignment horizontal="right" wrapText="1"/>
      <protection/>
    </xf>
    <xf numFmtId="0" fontId="30" fillId="0" borderId="38" xfId="90" applyFont="1" applyFill="1" applyBorder="1" applyAlignment="1">
      <alignment horizontal="center"/>
      <protection/>
    </xf>
    <xf numFmtId="3" fontId="32" fillId="0" borderId="38" xfId="90" applyNumberFormat="1" applyFont="1" applyFill="1" applyBorder="1" applyAlignment="1">
      <alignment horizontal="left"/>
      <protection/>
    </xf>
    <xf numFmtId="3" fontId="30" fillId="0" borderId="40" xfId="90" applyNumberFormat="1" applyFont="1" applyFill="1" applyBorder="1">
      <alignment/>
      <protection/>
    </xf>
    <xf numFmtId="3" fontId="32" fillId="0" borderId="28" xfId="90" applyNumberFormat="1" applyFont="1" applyFill="1" applyBorder="1" applyAlignment="1">
      <alignment horizontal="left"/>
      <protection/>
    </xf>
    <xf numFmtId="0" fontId="32" fillId="0" borderId="31" xfId="90" applyFont="1" applyFill="1" applyBorder="1" applyAlignment="1">
      <alignment horizontal="left"/>
      <protection/>
    </xf>
    <xf numFmtId="0" fontId="32" fillId="0" borderId="25" xfId="90" applyFont="1" applyFill="1" applyBorder="1" applyAlignment="1">
      <alignment horizontal="right"/>
      <protection/>
    </xf>
    <xf numFmtId="0" fontId="32" fillId="0" borderId="56" xfId="90" applyFont="1" applyFill="1" applyBorder="1">
      <alignment/>
      <protection/>
    </xf>
    <xf numFmtId="0" fontId="37" fillId="0" borderId="33" xfId="90" applyFont="1" applyFill="1" applyBorder="1" applyAlignment="1">
      <alignment horizontal="right"/>
      <protection/>
    </xf>
    <xf numFmtId="0" fontId="32" fillId="0" borderId="51" xfId="90" applyFont="1" applyFill="1" applyBorder="1">
      <alignment/>
      <protection/>
    </xf>
    <xf numFmtId="3" fontId="32" fillId="0" borderId="56" xfId="90" applyNumberFormat="1" applyFont="1" applyFill="1" applyBorder="1">
      <alignment/>
      <protection/>
    </xf>
    <xf numFmtId="3" fontId="32" fillId="0" borderId="40" xfId="90" applyNumberFormat="1" applyFont="1" applyFill="1" applyBorder="1">
      <alignment/>
      <protection/>
    </xf>
    <xf numFmtId="0" fontId="30" fillId="0" borderId="51" xfId="90" applyFont="1" applyFill="1" applyBorder="1" applyAlignment="1">
      <alignment wrapText="1"/>
      <protection/>
    </xf>
    <xf numFmtId="0" fontId="30" fillId="0" borderId="56" xfId="90" applyFont="1" applyFill="1" applyBorder="1">
      <alignment/>
      <protection/>
    </xf>
    <xf numFmtId="3" fontId="30" fillId="0" borderId="56" xfId="90" applyNumberFormat="1" applyFont="1" applyFill="1" applyBorder="1">
      <alignment/>
      <protection/>
    </xf>
    <xf numFmtId="0" fontId="30" fillId="0" borderId="31" xfId="90" applyFont="1" applyFill="1" applyBorder="1" applyAlignment="1">
      <alignment horizontal="right"/>
      <protection/>
    </xf>
    <xf numFmtId="0" fontId="30" fillId="0" borderId="31" xfId="90" applyFont="1" applyFill="1" applyBorder="1" applyAlignment="1">
      <alignment horizontal="center"/>
      <protection/>
    </xf>
    <xf numFmtId="0" fontId="30" fillId="0" borderId="33" xfId="90" applyFont="1" applyFill="1" applyBorder="1" applyAlignment="1">
      <alignment wrapText="1"/>
      <protection/>
    </xf>
    <xf numFmtId="0" fontId="31" fillId="0" borderId="31" xfId="90" applyFont="1" applyFill="1" applyBorder="1">
      <alignment/>
      <protection/>
    </xf>
    <xf numFmtId="3" fontId="32" fillId="0" borderId="27" xfId="90" applyNumberFormat="1" applyFont="1" applyFill="1" applyBorder="1" applyAlignment="1">
      <alignment horizontal="left"/>
      <protection/>
    </xf>
    <xf numFmtId="3" fontId="32" fillId="0" borderId="26" xfId="90" applyNumberFormat="1" applyFont="1" applyFill="1" applyBorder="1">
      <alignment/>
      <protection/>
    </xf>
    <xf numFmtId="3" fontId="30" fillId="0" borderId="34" xfId="90" applyNumberFormat="1" applyFont="1" applyFill="1" applyBorder="1" applyAlignment="1">
      <alignment horizontal="right"/>
      <protection/>
    </xf>
    <xf numFmtId="3" fontId="32" fillId="0" borderId="38" xfId="90" applyNumberFormat="1" applyFont="1" applyFill="1" applyBorder="1">
      <alignment/>
      <protection/>
    </xf>
    <xf numFmtId="0" fontId="30" fillId="0" borderId="32" xfId="90" applyFont="1" applyFill="1" applyBorder="1" applyAlignment="1">
      <alignment horizontal="left" wrapText="1"/>
      <protection/>
    </xf>
    <xf numFmtId="3" fontId="30" fillId="0" borderId="35" xfId="90" applyNumberFormat="1" applyFont="1" applyFill="1" applyBorder="1" applyAlignment="1">
      <alignment horizontal="right"/>
      <protection/>
    </xf>
    <xf numFmtId="0" fontId="32" fillId="0" borderId="53" xfId="90" applyFont="1" applyFill="1" applyBorder="1" applyAlignment="1">
      <alignment horizontal="left" wrapText="1"/>
      <protection/>
    </xf>
    <xf numFmtId="3" fontId="30" fillId="0" borderId="50" xfId="90" applyNumberFormat="1" applyFont="1" applyFill="1" applyBorder="1" applyAlignment="1">
      <alignment horizontal="right"/>
      <protection/>
    </xf>
    <xf numFmtId="3" fontId="32" fillId="0" borderId="43" xfId="90" applyNumberFormat="1" applyFont="1" applyFill="1" applyBorder="1">
      <alignment/>
      <protection/>
    </xf>
    <xf numFmtId="0" fontId="24" fillId="0" borderId="0" xfId="90" applyFont="1" applyFill="1">
      <alignment/>
      <protection/>
    </xf>
    <xf numFmtId="0" fontId="32" fillId="0" borderId="41" xfId="90" applyFont="1" applyFill="1" applyBorder="1" applyAlignment="1">
      <alignment horizontal="right"/>
      <protection/>
    </xf>
    <xf numFmtId="3" fontId="32" fillId="0" borderId="29" xfId="90" applyNumberFormat="1" applyFont="1" applyFill="1" applyBorder="1" applyAlignment="1">
      <alignment horizontal="left"/>
      <protection/>
    </xf>
    <xf numFmtId="3" fontId="32" fillId="0" borderId="30" xfId="90" applyNumberFormat="1" applyFont="1" applyFill="1" applyBorder="1" applyAlignment="1">
      <alignment horizontal="left"/>
      <protection/>
    </xf>
    <xf numFmtId="3" fontId="32" fillId="0" borderId="23" xfId="90" applyNumberFormat="1" applyFont="1" applyFill="1" applyBorder="1" applyAlignment="1">
      <alignment horizontal="left"/>
      <protection/>
    </xf>
    <xf numFmtId="0" fontId="23" fillId="0" borderId="0" xfId="90" applyFont="1" applyFill="1" applyBorder="1">
      <alignment/>
      <protection/>
    </xf>
    <xf numFmtId="0" fontId="2" fillId="0" borderId="0" xfId="90" applyFont="1" applyFill="1" applyBorder="1" applyAlignment="1">
      <alignment horizontal="left"/>
      <protection/>
    </xf>
    <xf numFmtId="0" fontId="2" fillId="0" borderId="0" xfId="90" applyFont="1" applyFill="1" applyAlignment="1">
      <alignment horizontal="left"/>
      <protection/>
    </xf>
    <xf numFmtId="0" fontId="25" fillId="0" borderId="0" xfId="90" applyFont="1" applyFill="1" applyBorder="1">
      <alignment/>
      <protection/>
    </xf>
    <xf numFmtId="0" fontId="26" fillId="0" borderId="0" xfId="90" applyFont="1" applyFill="1">
      <alignment/>
      <protection/>
    </xf>
    <xf numFmtId="0" fontId="23" fillId="0" borderId="0" xfId="90" applyFont="1" applyFill="1" applyBorder="1" applyAlignment="1">
      <alignment horizontal="right"/>
      <protection/>
    </xf>
    <xf numFmtId="0" fontId="2" fillId="0" borderId="0" xfId="90" applyFont="1" applyFill="1" applyAlignment="1">
      <alignment horizontal="right"/>
      <protection/>
    </xf>
    <xf numFmtId="3" fontId="2" fillId="0" borderId="0" xfId="90" applyNumberFormat="1" applyFont="1" applyFill="1">
      <alignment/>
      <protection/>
    </xf>
    <xf numFmtId="0" fontId="20" fillId="0" borderId="0" xfId="90" applyFont="1" applyFill="1" applyBorder="1" applyAlignment="1">
      <alignment vertical="center" wrapText="1"/>
      <protection/>
    </xf>
    <xf numFmtId="0" fontId="20" fillId="0" borderId="0" xfId="90" applyFont="1" applyFill="1" applyBorder="1" applyAlignment="1">
      <alignment horizontal="center"/>
      <protection/>
    </xf>
    <xf numFmtId="0" fontId="21" fillId="0" borderId="0" xfId="90" applyFont="1" applyFill="1">
      <alignment/>
      <protection/>
    </xf>
    <xf numFmtId="0" fontId="30" fillId="0" borderId="57" xfId="90" applyFont="1" applyFill="1" applyBorder="1">
      <alignment/>
      <protection/>
    </xf>
    <xf numFmtId="0" fontId="21" fillId="0" borderId="0" xfId="90" applyFont="1" applyFill="1" applyBorder="1" applyAlignment="1">
      <alignment horizontal="centerContinuous"/>
      <protection/>
    </xf>
    <xf numFmtId="0" fontId="21" fillId="0" borderId="0" xfId="90" applyFont="1" applyFill="1" applyBorder="1" applyAlignment="1">
      <alignment horizontal="center"/>
      <protection/>
    </xf>
    <xf numFmtId="0" fontId="21" fillId="0" borderId="0" xfId="90" applyFont="1" applyFill="1" applyBorder="1" applyAlignment="1">
      <alignment horizontal="left"/>
      <protection/>
    </xf>
    <xf numFmtId="0" fontId="30" fillId="0" borderId="53" xfId="90" applyFont="1" applyFill="1" applyBorder="1">
      <alignment/>
      <protection/>
    </xf>
    <xf numFmtId="0" fontId="30" fillId="0" borderId="52" xfId="90" applyFont="1" applyFill="1" applyBorder="1" applyAlignment="1">
      <alignment horizontal="center" wrapText="1"/>
      <protection/>
    </xf>
    <xf numFmtId="0" fontId="30" fillId="0" borderId="40" xfId="90" applyFont="1" applyFill="1" applyBorder="1" applyAlignment="1">
      <alignment horizontal="center"/>
      <protection/>
    </xf>
    <xf numFmtId="0" fontId="31" fillId="0" borderId="33" xfId="90" applyFont="1" applyFill="1" applyBorder="1" applyAlignment="1">
      <alignment vertical="center" wrapText="1"/>
      <protection/>
    </xf>
    <xf numFmtId="0" fontId="31" fillId="0" borderId="31" xfId="90" applyFont="1" applyFill="1" applyBorder="1" applyAlignment="1">
      <alignment wrapText="1"/>
      <protection/>
    </xf>
    <xf numFmtId="3" fontId="31" fillId="0" borderId="31" xfId="90" applyNumberFormat="1" applyFont="1" applyFill="1" applyBorder="1" applyAlignment="1">
      <alignment horizontal="right"/>
      <protection/>
    </xf>
    <xf numFmtId="49" fontId="32" fillId="0" borderId="33" xfId="90" applyNumberFormat="1" applyFont="1" applyFill="1" applyBorder="1" applyAlignment="1">
      <alignment horizontal="right" vertical="center" wrapText="1"/>
      <protection/>
    </xf>
    <xf numFmtId="49" fontId="32" fillId="0" borderId="31" xfId="90" applyNumberFormat="1" applyFont="1" applyFill="1" applyBorder="1" applyAlignment="1">
      <alignment wrapText="1"/>
      <protection/>
    </xf>
    <xf numFmtId="49" fontId="31" fillId="0" borderId="31" xfId="90" applyNumberFormat="1" applyFont="1" applyFill="1" applyBorder="1" applyAlignment="1">
      <alignment wrapText="1"/>
      <protection/>
    </xf>
    <xf numFmtId="0" fontId="31" fillId="0" borderId="33" xfId="90" applyFont="1" applyFill="1" applyBorder="1" applyAlignment="1">
      <alignment horizontal="left" vertical="center" wrapText="1"/>
      <protection/>
    </xf>
    <xf numFmtId="0" fontId="32" fillId="0" borderId="33" xfId="90" applyFont="1" applyFill="1" applyBorder="1" applyAlignment="1">
      <alignment horizontal="right" vertical="center" wrapText="1"/>
      <protection/>
    </xf>
    <xf numFmtId="0" fontId="32" fillId="0" borderId="31" xfId="90" applyFont="1" applyFill="1" applyBorder="1" applyAlignment="1">
      <alignment wrapText="1"/>
      <protection/>
    </xf>
    <xf numFmtId="0" fontId="21" fillId="0" borderId="0" xfId="90" applyFont="1" applyFill="1" applyBorder="1">
      <alignment/>
      <protection/>
    </xf>
    <xf numFmtId="0" fontId="34" fillId="0" borderId="33" xfId="90" applyFont="1" applyFill="1" applyBorder="1" applyAlignment="1">
      <alignment vertical="center"/>
      <protection/>
    </xf>
    <xf numFmtId="0" fontId="34" fillId="0" borderId="31" xfId="90" applyFont="1" applyFill="1" applyBorder="1">
      <alignment/>
      <protection/>
    </xf>
    <xf numFmtId="0" fontId="31" fillId="0" borderId="33" xfId="90" applyFont="1" applyFill="1" applyBorder="1" applyAlignment="1">
      <alignment vertical="center"/>
      <protection/>
    </xf>
    <xf numFmtId="0" fontId="32" fillId="0" borderId="41" xfId="90" applyFont="1" applyFill="1" applyBorder="1" applyAlignment="1">
      <alignment horizontal="right" vertical="center" wrapText="1"/>
      <protection/>
    </xf>
    <xf numFmtId="0" fontId="34" fillId="0" borderId="29" xfId="90" applyFont="1" applyFill="1" applyBorder="1">
      <alignment/>
      <protection/>
    </xf>
    <xf numFmtId="0" fontId="30" fillId="0" borderId="32" xfId="90" applyFont="1" applyFill="1" applyBorder="1" applyAlignment="1">
      <alignment vertical="center" wrapText="1"/>
      <protection/>
    </xf>
    <xf numFmtId="0" fontId="32" fillId="0" borderId="22" xfId="90" applyFont="1" applyFill="1" applyBorder="1" applyAlignment="1">
      <alignment horizontal="right" vertical="center" wrapText="1"/>
      <protection/>
    </xf>
    <xf numFmtId="0" fontId="32" fillId="0" borderId="23" xfId="90" applyFont="1" applyFill="1" applyBorder="1" applyAlignment="1">
      <alignment wrapText="1"/>
      <protection/>
    </xf>
    <xf numFmtId="0" fontId="20" fillId="0" borderId="0" xfId="90" applyFont="1" applyFill="1" applyBorder="1">
      <alignment/>
      <protection/>
    </xf>
    <xf numFmtId="0" fontId="30" fillId="0" borderId="22" xfId="90" applyFont="1" applyFill="1" applyBorder="1" applyAlignment="1">
      <alignment vertical="center" wrapText="1"/>
      <protection/>
    </xf>
    <xf numFmtId="0" fontId="30" fillId="0" borderId="23" xfId="90" applyFont="1" applyFill="1" applyBorder="1" applyAlignment="1">
      <alignment wrapText="1"/>
      <protection/>
    </xf>
    <xf numFmtId="0" fontId="32" fillId="0" borderId="33" xfId="90" applyFont="1" applyFill="1" applyBorder="1" applyAlignment="1">
      <alignment vertical="center" wrapText="1"/>
      <protection/>
    </xf>
    <xf numFmtId="0" fontId="33" fillId="0" borderId="33" xfId="90" applyFont="1" applyFill="1" applyBorder="1" applyAlignment="1">
      <alignment vertical="center" wrapText="1"/>
      <protection/>
    </xf>
    <xf numFmtId="0" fontId="33" fillId="0" borderId="31" xfId="90" applyFont="1" applyFill="1" applyBorder="1">
      <alignment/>
      <protection/>
    </xf>
    <xf numFmtId="0" fontId="30" fillId="0" borderId="33" xfId="90" applyFont="1" applyFill="1" applyBorder="1" applyAlignment="1">
      <alignment vertical="center"/>
      <protection/>
    </xf>
    <xf numFmtId="0" fontId="32" fillId="0" borderId="41" xfId="90" applyFont="1" applyFill="1" applyBorder="1" applyAlignment="1">
      <alignment horizontal="right" vertical="center"/>
      <protection/>
    </xf>
    <xf numFmtId="0" fontId="32" fillId="0" borderId="25" xfId="90" applyFont="1" applyFill="1" applyBorder="1" applyAlignment="1">
      <alignment vertical="center" wrapText="1"/>
      <protection/>
    </xf>
    <xf numFmtId="0" fontId="32" fillId="0" borderId="26" xfId="90" applyFont="1" applyFill="1" applyBorder="1" applyAlignment="1">
      <alignment wrapText="1"/>
      <protection/>
    </xf>
    <xf numFmtId="0" fontId="30" fillId="0" borderId="19" xfId="90" applyFont="1" applyFill="1" applyBorder="1" applyAlignment="1">
      <alignment vertical="center" wrapText="1"/>
      <protection/>
    </xf>
    <xf numFmtId="0" fontId="30" fillId="0" borderId="20" xfId="90" applyFont="1" applyFill="1" applyBorder="1" applyAlignment="1">
      <alignment horizontal="center" wrapText="1"/>
      <protection/>
    </xf>
    <xf numFmtId="0" fontId="32" fillId="0" borderId="41" xfId="90" applyFont="1" applyFill="1" applyBorder="1" applyAlignment="1">
      <alignment vertical="center" wrapText="1"/>
      <protection/>
    </xf>
    <xf numFmtId="0" fontId="32" fillId="0" borderId="29" xfId="90" applyFont="1" applyFill="1" applyBorder="1" applyAlignment="1">
      <alignment wrapText="1"/>
      <protection/>
    </xf>
    <xf numFmtId="0" fontId="30" fillId="0" borderId="32" xfId="90" applyFont="1" applyFill="1" applyBorder="1" applyAlignment="1">
      <alignment vertical="center"/>
      <protection/>
    </xf>
    <xf numFmtId="0" fontId="30" fillId="0" borderId="34" xfId="90" applyFont="1" applyFill="1" applyBorder="1">
      <alignment/>
      <protection/>
    </xf>
    <xf numFmtId="0" fontId="22" fillId="0" borderId="0" xfId="90" applyFont="1" applyFill="1">
      <alignment/>
      <protection/>
    </xf>
    <xf numFmtId="0" fontId="22" fillId="0" borderId="0" xfId="90" applyFont="1" applyFill="1" applyBorder="1">
      <alignment/>
      <protection/>
    </xf>
    <xf numFmtId="0" fontId="1" fillId="0" borderId="0" xfId="90" applyFill="1" applyBorder="1">
      <alignment/>
      <protection/>
    </xf>
    <xf numFmtId="3" fontId="1" fillId="0" borderId="0" xfId="90" applyNumberFormat="1" applyFill="1" applyBorder="1">
      <alignment/>
      <protection/>
    </xf>
    <xf numFmtId="0" fontId="46" fillId="0" borderId="33" xfId="90" applyFont="1" applyFill="1" applyBorder="1" applyAlignment="1">
      <alignment horizontal="right"/>
      <protection/>
    </xf>
    <xf numFmtId="0" fontId="46" fillId="0" borderId="31" xfId="90" applyFont="1" applyFill="1" applyBorder="1" applyAlignment="1">
      <alignment horizontal="center"/>
      <protection/>
    </xf>
    <xf numFmtId="3" fontId="46" fillId="0" borderId="31" xfId="90" applyNumberFormat="1" applyFont="1" applyFill="1" applyBorder="1" applyAlignment="1">
      <alignment horizontal="left"/>
      <protection/>
    </xf>
    <xf numFmtId="0" fontId="32" fillId="0" borderId="53" xfId="90" applyFont="1" applyFill="1" applyBorder="1">
      <alignment/>
      <protection/>
    </xf>
    <xf numFmtId="0" fontId="30" fillId="0" borderId="38" xfId="90" applyFont="1" applyFill="1" applyBorder="1">
      <alignment/>
      <protection/>
    </xf>
    <xf numFmtId="0" fontId="33" fillId="0" borderId="31" xfId="0" applyFont="1" applyBorder="1" applyAlignment="1">
      <alignment horizontal="right" vertical="center" wrapText="1"/>
    </xf>
    <xf numFmtId="0" fontId="33" fillId="0" borderId="23" xfId="0" applyFont="1" applyBorder="1" applyAlignment="1">
      <alignment horizontal="right" vertical="center" wrapText="1"/>
    </xf>
    <xf numFmtId="3" fontId="33" fillId="0" borderId="23" xfId="0" applyNumberFormat="1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3" fontId="2" fillId="0" borderId="0" xfId="90" applyNumberFormat="1" applyFont="1">
      <alignment/>
      <protection/>
    </xf>
    <xf numFmtId="3" fontId="32" fillId="0" borderId="29" xfId="90" applyNumberFormat="1" applyFont="1" applyFill="1" applyBorder="1" applyAlignment="1">
      <alignment horizontal="right"/>
      <protection/>
    </xf>
    <xf numFmtId="3" fontId="30" fillId="0" borderId="29" xfId="90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2" fillId="0" borderId="58" xfId="90" applyFont="1" applyFill="1" applyBorder="1" applyAlignment="1">
      <alignment horizontal="center"/>
      <protection/>
    </xf>
    <xf numFmtId="0" fontId="32" fillId="0" borderId="55" xfId="90" applyFont="1" applyFill="1" applyBorder="1" applyAlignment="1">
      <alignment/>
      <protection/>
    </xf>
    <xf numFmtId="0" fontId="2" fillId="0" borderId="0" xfId="90" applyFont="1" applyFill="1" applyBorder="1">
      <alignment/>
      <protection/>
    </xf>
    <xf numFmtId="0" fontId="38" fillId="0" borderId="59" xfId="90" applyFont="1" applyFill="1" applyBorder="1" applyAlignment="1">
      <alignment horizontal="center"/>
      <protection/>
    </xf>
    <xf numFmtId="0" fontId="38" fillId="0" borderId="57" xfId="90" applyFont="1" applyFill="1" applyBorder="1">
      <alignment/>
      <protection/>
    </xf>
    <xf numFmtId="0" fontId="1" fillId="0" borderId="57" xfId="90" applyBorder="1">
      <alignment/>
      <protection/>
    </xf>
    <xf numFmtId="0" fontId="1" fillId="0" borderId="60" xfId="90" applyBorder="1">
      <alignment/>
      <protection/>
    </xf>
    <xf numFmtId="0" fontId="34" fillId="55" borderId="31" xfId="90" applyFont="1" applyFill="1" applyBorder="1">
      <alignment/>
      <protection/>
    </xf>
    <xf numFmtId="0" fontId="21" fillId="55" borderId="0" xfId="90" applyFont="1" applyFill="1" applyBorder="1">
      <alignment/>
      <protection/>
    </xf>
    <xf numFmtId="0" fontId="21" fillId="55" borderId="0" xfId="90" applyFont="1" applyFill="1">
      <alignment/>
      <protection/>
    </xf>
    <xf numFmtId="0" fontId="39" fillId="0" borderId="61" xfId="90" applyFont="1" applyFill="1" applyBorder="1" applyAlignment="1">
      <alignment horizontal="center"/>
      <protection/>
    </xf>
    <xf numFmtId="0" fontId="47" fillId="0" borderId="0" xfId="90" applyFont="1">
      <alignment/>
      <protection/>
    </xf>
    <xf numFmtId="3" fontId="33" fillId="0" borderId="31" xfId="93" applyNumberFormat="1" applyFont="1" applyFill="1" applyBorder="1" applyAlignment="1">
      <alignment horizontal="right" wrapText="1"/>
      <protection/>
    </xf>
    <xf numFmtId="0" fontId="32" fillId="0" borderId="31" xfId="90" applyFont="1" applyFill="1" applyBorder="1" applyAlignment="1">
      <alignment horizontal="center"/>
      <protection/>
    </xf>
    <xf numFmtId="3" fontId="32" fillId="0" borderId="31" xfId="90" applyNumberFormat="1" applyFont="1" applyFill="1" applyBorder="1" applyAlignment="1">
      <alignment horizontal="center"/>
      <protection/>
    </xf>
    <xf numFmtId="0" fontId="77" fillId="0" borderId="55" xfId="0" applyFont="1" applyBorder="1" applyAlignment="1">
      <alignment/>
    </xf>
    <xf numFmtId="0" fontId="77" fillId="0" borderId="62" xfId="0" applyFont="1" applyBorder="1" applyAlignment="1">
      <alignment/>
    </xf>
    <xf numFmtId="0" fontId="77" fillId="0" borderId="0" xfId="0" applyFont="1" applyBorder="1" applyAlignment="1">
      <alignment/>
    </xf>
    <xf numFmtId="3" fontId="78" fillId="0" borderId="0" xfId="0" applyNumberFormat="1" applyFont="1" applyBorder="1" applyAlignment="1">
      <alignment/>
    </xf>
    <xf numFmtId="0" fontId="77" fillId="0" borderId="43" xfId="0" applyFont="1" applyBorder="1" applyAlignment="1">
      <alignment/>
    </xf>
    <xf numFmtId="0" fontId="79" fillId="0" borderId="48" xfId="0" applyFont="1" applyBorder="1" applyAlignment="1">
      <alignment horizontal="right"/>
    </xf>
    <xf numFmtId="0" fontId="77" fillId="0" borderId="48" xfId="0" applyFont="1" applyBorder="1" applyAlignment="1">
      <alignment/>
    </xf>
    <xf numFmtId="0" fontId="77" fillId="0" borderId="49" xfId="0" applyFont="1" applyBorder="1" applyAlignment="1">
      <alignment/>
    </xf>
    <xf numFmtId="3" fontId="77" fillId="0" borderId="62" xfId="0" applyNumberFormat="1" applyFont="1" applyBorder="1" applyAlignment="1">
      <alignment/>
    </xf>
    <xf numFmtId="3" fontId="77" fillId="0" borderId="0" xfId="0" applyNumberFormat="1" applyFont="1" applyBorder="1" applyAlignment="1">
      <alignment/>
    </xf>
    <xf numFmtId="3" fontId="77" fillId="0" borderId="43" xfId="0" applyNumberFormat="1" applyFont="1" applyBorder="1" applyAlignment="1">
      <alignment/>
    </xf>
    <xf numFmtId="3" fontId="77" fillId="0" borderId="55" xfId="0" applyNumberFormat="1" applyFont="1" applyBorder="1" applyAlignment="1">
      <alignment/>
    </xf>
    <xf numFmtId="3" fontId="80" fillId="0" borderId="62" xfId="0" applyNumberFormat="1" applyFont="1" applyBorder="1" applyAlignment="1">
      <alignment/>
    </xf>
    <xf numFmtId="3" fontId="77" fillId="0" borderId="48" xfId="0" applyNumberFormat="1" applyFont="1" applyBorder="1" applyAlignment="1">
      <alignment horizontal="right"/>
    </xf>
    <xf numFmtId="3" fontId="77" fillId="0" borderId="49" xfId="0" applyNumberFormat="1" applyFont="1" applyBorder="1" applyAlignment="1">
      <alignment/>
    </xf>
    <xf numFmtId="3" fontId="48" fillId="0" borderId="43" xfId="0" applyNumberFormat="1" applyFont="1" applyBorder="1" applyAlignment="1">
      <alignment/>
    </xf>
    <xf numFmtId="3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56" borderId="0" xfId="0" applyFont="1" applyFill="1" applyBorder="1" applyAlignment="1">
      <alignment/>
    </xf>
    <xf numFmtId="3" fontId="77" fillId="56" borderId="43" xfId="0" applyNumberFormat="1" applyFont="1" applyFill="1" applyBorder="1" applyAlignment="1">
      <alignment/>
    </xf>
    <xf numFmtId="0" fontId="79" fillId="57" borderId="47" xfId="0" applyFont="1" applyFill="1" applyBorder="1" applyAlignment="1">
      <alignment horizontal="right"/>
    </xf>
    <xf numFmtId="0" fontId="79" fillId="57" borderId="48" xfId="0" applyFont="1" applyFill="1" applyBorder="1" applyAlignment="1">
      <alignment horizontal="right"/>
    </xf>
    <xf numFmtId="3" fontId="48" fillId="0" borderId="62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9" fillId="57" borderId="42" xfId="0" applyFont="1" applyFill="1" applyBorder="1" applyAlignment="1">
      <alignment horizontal="right"/>
    </xf>
    <xf numFmtId="0" fontId="79" fillId="57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3" fontId="80" fillId="0" borderId="43" xfId="0" applyNumberFormat="1" applyFont="1" applyBorder="1" applyAlignment="1">
      <alignment/>
    </xf>
    <xf numFmtId="3" fontId="78" fillId="0" borderId="55" xfId="0" applyNumberFormat="1" applyFont="1" applyFill="1" applyBorder="1" applyAlignment="1">
      <alignment/>
    </xf>
    <xf numFmtId="0" fontId="81" fillId="0" borderId="28" xfId="90" applyFont="1" applyFill="1" applyBorder="1" applyAlignment="1">
      <alignment horizontal="right"/>
      <protection/>
    </xf>
    <xf numFmtId="0" fontId="81" fillId="0" borderId="28" xfId="90" applyFont="1" applyFill="1" applyBorder="1" applyAlignment="1">
      <alignment horizontal="center"/>
      <protection/>
    </xf>
    <xf numFmtId="0" fontId="82" fillId="0" borderId="28" xfId="90" applyFont="1" applyFill="1" applyBorder="1" applyAlignment="1">
      <alignment horizontal="center"/>
      <protection/>
    </xf>
    <xf numFmtId="3" fontId="82" fillId="0" borderId="30" xfId="90" applyNumberFormat="1" applyFont="1" applyFill="1" applyBorder="1">
      <alignment/>
      <protection/>
    </xf>
    <xf numFmtId="3" fontId="83" fillId="0" borderId="28" xfId="90" applyNumberFormat="1" applyFont="1" applyFill="1" applyBorder="1">
      <alignment/>
      <protection/>
    </xf>
    <xf numFmtId="3" fontId="83" fillId="0" borderId="30" xfId="90" applyNumberFormat="1" applyFont="1" applyFill="1" applyBorder="1">
      <alignment/>
      <protection/>
    </xf>
    <xf numFmtId="3" fontId="82" fillId="0" borderId="35" xfId="90" applyNumberFormat="1" applyFont="1" applyFill="1" applyBorder="1">
      <alignment/>
      <protection/>
    </xf>
    <xf numFmtId="3" fontId="81" fillId="0" borderId="24" xfId="90" applyNumberFormat="1" applyFont="1" applyFill="1" applyBorder="1">
      <alignment/>
      <protection/>
    </xf>
    <xf numFmtId="3" fontId="81" fillId="0" borderId="28" xfId="90" applyNumberFormat="1" applyFont="1" applyFill="1" applyBorder="1">
      <alignment/>
      <protection/>
    </xf>
    <xf numFmtId="3" fontId="82" fillId="0" borderId="28" xfId="90" applyNumberFormat="1" applyFont="1" applyFill="1" applyBorder="1">
      <alignment/>
      <protection/>
    </xf>
    <xf numFmtId="3" fontId="82" fillId="0" borderId="27" xfId="90" applyNumberFormat="1" applyFont="1" applyFill="1" applyBorder="1">
      <alignment/>
      <protection/>
    </xf>
    <xf numFmtId="3" fontId="34" fillId="0" borderId="31" xfId="90" applyNumberFormat="1" applyFont="1" applyFill="1" applyBorder="1">
      <alignment/>
      <protection/>
    </xf>
    <xf numFmtId="3" fontId="30" fillId="0" borderId="23" xfId="90" applyNumberFormat="1" applyFont="1" applyFill="1" applyBorder="1">
      <alignment/>
      <protection/>
    </xf>
    <xf numFmtId="0" fontId="32" fillId="0" borderId="29" xfId="90" applyFont="1" applyFill="1" applyBorder="1" applyAlignment="1">
      <alignment horizontal="center"/>
      <protection/>
    </xf>
    <xf numFmtId="3" fontId="32" fillId="0" borderId="29" xfId="90" applyNumberFormat="1" applyFont="1" applyFill="1" applyBorder="1" applyAlignment="1">
      <alignment horizontal="center"/>
      <protection/>
    </xf>
    <xf numFmtId="0" fontId="32" fillId="55" borderId="33" xfId="90" applyFont="1" applyFill="1" applyBorder="1" applyAlignment="1">
      <alignment horizontal="right" vertical="center" wrapText="1"/>
      <protection/>
    </xf>
    <xf numFmtId="3" fontId="83" fillId="55" borderId="28" xfId="90" applyNumberFormat="1" applyFont="1" applyFill="1" applyBorder="1">
      <alignment/>
      <protection/>
    </xf>
    <xf numFmtId="3" fontId="84" fillId="0" borderId="31" xfId="90" applyNumberFormat="1" applyFont="1" applyFill="1" applyBorder="1">
      <alignment/>
      <protection/>
    </xf>
    <xf numFmtId="3" fontId="85" fillId="55" borderId="31" xfId="90" applyNumberFormat="1" applyFont="1" applyFill="1" applyBorder="1" applyAlignment="1">
      <alignment horizontal="left"/>
      <protection/>
    </xf>
    <xf numFmtId="3" fontId="86" fillId="0" borderId="20" xfId="90" applyNumberFormat="1" applyFont="1" applyFill="1" applyBorder="1">
      <alignment/>
      <protection/>
    </xf>
    <xf numFmtId="3" fontId="86" fillId="0" borderId="34" xfId="90" applyNumberFormat="1" applyFont="1" applyFill="1" applyBorder="1" applyAlignment="1">
      <alignment horizontal="right"/>
      <protection/>
    </xf>
    <xf numFmtId="3" fontId="37" fillId="0" borderId="0" xfId="90" applyNumberFormat="1" applyFont="1" applyFill="1" applyBorder="1" applyAlignment="1">
      <alignment horizontal="center"/>
      <protection/>
    </xf>
    <xf numFmtId="0" fontId="37" fillId="0" borderId="0" xfId="90" applyFont="1" applyFill="1" applyBorder="1" applyAlignment="1">
      <alignment horizontal="center"/>
      <protection/>
    </xf>
    <xf numFmtId="3" fontId="86" fillId="0" borderId="21" xfId="90" applyNumberFormat="1" applyFont="1" applyFill="1" applyBorder="1">
      <alignment/>
      <protection/>
    </xf>
    <xf numFmtId="3" fontId="84" fillId="0" borderId="28" xfId="90" applyNumberFormat="1" applyFont="1" applyFill="1" applyBorder="1">
      <alignment/>
      <protection/>
    </xf>
    <xf numFmtId="0" fontId="30" fillId="0" borderId="23" xfId="90" applyFont="1" applyFill="1" applyBorder="1" applyAlignment="1">
      <alignment horizontal="center" wrapText="1"/>
      <protection/>
    </xf>
    <xf numFmtId="3" fontId="85" fillId="0" borderId="23" xfId="90" applyNumberFormat="1" applyFont="1" applyFill="1" applyBorder="1">
      <alignment/>
      <protection/>
    </xf>
    <xf numFmtId="3" fontId="86" fillId="0" borderId="23" xfId="90" applyNumberFormat="1" applyFont="1" applyFill="1" applyBorder="1">
      <alignment/>
      <protection/>
    </xf>
    <xf numFmtId="3" fontId="85" fillId="0" borderId="24" xfId="90" applyNumberFormat="1" applyFont="1" applyFill="1" applyBorder="1">
      <alignment/>
      <protection/>
    </xf>
    <xf numFmtId="0" fontId="32" fillId="0" borderId="51" xfId="90" applyFont="1" applyFill="1" applyBorder="1" applyAlignment="1">
      <alignment horizontal="right" vertical="center" wrapText="1"/>
      <protection/>
    </xf>
    <xf numFmtId="0" fontId="32" fillId="0" borderId="56" xfId="90" applyFont="1" applyFill="1" applyBorder="1" applyAlignment="1">
      <alignment wrapText="1"/>
      <protection/>
    </xf>
    <xf numFmtId="3" fontId="32" fillId="0" borderId="56" xfId="90" applyNumberFormat="1" applyFont="1" applyFill="1" applyBorder="1" applyAlignment="1">
      <alignment horizontal="left"/>
      <protection/>
    </xf>
    <xf numFmtId="3" fontId="81" fillId="0" borderId="50" xfId="90" applyNumberFormat="1" applyFont="1" applyFill="1" applyBorder="1">
      <alignment/>
      <protection/>
    </xf>
    <xf numFmtId="0" fontId="32" fillId="0" borderId="25" xfId="90" applyFont="1" applyFill="1" applyBorder="1" applyAlignment="1">
      <alignment horizontal="right" vertical="center" wrapText="1"/>
      <protection/>
    </xf>
    <xf numFmtId="0" fontId="30" fillId="0" borderId="26" xfId="90" applyFont="1" applyFill="1" applyBorder="1" applyAlignment="1">
      <alignment horizontal="center" wrapText="1"/>
      <protection/>
    </xf>
    <xf numFmtId="3" fontId="85" fillId="0" borderId="26" xfId="90" applyNumberFormat="1" applyFont="1" applyFill="1" applyBorder="1">
      <alignment/>
      <protection/>
    </xf>
    <xf numFmtId="3" fontId="86" fillId="0" borderId="26" xfId="90" applyNumberFormat="1" applyFont="1" applyFill="1" applyBorder="1">
      <alignment/>
      <protection/>
    </xf>
    <xf numFmtId="3" fontId="85" fillId="0" borderId="27" xfId="90" applyNumberFormat="1" applyFont="1" applyFill="1" applyBorder="1">
      <alignment/>
      <protection/>
    </xf>
    <xf numFmtId="0" fontId="34" fillId="0" borderId="26" xfId="90" applyFont="1" applyFill="1" applyBorder="1">
      <alignment/>
      <protection/>
    </xf>
    <xf numFmtId="3" fontId="32" fillId="0" borderId="28" xfId="90" applyNumberFormat="1" applyFont="1" applyFill="1" applyBorder="1" applyAlignment="1">
      <alignment horizontal="right"/>
      <protection/>
    </xf>
    <xf numFmtId="3" fontId="32" fillId="0" borderId="30" xfId="90" applyNumberFormat="1" applyFont="1" applyFill="1" applyBorder="1" applyAlignment="1">
      <alignment horizontal="right"/>
      <protection/>
    </xf>
    <xf numFmtId="3" fontId="39" fillId="0" borderId="29" xfId="90" applyNumberFormat="1" applyFont="1" applyFill="1" applyBorder="1" applyAlignment="1">
      <alignment horizontal="right" vertical="center" wrapText="1"/>
      <protection/>
    </xf>
    <xf numFmtId="0" fontId="37" fillId="0" borderId="53" xfId="90" applyFont="1" applyFill="1" applyBorder="1" applyAlignment="1">
      <alignment wrapText="1"/>
      <protection/>
    </xf>
    <xf numFmtId="3" fontId="37" fillId="0" borderId="38" xfId="90" applyNumberFormat="1" applyFont="1" applyFill="1" applyBorder="1" applyAlignment="1">
      <alignment horizontal="right" vertical="center" wrapText="1"/>
      <protection/>
    </xf>
    <xf numFmtId="0" fontId="78" fillId="0" borderId="42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7" fillId="0" borderId="55" xfId="0" applyFont="1" applyBorder="1" applyAlignment="1">
      <alignment horizontal="right"/>
    </xf>
    <xf numFmtId="0" fontId="77" fillId="0" borderId="42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48" fillId="0" borderId="42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9" fillId="0" borderId="42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78" fillId="56" borderId="42" xfId="0" applyFont="1" applyFill="1" applyBorder="1" applyAlignment="1">
      <alignment horizontal="right"/>
    </xf>
    <xf numFmtId="0" fontId="78" fillId="56" borderId="0" xfId="0" applyFont="1" applyFill="1" applyBorder="1" applyAlignment="1">
      <alignment horizontal="right"/>
    </xf>
    <xf numFmtId="0" fontId="77" fillId="0" borderId="42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77" fillId="0" borderId="48" xfId="0" applyFont="1" applyBorder="1" applyAlignment="1">
      <alignment horizontal="right"/>
    </xf>
    <xf numFmtId="3" fontId="32" fillId="0" borderId="31" xfId="0" applyNumberFormat="1" applyFont="1" applyFill="1" applyBorder="1" applyAlignment="1">
      <alignment horizontal="center" vertical="center"/>
    </xf>
    <xf numFmtId="3" fontId="39" fillId="0" borderId="31" xfId="0" applyNumberFormat="1" applyFont="1" applyBorder="1" applyAlignment="1">
      <alignment horizontal="center" vertical="top" wrapText="1"/>
    </xf>
    <xf numFmtId="3" fontId="37" fillId="0" borderId="31" xfId="0" applyNumberFormat="1" applyFont="1" applyBorder="1" applyAlignment="1">
      <alignment horizontal="center" vertical="top" wrapText="1"/>
    </xf>
    <xf numFmtId="3" fontId="32" fillId="0" borderId="28" xfId="93" applyNumberFormat="1" applyFont="1" applyBorder="1" applyAlignment="1">
      <alignment horizontal="right" wrapText="1"/>
      <protection/>
    </xf>
    <xf numFmtId="3" fontId="30" fillId="0" borderId="28" xfId="93" applyNumberFormat="1" applyFont="1" applyBorder="1" applyAlignment="1">
      <alignment horizontal="right" wrapText="1"/>
      <protection/>
    </xf>
    <xf numFmtId="3" fontId="32" fillId="0" borderId="31" xfId="93" applyNumberFormat="1" applyFont="1" applyBorder="1" applyAlignment="1">
      <alignment horizontal="right" wrapText="1"/>
      <protection/>
    </xf>
    <xf numFmtId="3" fontId="32" fillId="0" borderId="31" xfId="93" applyNumberFormat="1" applyFont="1" applyBorder="1" applyAlignment="1">
      <alignment wrapText="1"/>
      <protection/>
    </xf>
    <xf numFmtId="3" fontId="32" fillId="0" borderId="28" xfId="93" applyNumberFormat="1" applyFont="1" applyBorder="1" applyAlignment="1">
      <alignment wrapText="1"/>
      <protection/>
    </xf>
    <xf numFmtId="3" fontId="77" fillId="0" borderId="49" xfId="0" applyNumberFormat="1" applyFont="1" applyBorder="1" applyAlignment="1">
      <alignment/>
    </xf>
    <xf numFmtId="3" fontId="49" fillId="0" borderId="43" xfId="0" applyNumberFormat="1" applyFont="1" applyBorder="1" applyAlignment="1">
      <alignment/>
    </xf>
    <xf numFmtId="3" fontId="78" fillId="56" borderId="48" xfId="0" applyNumberFormat="1" applyFont="1" applyFill="1" applyBorder="1" applyAlignment="1">
      <alignment/>
    </xf>
    <xf numFmtId="3" fontId="48" fillId="56" borderId="49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0" fillId="58" borderId="57" xfId="0" applyFill="1" applyBorder="1" applyAlignment="1">
      <alignment/>
    </xf>
    <xf numFmtId="3" fontId="78" fillId="58" borderId="60" xfId="0" applyNumberFormat="1" applyFont="1" applyFill="1" applyBorder="1" applyAlignment="1">
      <alignment/>
    </xf>
    <xf numFmtId="0" fontId="77" fillId="0" borderId="57" xfId="0" applyFont="1" applyBorder="1" applyAlignment="1">
      <alignment/>
    </xf>
    <xf numFmtId="3" fontId="78" fillId="0" borderId="60" xfId="0" applyNumberFormat="1" applyFont="1" applyBorder="1" applyAlignment="1">
      <alignment/>
    </xf>
    <xf numFmtId="3" fontId="78" fillId="58" borderId="57" xfId="0" applyNumberFormat="1" applyFont="1" applyFill="1" applyBorder="1" applyAlignment="1">
      <alignment/>
    </xf>
    <xf numFmtId="3" fontId="77" fillId="58" borderId="60" xfId="0" applyNumberFormat="1" applyFont="1" applyFill="1" applyBorder="1" applyAlignment="1">
      <alignment/>
    </xf>
    <xf numFmtId="0" fontId="87" fillId="0" borderId="4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3" fontId="87" fillId="0" borderId="0" xfId="0" applyNumberFormat="1" applyFont="1" applyFill="1" applyBorder="1" applyAlignment="1">
      <alignment/>
    </xf>
    <xf numFmtId="3" fontId="88" fillId="0" borderId="43" xfId="0" applyNumberFormat="1" applyFont="1" applyFill="1" applyBorder="1" applyAlignment="1">
      <alignment/>
    </xf>
    <xf numFmtId="3" fontId="48" fillId="0" borderId="43" xfId="0" applyNumberFormat="1" applyFont="1" applyBorder="1" applyAlignment="1">
      <alignment/>
    </xf>
    <xf numFmtId="3" fontId="80" fillId="0" borderId="62" xfId="0" applyNumberFormat="1" applyFont="1" applyFill="1" applyBorder="1" applyAlignment="1">
      <alignment/>
    </xf>
    <xf numFmtId="0" fontId="78" fillId="59" borderId="61" xfId="0" applyFont="1" applyFill="1" applyBorder="1" applyAlignment="1">
      <alignment/>
    </xf>
    <xf numFmtId="0" fontId="78" fillId="59" borderId="59" xfId="0" applyFont="1" applyFill="1" applyBorder="1" applyAlignment="1">
      <alignment/>
    </xf>
    <xf numFmtId="3" fontId="78" fillId="59" borderId="57" xfId="0" applyNumberFormat="1" applyFont="1" applyFill="1" applyBorder="1" applyAlignment="1">
      <alignment/>
    </xf>
    <xf numFmtId="3" fontId="78" fillId="59" borderId="57" xfId="0" applyNumberFormat="1" applyFont="1" applyFill="1" applyBorder="1" applyAlignment="1">
      <alignment/>
    </xf>
    <xf numFmtId="3" fontId="80" fillId="59" borderId="60" xfId="0" applyNumberFormat="1" applyFont="1" applyFill="1" applyBorder="1" applyAlignment="1">
      <alignment/>
    </xf>
    <xf numFmtId="0" fontId="30" fillId="0" borderId="59" xfId="90" applyFont="1" applyFill="1" applyBorder="1" applyAlignment="1">
      <alignment horizontal="center" vertical="center" wrapText="1"/>
      <protection/>
    </xf>
    <xf numFmtId="0" fontId="30" fillId="0" borderId="57" xfId="90" applyFont="1" applyFill="1" applyBorder="1" applyAlignment="1">
      <alignment horizontal="center" vertical="center" wrapText="1"/>
      <protection/>
    </xf>
    <xf numFmtId="0" fontId="30" fillId="0" borderId="60" xfId="90" applyFont="1" applyFill="1" applyBorder="1" applyAlignment="1">
      <alignment horizontal="center" vertical="center" wrapText="1"/>
      <protection/>
    </xf>
    <xf numFmtId="0" fontId="30" fillId="0" borderId="36" xfId="90" applyFont="1" applyFill="1" applyBorder="1" applyAlignment="1">
      <alignment horizontal="center"/>
      <protection/>
    </xf>
    <xf numFmtId="0" fontId="30" fillId="0" borderId="57" xfId="90" applyFont="1" applyFill="1" applyBorder="1" applyAlignment="1">
      <alignment horizontal="center"/>
      <protection/>
    </xf>
    <xf numFmtId="0" fontId="30" fillId="0" borderId="60" xfId="90" applyFont="1" applyFill="1" applyBorder="1" applyAlignment="1">
      <alignment horizontal="center"/>
      <protection/>
    </xf>
    <xf numFmtId="0" fontId="32" fillId="0" borderId="58" xfId="90" applyFont="1" applyFill="1" applyBorder="1" applyAlignment="1">
      <alignment horizontal="center" wrapText="1"/>
      <protection/>
    </xf>
    <xf numFmtId="0" fontId="32" fillId="0" borderId="55" xfId="90" applyFont="1" applyFill="1" applyBorder="1" applyAlignment="1">
      <alignment horizontal="center" wrapText="1"/>
      <protection/>
    </xf>
    <xf numFmtId="0" fontId="32" fillId="0" borderId="62" xfId="90" applyFont="1" applyFill="1" applyBorder="1" applyAlignment="1">
      <alignment horizontal="center" wrapText="1"/>
      <protection/>
    </xf>
    <xf numFmtId="0" fontId="30" fillId="0" borderId="63" xfId="90" applyFont="1" applyFill="1" applyBorder="1" applyAlignment="1">
      <alignment horizontal="center" wrapText="1"/>
      <protection/>
    </xf>
    <xf numFmtId="0" fontId="35" fillId="0" borderId="55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3" fontId="39" fillId="0" borderId="34" xfId="90" applyNumberFormat="1" applyFont="1" applyFill="1" applyBorder="1" applyAlignment="1">
      <alignment horizontal="right" vertical="center" wrapText="1"/>
      <protection/>
    </xf>
    <xf numFmtId="3" fontId="37" fillId="0" borderId="23" xfId="90" applyNumberFormat="1" applyFont="1" applyFill="1" applyBorder="1" applyAlignment="1">
      <alignment horizontal="right"/>
      <protection/>
    </xf>
    <xf numFmtId="3" fontId="39" fillId="0" borderId="64" xfId="90" applyNumberFormat="1" applyFont="1" applyFill="1" applyBorder="1" applyAlignment="1">
      <alignment horizontal="center" vertical="center" wrapText="1"/>
      <protection/>
    </xf>
    <xf numFmtId="3" fontId="39" fillId="0" borderId="65" xfId="90" applyNumberFormat="1" applyFont="1" applyFill="1" applyBorder="1" applyAlignment="1">
      <alignment horizontal="center" vertical="center" wrapText="1"/>
      <protection/>
    </xf>
    <xf numFmtId="3" fontId="37" fillId="0" borderId="64" xfId="90" applyNumberFormat="1" applyFont="1" applyFill="1" applyBorder="1" applyAlignment="1">
      <alignment horizontal="right" vertical="center" wrapText="1"/>
      <protection/>
    </xf>
    <xf numFmtId="3" fontId="37" fillId="0" borderId="65" xfId="90" applyNumberFormat="1" applyFont="1" applyFill="1" applyBorder="1" applyAlignment="1">
      <alignment horizontal="right" vertical="center" wrapText="1"/>
      <protection/>
    </xf>
    <xf numFmtId="0" fontId="0" fillId="0" borderId="65" xfId="91" applyBorder="1" applyAlignment="1">
      <alignment horizontal="right" vertical="center" wrapText="1"/>
      <protection/>
    </xf>
    <xf numFmtId="3" fontId="37" fillId="0" borderId="31" xfId="90" applyNumberFormat="1" applyFont="1" applyFill="1" applyBorder="1" applyAlignment="1">
      <alignment horizontal="right" vertical="center" wrapText="1"/>
      <protection/>
    </xf>
    <xf numFmtId="3" fontId="37" fillId="0" borderId="66" xfId="90" applyNumberFormat="1" applyFont="1" applyFill="1" applyBorder="1" applyAlignment="1">
      <alignment horizontal="center" vertical="center" wrapText="1"/>
      <protection/>
    </xf>
    <xf numFmtId="3" fontId="37" fillId="0" borderId="67" xfId="90" applyNumberFormat="1" applyFont="1" applyFill="1" applyBorder="1" applyAlignment="1">
      <alignment horizontal="center" vertical="center" wrapText="1"/>
      <protection/>
    </xf>
    <xf numFmtId="3" fontId="39" fillId="0" borderId="31" xfId="90" applyNumberFormat="1" applyFont="1" applyFill="1" applyBorder="1" applyAlignment="1">
      <alignment horizontal="right" vertical="center" wrapText="1"/>
      <protection/>
    </xf>
    <xf numFmtId="0" fontId="30" fillId="0" borderId="56" xfId="90" applyFont="1" applyBorder="1" applyAlignment="1">
      <alignment horizontal="center" vertical="center" wrapText="1"/>
      <protection/>
    </xf>
    <xf numFmtId="0" fontId="32" fillId="0" borderId="56" xfId="90" applyFont="1" applyBorder="1" applyAlignment="1">
      <alignment/>
      <protection/>
    </xf>
    <xf numFmtId="0" fontId="32" fillId="0" borderId="50" xfId="90" applyFont="1" applyBorder="1" applyAlignment="1">
      <alignment/>
      <protection/>
    </xf>
    <xf numFmtId="0" fontId="37" fillId="0" borderId="33" xfId="90" applyFont="1" applyFill="1" applyBorder="1" applyAlignment="1">
      <alignment horizontal="center" vertical="center" wrapText="1"/>
      <protection/>
    </xf>
    <xf numFmtId="0" fontId="37" fillId="0" borderId="31" xfId="90" applyFont="1" applyFill="1" applyBorder="1" applyAlignment="1">
      <alignment horizontal="center" vertical="center" wrapText="1"/>
      <protection/>
    </xf>
    <xf numFmtId="0" fontId="39" fillId="0" borderId="28" xfId="90" applyFont="1" applyFill="1" applyBorder="1" applyAlignment="1">
      <alignment horizontal="center" vertical="center" wrapText="1"/>
      <protection/>
    </xf>
    <xf numFmtId="0" fontId="40" fillId="0" borderId="28" xfId="90" applyFont="1" applyFill="1" applyBorder="1" applyAlignment="1">
      <alignment horizontal="center" vertical="center" wrapText="1"/>
      <protection/>
    </xf>
    <xf numFmtId="3" fontId="37" fillId="0" borderId="31" xfId="90" applyNumberFormat="1" applyFont="1" applyFill="1" applyBorder="1" applyAlignment="1">
      <alignment horizontal="right"/>
      <protection/>
    </xf>
    <xf numFmtId="3" fontId="37" fillId="0" borderId="29" xfId="90" applyNumberFormat="1" applyFont="1" applyFill="1" applyBorder="1" applyAlignment="1">
      <alignment horizontal="right"/>
      <protection/>
    </xf>
    <xf numFmtId="3" fontId="39" fillId="0" borderId="34" xfId="90" applyNumberFormat="1" applyFont="1" applyFill="1" applyBorder="1" applyAlignment="1">
      <alignment horizontal="right"/>
      <protection/>
    </xf>
    <xf numFmtId="0" fontId="35" fillId="0" borderId="23" xfId="90" applyFont="1" applyFill="1" applyBorder="1" applyAlignment="1">
      <alignment/>
      <protection/>
    </xf>
    <xf numFmtId="0" fontId="35" fillId="0" borderId="26" xfId="90" applyFont="1" applyFill="1" applyBorder="1" applyAlignment="1">
      <alignment/>
      <protection/>
    </xf>
    <xf numFmtId="0" fontId="41" fillId="0" borderId="51" xfId="93" applyFont="1" applyBorder="1" applyAlignment="1">
      <alignment horizontal="center" vertical="center"/>
      <protection/>
    </xf>
    <xf numFmtId="0" fontId="41" fillId="0" borderId="56" xfId="93" applyFont="1" applyBorder="1" applyAlignment="1">
      <alignment horizontal="center" vertical="center"/>
      <protection/>
    </xf>
    <xf numFmtId="0" fontId="41" fillId="0" borderId="50" xfId="93" applyFont="1" applyBorder="1" applyAlignment="1">
      <alignment horizontal="center" vertical="center"/>
      <protection/>
    </xf>
    <xf numFmtId="0" fontId="42" fillId="0" borderId="33" xfId="93" applyFont="1" applyBorder="1" applyAlignment="1">
      <alignment wrapText="1"/>
      <protection/>
    </xf>
    <xf numFmtId="0" fontId="42" fillId="0" borderId="31" xfId="93" applyFont="1" applyBorder="1" applyAlignment="1">
      <alignment wrapText="1"/>
      <protection/>
    </xf>
    <xf numFmtId="0" fontId="42" fillId="0" borderId="28" xfId="93" applyFont="1" applyBorder="1" applyAlignment="1">
      <alignment wrapText="1"/>
      <protection/>
    </xf>
    <xf numFmtId="0" fontId="41" fillId="0" borderId="32" xfId="93" applyFont="1" applyBorder="1" applyAlignment="1">
      <alignment wrapText="1"/>
      <protection/>
    </xf>
    <xf numFmtId="0" fontId="41" fillId="0" borderId="34" xfId="93" applyFont="1" applyBorder="1" applyAlignment="1">
      <alignment wrapText="1"/>
      <protection/>
    </xf>
    <xf numFmtId="0" fontId="36" fillId="0" borderId="31" xfId="90" applyFont="1" applyBorder="1" applyAlignment="1">
      <alignment horizontal="center"/>
      <protection/>
    </xf>
    <xf numFmtId="0" fontId="35" fillId="0" borderId="31" xfId="90" applyFont="1" applyBorder="1" applyAlignment="1">
      <alignment horizontal="center" wrapText="1"/>
      <protection/>
    </xf>
    <xf numFmtId="0" fontId="36" fillId="0" borderId="31" xfId="90" applyFont="1" applyBorder="1" applyAlignment="1">
      <alignment horizontal="center" wrapText="1"/>
      <protection/>
    </xf>
    <xf numFmtId="0" fontId="37" fillId="0" borderId="31" xfId="90" applyFont="1" applyBorder="1" applyAlignment="1">
      <alignment horizontal="center" wrapText="1"/>
      <protection/>
    </xf>
    <xf numFmtId="0" fontId="41" fillId="0" borderId="64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78" fillId="58" borderId="42" xfId="0" applyFont="1" applyFill="1" applyBorder="1" applyAlignment="1">
      <alignment horizontal="left"/>
    </xf>
    <xf numFmtId="0" fontId="78" fillId="58" borderId="0" xfId="0" applyFont="1" applyFill="1" applyBorder="1" applyAlignment="1">
      <alignment horizontal="left"/>
    </xf>
    <xf numFmtId="0" fontId="77" fillId="0" borderId="58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0" fontId="77" fillId="0" borderId="42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29" fillId="0" borderId="47" xfId="0" applyFont="1" applyBorder="1" applyAlignment="1">
      <alignment horizontal="right"/>
    </xf>
    <xf numFmtId="0" fontId="29" fillId="0" borderId="48" xfId="0" applyFont="1" applyBorder="1" applyAlignment="1">
      <alignment horizontal="right"/>
    </xf>
    <xf numFmtId="0" fontId="78" fillId="0" borderId="59" xfId="0" applyFont="1" applyBorder="1" applyAlignment="1">
      <alignment horizontal="right"/>
    </xf>
    <xf numFmtId="0" fontId="78" fillId="0" borderId="57" xfId="0" applyFont="1" applyBorder="1" applyAlignment="1">
      <alignment horizontal="right"/>
    </xf>
    <xf numFmtId="0" fontId="78" fillId="58" borderId="59" xfId="0" applyFont="1" applyFill="1" applyBorder="1" applyAlignment="1">
      <alignment horizontal="left"/>
    </xf>
    <xf numFmtId="0" fontId="78" fillId="58" borderId="57" xfId="0" applyFont="1" applyFill="1" applyBorder="1" applyAlignment="1">
      <alignment horizontal="left"/>
    </xf>
    <xf numFmtId="0" fontId="77" fillId="0" borderId="42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48" fillId="0" borderId="42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28" fillId="0" borderId="4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48" fillId="0" borderId="42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77" fillId="0" borderId="0" xfId="0" applyFont="1" applyAlignment="1">
      <alignment horizontal="left"/>
    </xf>
    <xf numFmtId="0" fontId="28" fillId="0" borderId="4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8" fillId="0" borderId="42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29" fillId="0" borderId="42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78" fillId="0" borderId="55" xfId="0" applyFont="1" applyBorder="1" applyAlignment="1">
      <alignment horizontal="right"/>
    </xf>
    <xf numFmtId="0" fontId="77" fillId="0" borderId="42" xfId="0" applyFont="1" applyBorder="1" applyAlignment="1">
      <alignment horizontal="right" wrapText="1"/>
    </xf>
    <xf numFmtId="0" fontId="77" fillId="0" borderId="0" xfId="0" applyFont="1" applyBorder="1" applyAlignment="1">
      <alignment horizontal="right" wrapText="1"/>
    </xf>
    <xf numFmtId="0" fontId="78" fillId="56" borderId="48" xfId="0" applyFont="1" applyFill="1" applyBorder="1" applyAlignment="1">
      <alignment horizontal="left"/>
    </xf>
    <xf numFmtId="0" fontId="77" fillId="0" borderId="42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9" fillId="56" borderId="47" xfId="0" applyFont="1" applyFill="1" applyBorder="1" applyAlignment="1">
      <alignment horizontal="center"/>
    </xf>
    <xf numFmtId="0" fontId="79" fillId="56" borderId="48" xfId="0" applyFont="1" applyFill="1" applyBorder="1" applyAlignment="1">
      <alignment horizontal="center"/>
    </xf>
    <xf numFmtId="0" fontId="48" fillId="0" borderId="58" xfId="0" applyFont="1" applyBorder="1" applyAlignment="1">
      <alignment horizontal="right"/>
    </xf>
    <xf numFmtId="0" fontId="48" fillId="0" borderId="55" xfId="0" applyFont="1" applyBorder="1" applyAlignment="1">
      <alignment horizontal="right"/>
    </xf>
    <xf numFmtId="0" fontId="48" fillId="0" borderId="47" xfId="0" applyFont="1" applyBorder="1" applyAlignment="1">
      <alignment horizontal="right"/>
    </xf>
    <xf numFmtId="0" fontId="48" fillId="0" borderId="48" xfId="0" applyFont="1" applyBorder="1" applyAlignment="1">
      <alignment horizontal="right"/>
    </xf>
    <xf numFmtId="0" fontId="78" fillId="0" borderId="58" xfId="0" applyFont="1" applyBorder="1" applyAlignment="1">
      <alignment horizontal="right"/>
    </xf>
    <xf numFmtId="0" fontId="77" fillId="0" borderId="42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42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28" fillId="0" borderId="55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77" fillId="0" borderId="58" xfId="0" applyFont="1" applyBorder="1" applyAlignment="1">
      <alignment horizontal="right"/>
    </xf>
    <xf numFmtId="0" fontId="77" fillId="0" borderId="55" xfId="0" applyFont="1" applyBorder="1" applyAlignment="1">
      <alignment horizontal="right"/>
    </xf>
    <xf numFmtId="0" fontId="79" fillId="56" borderId="48" xfId="0" applyFont="1" applyFill="1" applyBorder="1" applyAlignment="1">
      <alignment horizontal="right"/>
    </xf>
    <xf numFmtId="0" fontId="80" fillId="0" borderId="48" xfId="0" applyFont="1" applyBorder="1" applyAlignment="1">
      <alignment horizontal="center" vertical="center"/>
    </xf>
    <xf numFmtId="0" fontId="78" fillId="58" borderId="58" xfId="0" applyFont="1" applyFill="1" applyBorder="1" applyAlignment="1">
      <alignment horizontal="left"/>
    </xf>
    <xf numFmtId="0" fontId="78" fillId="58" borderId="55" xfId="0" applyFont="1" applyFill="1" applyBorder="1" applyAlignment="1">
      <alignment horizontal="left"/>
    </xf>
    <xf numFmtId="0" fontId="78" fillId="0" borderId="42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56" borderId="47" xfId="0" applyFont="1" applyFill="1" applyBorder="1" applyAlignment="1">
      <alignment horizontal="right"/>
    </xf>
    <xf numFmtId="0" fontId="78" fillId="0" borderId="58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42" fillId="0" borderId="58" xfId="92" applyFont="1" applyFill="1" applyBorder="1" applyAlignment="1">
      <alignment horizontal="center" vertical="center" wrapText="1"/>
      <protection/>
    </xf>
    <xf numFmtId="0" fontId="42" fillId="0" borderId="55" xfId="92" applyFont="1" applyFill="1" applyBorder="1" applyAlignment="1">
      <alignment horizontal="center" vertical="center" wrapText="1"/>
      <protection/>
    </xf>
    <xf numFmtId="0" fontId="42" fillId="0" borderId="62" xfId="92" applyFont="1" applyFill="1" applyBorder="1" applyAlignment="1">
      <alignment horizontal="center" vertical="center" wrapText="1"/>
      <protection/>
    </xf>
    <xf numFmtId="3" fontId="37" fillId="0" borderId="69" xfId="90" applyNumberFormat="1" applyFont="1" applyFill="1" applyBorder="1" applyAlignment="1">
      <alignment horizontal="center"/>
      <protection/>
    </xf>
    <xf numFmtId="3" fontId="37" fillId="0" borderId="70" xfId="90" applyNumberFormat="1" applyFont="1" applyFill="1" applyBorder="1" applyAlignment="1">
      <alignment horizontal="center"/>
      <protection/>
    </xf>
    <xf numFmtId="3" fontId="37" fillId="0" borderId="64" xfId="90" applyNumberFormat="1" applyFont="1" applyFill="1" applyBorder="1" applyAlignment="1">
      <alignment horizontal="center"/>
      <protection/>
    </xf>
    <xf numFmtId="3" fontId="37" fillId="0" borderId="65" xfId="90" applyNumberFormat="1" applyFont="1" applyFill="1" applyBorder="1" applyAlignment="1">
      <alignment horizontal="center"/>
      <protection/>
    </xf>
    <xf numFmtId="3" fontId="37" fillId="0" borderId="68" xfId="90" applyNumberFormat="1" applyFont="1" applyFill="1" applyBorder="1" applyAlignment="1">
      <alignment horizontal="center"/>
      <protection/>
    </xf>
    <xf numFmtId="0" fontId="37" fillId="0" borderId="65" xfId="90" applyFont="1" applyFill="1" applyBorder="1" applyAlignment="1">
      <alignment horizontal="center"/>
      <protection/>
    </xf>
    <xf numFmtId="0" fontId="37" fillId="0" borderId="68" xfId="90" applyFont="1" applyFill="1" applyBorder="1" applyAlignment="1">
      <alignment horizontal="center"/>
      <protection/>
    </xf>
    <xf numFmtId="0" fontId="37" fillId="0" borderId="0" xfId="90" applyFont="1" applyFill="1" applyBorder="1" applyAlignment="1">
      <alignment horizontal="center"/>
      <protection/>
    </xf>
    <xf numFmtId="0" fontId="37" fillId="0" borderId="71" xfId="90" applyFont="1" applyFill="1" applyBorder="1" applyAlignment="1">
      <alignment horizontal="center"/>
      <protection/>
    </xf>
    <xf numFmtId="3" fontId="37" fillId="0" borderId="31" xfId="90" applyNumberFormat="1" applyFont="1" applyFill="1" applyBorder="1" applyAlignment="1">
      <alignment horizontal="center"/>
      <protection/>
    </xf>
    <xf numFmtId="0" fontId="37" fillId="0" borderId="31" xfId="90" applyFont="1" applyFill="1" applyBorder="1" applyAlignment="1">
      <alignment horizontal="center"/>
      <protection/>
    </xf>
    <xf numFmtId="0" fontId="37" fillId="0" borderId="64" xfId="90" applyFont="1" applyFill="1" applyBorder="1" applyAlignment="1">
      <alignment horizontal="left" wrapText="1"/>
      <protection/>
    </xf>
    <xf numFmtId="0" fontId="37" fillId="0" borderId="68" xfId="90" applyFont="1" applyFill="1" applyBorder="1" applyAlignment="1">
      <alignment horizontal="left" wrapText="1"/>
      <protection/>
    </xf>
    <xf numFmtId="0" fontId="37" fillId="0" borderId="65" xfId="90" applyFont="1" applyFill="1" applyBorder="1" applyAlignment="1">
      <alignment horizontal="left" wrapText="1"/>
      <protection/>
    </xf>
    <xf numFmtId="0" fontId="39" fillId="0" borderId="72" xfId="90" applyFont="1" applyFill="1" applyBorder="1" applyAlignment="1">
      <alignment horizontal="center"/>
      <protection/>
    </xf>
    <xf numFmtId="0" fontId="39" fillId="0" borderId="71" xfId="90" applyFont="1" applyFill="1" applyBorder="1" applyAlignment="1">
      <alignment horizontal="center"/>
      <protection/>
    </xf>
    <xf numFmtId="0" fontId="37" fillId="0" borderId="45" xfId="90" applyFont="1" applyFill="1" applyBorder="1" applyAlignment="1">
      <alignment horizontal="center"/>
      <protection/>
    </xf>
    <xf numFmtId="0" fontId="37" fillId="0" borderId="31" xfId="90" applyFont="1" applyFill="1" applyBorder="1" applyAlignment="1">
      <alignment horizontal="left"/>
      <protection/>
    </xf>
    <xf numFmtId="0" fontId="39" fillId="0" borderId="55" xfId="90" applyFont="1" applyFill="1" applyBorder="1" applyAlignment="1">
      <alignment horizontal="center"/>
      <protection/>
    </xf>
    <xf numFmtId="0" fontId="39" fillId="0" borderId="57" xfId="90" applyFont="1" applyFill="1" applyBorder="1" applyAlignment="1">
      <alignment horizontal="center"/>
      <protection/>
    </xf>
    <xf numFmtId="0" fontId="39" fillId="0" borderId="57" xfId="90" applyFont="1" applyFill="1" applyBorder="1">
      <alignment/>
      <protection/>
    </xf>
    <xf numFmtId="0" fontId="39" fillId="0" borderId="73" xfId="90" applyFont="1" applyFill="1" applyBorder="1">
      <alignment/>
      <protection/>
    </xf>
    <xf numFmtId="0" fontId="39" fillId="0" borderId="36" xfId="90" applyFont="1" applyFill="1" applyBorder="1" applyAlignment="1">
      <alignment horizontal="center"/>
      <protection/>
    </xf>
    <xf numFmtId="0" fontId="39" fillId="0" borderId="73" xfId="90" applyFont="1" applyFill="1" applyBorder="1" applyAlignment="1">
      <alignment horizontal="center"/>
      <protection/>
    </xf>
    <xf numFmtId="3" fontId="37" fillId="0" borderId="29" xfId="90" applyNumberFormat="1" applyFont="1" applyFill="1" applyBorder="1" applyAlignment="1">
      <alignment horizontal="center"/>
      <protection/>
    </xf>
    <xf numFmtId="0" fontId="37" fillId="0" borderId="29" xfId="90" applyFont="1" applyFill="1" applyBorder="1" applyAlignment="1">
      <alignment horizontal="center"/>
      <protection/>
    </xf>
    <xf numFmtId="0" fontId="37" fillId="0" borderId="64" xfId="90" applyFont="1" applyFill="1" applyBorder="1" applyAlignment="1">
      <alignment horizontal="left"/>
      <protection/>
    </xf>
    <xf numFmtId="0" fontId="37" fillId="0" borderId="68" xfId="90" applyFont="1" applyFill="1" applyBorder="1" applyAlignment="1">
      <alignment horizontal="left"/>
      <protection/>
    </xf>
    <xf numFmtId="0" fontId="37" fillId="0" borderId="65" xfId="90" applyFont="1" applyFill="1" applyBorder="1" applyAlignment="1">
      <alignment horizontal="left"/>
      <protection/>
    </xf>
    <xf numFmtId="0" fontId="37" fillId="0" borderId="26" xfId="90" applyFont="1" applyFill="1" applyBorder="1" applyAlignment="1">
      <alignment horizontal="left"/>
      <protection/>
    </xf>
    <xf numFmtId="0" fontId="39" fillId="0" borderId="51" xfId="90" applyFont="1" applyFill="1" applyBorder="1" applyAlignment="1">
      <alignment horizontal="center"/>
      <protection/>
    </xf>
    <xf numFmtId="0" fontId="39" fillId="0" borderId="56" xfId="90" applyFont="1" applyFill="1" applyBorder="1" applyAlignment="1">
      <alignment horizontal="center"/>
      <protection/>
    </xf>
    <xf numFmtId="0" fontId="39" fillId="0" borderId="74" xfId="90" applyFont="1" applyFill="1" applyBorder="1" applyAlignment="1">
      <alignment horizontal="center"/>
      <protection/>
    </xf>
    <xf numFmtId="0" fontId="39" fillId="0" borderId="32" xfId="90" applyFont="1" applyFill="1" applyBorder="1" applyAlignment="1">
      <alignment horizontal="left"/>
      <protection/>
    </xf>
    <xf numFmtId="0" fontId="39" fillId="0" borderId="34" xfId="90" applyFont="1" applyFill="1" applyBorder="1" applyAlignment="1">
      <alignment horizontal="left"/>
      <protection/>
    </xf>
    <xf numFmtId="3" fontId="39" fillId="0" borderId="34" xfId="90" applyNumberFormat="1" applyFont="1" applyFill="1" applyBorder="1" applyAlignment="1">
      <alignment horizontal="center"/>
      <protection/>
    </xf>
    <xf numFmtId="0" fontId="39" fillId="0" borderId="34" xfId="90" applyFont="1" applyFill="1" applyBorder="1" applyAlignment="1">
      <alignment horizontal="center"/>
      <protection/>
    </xf>
    <xf numFmtId="0" fontId="37" fillId="0" borderId="64" xfId="90" applyFont="1" applyFill="1" applyBorder="1" applyAlignment="1">
      <alignment horizontal="center"/>
      <protection/>
    </xf>
    <xf numFmtId="0" fontId="37" fillId="0" borderId="64" xfId="90" applyFont="1" applyFill="1" applyBorder="1" applyAlignment="1">
      <alignment horizontal="center" wrapText="1"/>
      <protection/>
    </xf>
    <xf numFmtId="0" fontId="37" fillId="0" borderId="68" xfId="90" applyFont="1" applyFill="1" applyBorder="1" applyAlignment="1">
      <alignment horizontal="center" wrapText="1"/>
      <protection/>
    </xf>
    <xf numFmtId="0" fontId="37" fillId="0" borderId="65" xfId="90" applyFont="1" applyFill="1" applyBorder="1" applyAlignment="1">
      <alignment horizontal="center" wrapText="1"/>
      <protection/>
    </xf>
    <xf numFmtId="0" fontId="37" fillId="0" borderId="69" xfId="90" applyFont="1" applyFill="1" applyBorder="1" applyAlignment="1">
      <alignment horizontal="left"/>
      <protection/>
    </xf>
    <xf numFmtId="0" fontId="37" fillId="0" borderId="75" xfId="90" applyFont="1" applyFill="1" applyBorder="1" applyAlignment="1">
      <alignment horizontal="left"/>
      <protection/>
    </xf>
    <xf numFmtId="0" fontId="37" fillId="0" borderId="70" xfId="90" applyFont="1" applyFill="1" applyBorder="1" applyAlignment="1">
      <alignment horizontal="left"/>
      <protection/>
    </xf>
    <xf numFmtId="3" fontId="37" fillId="0" borderId="26" xfId="90" applyNumberFormat="1" applyFont="1" applyFill="1" applyBorder="1" applyAlignment="1">
      <alignment horizontal="center"/>
      <protection/>
    </xf>
    <xf numFmtId="0" fontId="37" fillId="0" borderId="26" xfId="90" applyFont="1" applyFill="1" applyBorder="1" applyAlignment="1">
      <alignment horizontal="center"/>
      <protection/>
    </xf>
    <xf numFmtId="0" fontId="37" fillId="0" borderId="75" xfId="90" applyFont="1" applyFill="1" applyBorder="1" applyAlignment="1">
      <alignment horizontal="center"/>
      <protection/>
    </xf>
    <xf numFmtId="0" fontId="39" fillId="0" borderId="59" xfId="90" applyFont="1" applyFill="1" applyBorder="1" applyAlignment="1">
      <alignment horizontal="left"/>
      <protection/>
    </xf>
    <xf numFmtId="0" fontId="39" fillId="0" borderId="57" xfId="90" applyFont="1" applyFill="1" applyBorder="1" applyAlignment="1">
      <alignment horizontal="left"/>
      <protection/>
    </xf>
    <xf numFmtId="0" fontId="39" fillId="0" borderId="73" xfId="90" applyFont="1" applyFill="1" applyBorder="1" applyAlignment="1">
      <alignment horizontal="left"/>
      <protection/>
    </xf>
    <xf numFmtId="3" fontId="37" fillId="0" borderId="64" xfId="90" applyNumberFormat="1" applyFont="1" applyBorder="1" applyAlignment="1">
      <alignment horizontal="center"/>
      <protection/>
    </xf>
    <xf numFmtId="3" fontId="37" fillId="0" borderId="68" xfId="90" applyNumberFormat="1" applyFont="1" applyBorder="1" applyAlignment="1">
      <alignment horizontal="center"/>
      <protection/>
    </xf>
    <xf numFmtId="3" fontId="37" fillId="0" borderId="65" xfId="90" applyNumberFormat="1" applyFont="1" applyBorder="1" applyAlignment="1">
      <alignment horizontal="center"/>
      <protection/>
    </xf>
    <xf numFmtId="3" fontId="37" fillId="0" borderId="31" xfId="90" applyNumberFormat="1" applyFont="1" applyBorder="1" applyAlignment="1">
      <alignment horizontal="center"/>
      <protection/>
    </xf>
    <xf numFmtId="0" fontId="37" fillId="0" borderId="31" xfId="90" applyFont="1" applyBorder="1" applyAlignment="1">
      <alignment horizontal="center"/>
      <protection/>
    </xf>
    <xf numFmtId="0" fontId="39" fillId="0" borderId="31" xfId="90" applyFont="1" applyBorder="1" applyAlignment="1">
      <alignment horizontal="center"/>
      <protection/>
    </xf>
    <xf numFmtId="0" fontId="39" fillId="0" borderId="0" xfId="90" applyFont="1" applyFill="1" applyBorder="1" applyAlignment="1">
      <alignment horizontal="center"/>
      <protection/>
    </xf>
    <xf numFmtId="0" fontId="37" fillId="0" borderId="76" xfId="90" applyFont="1" applyFill="1" applyBorder="1" applyAlignment="1">
      <alignment horizontal="center"/>
      <protection/>
    </xf>
    <xf numFmtId="0" fontId="37" fillId="0" borderId="37" xfId="90" applyFont="1" applyFill="1" applyBorder="1" applyAlignment="1">
      <alignment horizontal="center"/>
      <protection/>
    </xf>
    <xf numFmtId="3" fontId="37" fillId="0" borderId="0" xfId="90" applyNumberFormat="1" applyFont="1" applyFill="1" applyBorder="1" applyAlignment="1">
      <alignment horizontal="center"/>
      <protection/>
    </xf>
    <xf numFmtId="3" fontId="39" fillId="0" borderId="32" xfId="90" applyNumberFormat="1" applyFont="1" applyFill="1" applyBorder="1" applyAlignment="1">
      <alignment horizontal="center"/>
      <protection/>
    </xf>
    <xf numFmtId="0" fontId="39" fillId="0" borderId="35" xfId="90" applyFont="1" applyFill="1" applyBorder="1" applyAlignment="1">
      <alignment horizontal="center"/>
      <protection/>
    </xf>
    <xf numFmtId="3" fontId="39" fillId="0" borderId="0" xfId="90" applyNumberFormat="1" applyFont="1" applyFill="1" applyBorder="1" applyAlignment="1">
      <alignment horizontal="center"/>
      <protection/>
    </xf>
    <xf numFmtId="0" fontId="37" fillId="0" borderId="31" xfId="90" applyNumberFormat="1" applyFont="1" applyFill="1" applyBorder="1" applyAlignment="1">
      <alignment horizontal="center"/>
      <protection/>
    </xf>
    <xf numFmtId="0" fontId="36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45" fillId="0" borderId="31" xfId="0" applyFont="1" applyBorder="1" applyAlignment="1">
      <alignment horizontal="right"/>
    </xf>
    <xf numFmtId="0" fontId="45" fillId="0" borderId="31" xfId="0" applyFont="1" applyBorder="1" applyAlignment="1">
      <alignment/>
    </xf>
    <xf numFmtId="0" fontId="36" fillId="0" borderId="58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37" fillId="0" borderId="77" xfId="90" applyFont="1" applyBorder="1" applyAlignment="1">
      <alignment horizontal="center" vertical="center"/>
      <protection/>
    </xf>
    <xf numFmtId="0" fontId="37" fillId="0" borderId="78" xfId="90" applyFont="1" applyBorder="1" applyAlignment="1">
      <alignment horizontal="center" vertical="center"/>
      <protection/>
    </xf>
    <xf numFmtId="0" fontId="37" fillId="0" borderId="37" xfId="90" applyFont="1" applyBorder="1" applyAlignment="1">
      <alignment horizontal="center" vertical="center"/>
      <protection/>
    </xf>
    <xf numFmtId="0" fontId="37" fillId="0" borderId="76" xfId="90" applyFont="1" applyBorder="1" applyAlignment="1">
      <alignment horizontal="center" vertical="center"/>
      <protection/>
    </xf>
    <xf numFmtId="0" fontId="37" fillId="0" borderId="77" xfId="90" applyFont="1" applyBorder="1" applyAlignment="1">
      <alignment horizontal="left" vertical="center"/>
      <protection/>
    </xf>
    <xf numFmtId="0" fontId="37" fillId="0" borderId="79" xfId="90" applyFont="1" applyBorder="1" applyAlignment="1">
      <alignment horizontal="left" vertical="center"/>
      <protection/>
    </xf>
    <xf numFmtId="0" fontId="37" fillId="0" borderId="78" xfId="90" applyFont="1" applyBorder="1" applyAlignment="1">
      <alignment horizontal="left" vertical="center"/>
      <protection/>
    </xf>
    <xf numFmtId="0" fontId="37" fillId="0" borderId="37" xfId="90" applyFont="1" applyBorder="1" applyAlignment="1">
      <alignment horizontal="left" vertical="center"/>
      <protection/>
    </xf>
    <xf numFmtId="0" fontId="37" fillId="0" borderId="45" xfId="90" applyFont="1" applyBorder="1" applyAlignment="1">
      <alignment horizontal="left" vertical="center"/>
      <protection/>
    </xf>
    <xf numFmtId="0" fontId="37" fillId="0" borderId="76" xfId="90" applyFont="1" applyBorder="1" applyAlignment="1">
      <alignment horizontal="left" vertical="center"/>
      <protection/>
    </xf>
    <xf numFmtId="3" fontId="37" fillId="0" borderId="77" xfId="90" applyNumberFormat="1" applyFont="1" applyBorder="1" applyAlignment="1">
      <alignment horizontal="center" vertical="center"/>
      <protection/>
    </xf>
    <xf numFmtId="3" fontId="37" fillId="0" borderId="78" xfId="90" applyNumberFormat="1" applyFont="1" applyBorder="1" applyAlignment="1">
      <alignment horizontal="center" vertical="center"/>
      <protection/>
    </xf>
    <xf numFmtId="3" fontId="37" fillId="0" borderId="37" xfId="90" applyNumberFormat="1" applyFont="1" applyBorder="1" applyAlignment="1">
      <alignment horizontal="center" vertical="center"/>
      <protection/>
    </xf>
    <xf numFmtId="3" fontId="37" fillId="0" borderId="76" xfId="90" applyNumberFormat="1" applyFont="1" applyBorder="1" applyAlignment="1">
      <alignment horizontal="center" vertical="center"/>
      <protection/>
    </xf>
    <xf numFmtId="0" fontId="37" fillId="0" borderId="64" xfId="90" applyFont="1" applyBorder="1" applyAlignment="1">
      <alignment horizontal="center"/>
      <protection/>
    </xf>
    <xf numFmtId="0" fontId="37" fillId="0" borderId="65" xfId="90" applyFont="1" applyBorder="1" applyAlignment="1">
      <alignment horizontal="center"/>
      <protection/>
    </xf>
    <xf numFmtId="0" fontId="37" fillId="0" borderId="64" xfId="90" applyFont="1" applyBorder="1" applyAlignment="1">
      <alignment horizontal="left" wrapText="1"/>
      <protection/>
    </xf>
    <xf numFmtId="0" fontId="37" fillId="0" borderId="68" xfId="90" applyFont="1" applyBorder="1" applyAlignment="1">
      <alignment horizontal="left" wrapText="1"/>
      <protection/>
    </xf>
    <xf numFmtId="0" fontId="37" fillId="0" borderId="65" xfId="90" applyFont="1" applyBorder="1" applyAlignment="1">
      <alignment horizontal="left" wrapText="1"/>
      <protection/>
    </xf>
    <xf numFmtId="0" fontId="37" fillId="0" borderId="31" xfId="90" applyFont="1" applyBorder="1" applyAlignment="1">
      <alignment horizontal="left" wrapText="1"/>
      <protection/>
    </xf>
    <xf numFmtId="0" fontId="39" fillId="0" borderId="31" xfId="90" applyFont="1" applyBorder="1" applyAlignment="1">
      <alignment horizontal="left"/>
      <protection/>
    </xf>
    <xf numFmtId="3" fontId="39" fillId="0" borderId="64" xfId="90" applyNumberFormat="1" applyFont="1" applyBorder="1" applyAlignment="1">
      <alignment horizontal="center"/>
      <protection/>
    </xf>
    <xf numFmtId="3" fontId="39" fillId="0" borderId="65" xfId="90" applyNumberFormat="1" applyFont="1" applyBorder="1" applyAlignment="1">
      <alignment horizontal="center"/>
      <protection/>
    </xf>
    <xf numFmtId="0" fontId="30" fillId="0" borderId="31" xfId="90" applyFont="1" applyBorder="1" applyAlignment="1">
      <alignment horizontal="center" vertical="center"/>
      <protection/>
    </xf>
    <xf numFmtId="0" fontId="35" fillId="0" borderId="31" xfId="0" applyFont="1" applyBorder="1" applyAlignment="1">
      <alignment/>
    </xf>
    <xf numFmtId="3" fontId="39" fillId="0" borderId="31" xfId="90" applyNumberFormat="1" applyFont="1" applyBorder="1" applyAlignment="1">
      <alignment horizontal="center"/>
      <protection/>
    </xf>
    <xf numFmtId="3" fontId="39" fillId="0" borderId="0" xfId="90" applyNumberFormat="1" applyFont="1" applyBorder="1" applyAlignment="1">
      <alignment horizontal="center"/>
      <protection/>
    </xf>
    <xf numFmtId="0" fontId="37" fillId="0" borderId="64" xfId="90" applyFont="1" applyBorder="1" applyAlignment="1">
      <alignment horizontal="left"/>
      <protection/>
    </xf>
    <xf numFmtId="0" fontId="37" fillId="0" borderId="68" xfId="90" applyFont="1" applyBorder="1" applyAlignment="1">
      <alignment horizontal="left"/>
      <protection/>
    </xf>
    <xf numFmtId="0" fontId="37" fillId="0" borderId="65" xfId="90" applyFont="1" applyBorder="1" applyAlignment="1">
      <alignment horizontal="left"/>
      <protection/>
    </xf>
    <xf numFmtId="0" fontId="37" fillId="0" borderId="31" xfId="90" applyFont="1" applyBorder="1" applyAlignment="1">
      <alignment horizontal="left"/>
      <protection/>
    </xf>
    <xf numFmtId="0" fontId="39" fillId="0" borderId="77" xfId="90" applyFont="1" applyBorder="1" applyAlignment="1">
      <alignment horizontal="center"/>
      <protection/>
    </xf>
    <xf numFmtId="0" fontId="39" fillId="0" borderId="79" xfId="90" applyFont="1" applyBorder="1" applyAlignment="1">
      <alignment horizontal="center"/>
      <protection/>
    </xf>
    <xf numFmtId="0" fontId="39" fillId="0" borderId="78" xfId="90" applyFont="1" applyBorder="1" applyAlignment="1">
      <alignment horizontal="center"/>
      <protection/>
    </xf>
    <xf numFmtId="0" fontId="39" fillId="0" borderId="37" xfId="90" applyFont="1" applyBorder="1" applyAlignment="1">
      <alignment horizontal="center"/>
      <protection/>
    </xf>
    <xf numFmtId="0" fontId="39" fillId="0" borderId="45" xfId="90" applyFont="1" applyBorder="1" applyAlignment="1">
      <alignment horizontal="center"/>
      <protection/>
    </xf>
    <xf numFmtId="0" fontId="39" fillId="0" borderId="76" xfId="90" applyFont="1" applyBorder="1" applyAlignment="1">
      <alignment horizontal="center"/>
      <protection/>
    </xf>
    <xf numFmtId="3" fontId="39" fillId="0" borderId="77" xfId="90" applyNumberFormat="1" applyFont="1" applyBorder="1" applyAlignment="1">
      <alignment horizontal="center"/>
      <protection/>
    </xf>
    <xf numFmtId="3" fontId="39" fillId="0" borderId="78" xfId="90" applyNumberFormat="1" applyFont="1" applyBorder="1" applyAlignment="1">
      <alignment horizontal="center"/>
      <protection/>
    </xf>
    <xf numFmtId="3" fontId="39" fillId="0" borderId="37" xfId="90" applyNumberFormat="1" applyFont="1" applyBorder="1" applyAlignment="1">
      <alignment horizontal="center"/>
      <protection/>
    </xf>
    <xf numFmtId="3" fontId="39" fillId="0" borderId="76" xfId="90" applyNumberFormat="1" applyFont="1" applyBorder="1" applyAlignment="1">
      <alignment horizontal="center"/>
      <protection/>
    </xf>
    <xf numFmtId="3" fontId="39" fillId="0" borderId="64" xfId="90" applyNumberFormat="1" applyFont="1" applyBorder="1" applyAlignment="1">
      <alignment horizontal="center" vertical="center"/>
      <protection/>
    </xf>
    <xf numFmtId="3" fontId="39" fillId="0" borderId="65" xfId="90" applyNumberFormat="1" applyFont="1" applyBorder="1" applyAlignment="1">
      <alignment horizontal="center" vertical="center"/>
      <protection/>
    </xf>
    <xf numFmtId="0" fontId="30" fillId="0" borderId="68" xfId="90" applyFont="1" applyBorder="1" applyAlignment="1">
      <alignment horizontal="center" vertical="center"/>
      <protection/>
    </xf>
    <xf numFmtId="0" fontId="30" fillId="0" borderId="65" xfId="90" applyFont="1" applyBorder="1" applyAlignment="1">
      <alignment horizontal="center" vertical="center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 3" xfId="91"/>
    <cellStyle name="Normál_5. sz. m." xfId="92"/>
    <cellStyle name="Normál_7. sz. m.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55"/>
  <sheetViews>
    <sheetView tabSelected="1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77.57421875" style="87" customWidth="1"/>
    <col min="2" max="2" width="16.140625" style="87" customWidth="1"/>
    <col min="3" max="3" width="22.8515625" style="87" customWidth="1"/>
    <col min="4" max="4" width="22.57421875" style="87" customWidth="1"/>
    <col min="5" max="5" width="21.8515625" style="87" customWidth="1"/>
    <col min="6" max="6" width="31.57421875" style="87" customWidth="1"/>
    <col min="7" max="7" width="17.00390625" style="87" customWidth="1"/>
    <col min="8" max="8" width="10.140625" style="87" customWidth="1"/>
    <col min="9" max="9" width="8.57421875" style="87" customWidth="1"/>
    <col min="10" max="12" width="30.421875" style="87" customWidth="1"/>
    <col min="13" max="16384" width="9.140625" style="87" customWidth="1"/>
  </cols>
  <sheetData>
    <row r="1" spans="1:12" s="225" customFormat="1" ht="60.75" customHeight="1" thickBot="1">
      <c r="A1" s="422" t="s">
        <v>384</v>
      </c>
      <c r="B1" s="423"/>
      <c r="C1" s="423"/>
      <c r="D1" s="423"/>
      <c r="E1" s="424"/>
      <c r="F1" s="223"/>
      <c r="G1" s="224"/>
      <c r="H1" s="224"/>
      <c r="I1" s="224"/>
      <c r="J1" s="224"/>
      <c r="K1" s="224"/>
      <c r="L1" s="224"/>
    </row>
    <row r="2" spans="1:12" s="225" customFormat="1" ht="30.75" thickBot="1">
      <c r="A2" s="153" t="s">
        <v>175</v>
      </c>
      <c r="B2" s="226"/>
      <c r="C2" s="425" t="s">
        <v>48</v>
      </c>
      <c r="D2" s="426"/>
      <c r="E2" s="427"/>
      <c r="F2" s="224"/>
      <c r="G2" s="227"/>
      <c r="H2" s="228"/>
      <c r="I2" s="227"/>
      <c r="J2" s="229"/>
      <c r="K2" s="227"/>
      <c r="L2" s="227"/>
    </row>
    <row r="3" spans="1:11" s="225" customFormat="1" ht="30">
      <c r="A3" s="230" t="s">
        <v>24</v>
      </c>
      <c r="B3" s="231" t="s">
        <v>25</v>
      </c>
      <c r="C3" s="183" t="s">
        <v>26</v>
      </c>
      <c r="D3" s="183" t="s">
        <v>27</v>
      </c>
      <c r="E3" s="232" t="s">
        <v>28</v>
      </c>
      <c r="F3" s="227"/>
      <c r="G3" s="227"/>
      <c r="H3" s="227"/>
      <c r="I3" s="229"/>
      <c r="J3" s="227"/>
      <c r="K3" s="227"/>
    </row>
    <row r="4" spans="1:11" s="225" customFormat="1" ht="30">
      <c r="A4" s="233" t="s">
        <v>29</v>
      </c>
      <c r="B4" s="234"/>
      <c r="C4" s="235">
        <f>SUM(C5:C10)</f>
        <v>91956136</v>
      </c>
      <c r="D4" s="235">
        <f>SUM(D5:D10)</f>
        <v>91956136</v>
      </c>
      <c r="E4" s="330"/>
      <c r="F4" s="227"/>
      <c r="G4" s="227"/>
      <c r="H4" s="227"/>
      <c r="I4" s="229"/>
      <c r="J4" s="227"/>
      <c r="K4" s="227"/>
    </row>
    <row r="5" spans="1:11" s="225" customFormat="1" ht="30">
      <c r="A5" s="236" t="s">
        <v>356</v>
      </c>
      <c r="B5" s="237"/>
      <c r="C5" s="28">
        <v>72089200</v>
      </c>
      <c r="D5" s="28">
        <v>72089200</v>
      </c>
      <c r="E5" s="330"/>
      <c r="F5" s="227"/>
      <c r="G5" s="227"/>
      <c r="H5" s="227"/>
      <c r="I5" s="229"/>
      <c r="J5" s="227"/>
      <c r="K5" s="227"/>
    </row>
    <row r="6" spans="1:11" s="225" customFormat="1" ht="31.5">
      <c r="A6" s="236" t="s">
        <v>30</v>
      </c>
      <c r="B6" s="237"/>
      <c r="C6" s="28">
        <v>5296137</v>
      </c>
      <c r="D6" s="28">
        <v>5296137</v>
      </c>
      <c r="E6" s="330"/>
      <c r="F6" s="227"/>
      <c r="G6" s="227"/>
      <c r="H6" s="227"/>
      <c r="I6" s="229"/>
      <c r="J6" s="227"/>
      <c r="K6" s="227"/>
    </row>
    <row r="7" spans="1:11" s="225" customFormat="1" ht="30">
      <c r="A7" s="236" t="s">
        <v>31</v>
      </c>
      <c r="B7" s="237"/>
      <c r="C7" s="28">
        <v>5000000</v>
      </c>
      <c r="D7" s="28">
        <v>5000000</v>
      </c>
      <c r="E7" s="330"/>
      <c r="F7" s="227"/>
      <c r="G7" s="227"/>
      <c r="H7" s="227"/>
      <c r="I7" s="229"/>
      <c r="J7" s="227"/>
      <c r="K7" s="227"/>
    </row>
    <row r="8" spans="1:11" s="225" customFormat="1" ht="30">
      <c r="A8" s="236" t="s">
        <v>225</v>
      </c>
      <c r="B8" s="238"/>
      <c r="C8" s="28">
        <v>147150</v>
      </c>
      <c r="D8" s="28">
        <v>147150</v>
      </c>
      <c r="E8" s="330"/>
      <c r="F8" s="227"/>
      <c r="G8" s="227"/>
      <c r="H8" s="227"/>
      <c r="I8" s="229"/>
      <c r="J8" s="227"/>
      <c r="K8" s="227"/>
    </row>
    <row r="9" spans="1:11" s="225" customFormat="1" ht="30">
      <c r="A9" s="236" t="s">
        <v>354</v>
      </c>
      <c r="B9" s="238"/>
      <c r="C9" s="28">
        <v>8253249</v>
      </c>
      <c r="D9" s="28">
        <v>8253249</v>
      </c>
      <c r="E9" s="330"/>
      <c r="F9" s="227"/>
      <c r="G9" s="227"/>
      <c r="H9" s="227"/>
      <c r="I9" s="229"/>
      <c r="J9" s="227"/>
      <c r="K9" s="227"/>
    </row>
    <row r="10" spans="1:11" s="225" customFormat="1" ht="30">
      <c r="A10" s="236" t="s">
        <v>355</v>
      </c>
      <c r="B10" s="238"/>
      <c r="C10" s="28">
        <v>1170400</v>
      </c>
      <c r="D10" s="28">
        <v>1170400</v>
      </c>
      <c r="E10" s="330"/>
      <c r="F10" s="227"/>
      <c r="G10" s="227"/>
      <c r="H10" s="227"/>
      <c r="I10" s="229"/>
      <c r="J10" s="227"/>
      <c r="K10" s="227"/>
    </row>
    <row r="11" spans="1:11" s="225" customFormat="1" ht="31.5">
      <c r="A11" s="239" t="s">
        <v>194</v>
      </c>
      <c r="B11" s="234"/>
      <c r="C11" s="235">
        <f>SUM(C12:C13)</f>
        <v>6191000</v>
      </c>
      <c r="D11" s="235">
        <f>SUM(D12:D13)</f>
        <v>6191000</v>
      </c>
      <c r="E11" s="331"/>
      <c r="F11" s="227"/>
      <c r="G11" s="227"/>
      <c r="H11" s="227"/>
      <c r="I11" s="229"/>
      <c r="J11" s="227"/>
      <c r="K11" s="227"/>
    </row>
    <row r="12" spans="1:11" s="225" customFormat="1" ht="30">
      <c r="A12" s="240" t="s">
        <v>195</v>
      </c>
      <c r="B12" s="241"/>
      <c r="C12" s="28">
        <v>3091000</v>
      </c>
      <c r="D12" s="28">
        <v>3091000</v>
      </c>
      <c r="E12" s="331"/>
      <c r="F12" s="227"/>
      <c r="G12" s="227"/>
      <c r="H12" s="227"/>
      <c r="I12" s="229"/>
      <c r="J12" s="227"/>
      <c r="K12" s="227"/>
    </row>
    <row r="13" spans="1:11" s="225" customFormat="1" ht="30">
      <c r="A13" s="240" t="s">
        <v>32</v>
      </c>
      <c r="B13" s="241"/>
      <c r="C13" s="28">
        <v>3100000</v>
      </c>
      <c r="D13" s="28">
        <v>3100000</v>
      </c>
      <c r="E13" s="331"/>
      <c r="F13" s="227"/>
      <c r="G13" s="227"/>
      <c r="H13" s="227"/>
      <c r="I13" s="229"/>
      <c r="J13" s="227"/>
      <c r="K13" s="227"/>
    </row>
    <row r="14" spans="1:11" s="225" customFormat="1" ht="30">
      <c r="A14" s="233" t="s">
        <v>33</v>
      </c>
      <c r="B14" s="234"/>
      <c r="C14" s="235">
        <v>1800000</v>
      </c>
      <c r="D14" s="235">
        <v>1800000</v>
      </c>
      <c r="E14" s="332"/>
      <c r="F14" s="227"/>
      <c r="G14" s="228"/>
      <c r="H14" s="227"/>
      <c r="I14" s="229"/>
      <c r="J14" s="227"/>
      <c r="K14" s="227"/>
    </row>
    <row r="15" spans="1:11" s="225" customFormat="1" ht="30">
      <c r="A15" s="243" t="s">
        <v>196</v>
      </c>
      <c r="B15" s="244"/>
      <c r="C15" s="341">
        <f>C4+C11+C14</f>
        <v>99947136</v>
      </c>
      <c r="D15" s="341">
        <f>D4+D11+D14</f>
        <v>99947136</v>
      </c>
      <c r="E15" s="334"/>
      <c r="F15" s="242"/>
      <c r="G15" s="242"/>
      <c r="H15" s="242"/>
      <c r="I15" s="242"/>
      <c r="J15" s="242"/>
      <c r="K15" s="242"/>
    </row>
    <row r="16" spans="1:11" s="225" customFormat="1" ht="30">
      <c r="A16" s="245" t="s">
        <v>228</v>
      </c>
      <c r="B16" s="244"/>
      <c r="C16" s="347">
        <v>1384695</v>
      </c>
      <c r="D16" s="347">
        <v>1384695</v>
      </c>
      <c r="E16" s="334"/>
      <c r="F16" s="242"/>
      <c r="G16" s="242"/>
      <c r="H16" s="242"/>
      <c r="I16" s="242"/>
      <c r="J16" s="242"/>
      <c r="K16" s="242"/>
    </row>
    <row r="17" spans="1:11" s="225" customFormat="1" ht="30">
      <c r="A17" s="233" t="s">
        <v>227</v>
      </c>
      <c r="B17" s="244"/>
      <c r="C17" s="347">
        <f>SUM(C18:C20)</f>
        <v>74738272</v>
      </c>
      <c r="D17" s="347">
        <f>SUM(D18:D20)</f>
        <v>74738272</v>
      </c>
      <c r="E17" s="354"/>
      <c r="F17" s="242"/>
      <c r="G17" s="242"/>
      <c r="H17" s="242"/>
      <c r="I17" s="242"/>
      <c r="J17" s="242"/>
      <c r="K17" s="242"/>
    </row>
    <row r="18" spans="1:11" s="293" customFormat="1" ht="30">
      <c r="A18" s="345" t="s">
        <v>268</v>
      </c>
      <c r="B18" s="291"/>
      <c r="C18" s="348">
        <v>1800000</v>
      </c>
      <c r="D18" s="348">
        <v>1800000</v>
      </c>
      <c r="E18" s="346"/>
      <c r="F18" s="292"/>
      <c r="G18" s="292"/>
      <c r="H18" s="292"/>
      <c r="I18" s="292"/>
      <c r="J18" s="292"/>
      <c r="K18" s="292"/>
    </row>
    <row r="19" spans="1:11" s="225" customFormat="1" ht="30">
      <c r="A19" s="246" t="s">
        <v>226</v>
      </c>
      <c r="B19" s="247"/>
      <c r="C19" s="212">
        <v>3941160</v>
      </c>
      <c r="D19" s="212">
        <v>3941160</v>
      </c>
      <c r="E19" s="335"/>
      <c r="F19" s="242"/>
      <c r="G19" s="242"/>
      <c r="H19" s="242"/>
      <c r="I19" s="242"/>
      <c r="J19" s="242"/>
      <c r="K19" s="242"/>
    </row>
    <row r="20" spans="1:11" s="225" customFormat="1" ht="30.75" thickBot="1">
      <c r="A20" s="363" t="s">
        <v>366</v>
      </c>
      <c r="B20" s="368"/>
      <c r="C20" s="110">
        <v>68997112</v>
      </c>
      <c r="D20" s="110">
        <v>68997112</v>
      </c>
      <c r="E20" s="201"/>
      <c r="F20" s="242"/>
      <c r="G20" s="242"/>
      <c r="H20" s="242"/>
      <c r="I20" s="242"/>
      <c r="J20" s="242"/>
      <c r="K20" s="242"/>
    </row>
    <row r="21" spans="1:11" s="225" customFormat="1" ht="30.75" thickBot="1">
      <c r="A21" s="261" t="s">
        <v>94</v>
      </c>
      <c r="B21" s="262" t="s">
        <v>34</v>
      </c>
      <c r="C21" s="349">
        <f>C15+C16+C17</f>
        <v>176070103</v>
      </c>
      <c r="D21" s="349">
        <f>D15+D16+D17</f>
        <v>176070103</v>
      </c>
      <c r="E21" s="353"/>
      <c r="F21" s="242"/>
      <c r="G21" s="242"/>
      <c r="H21" s="242"/>
      <c r="I21" s="242"/>
      <c r="J21" s="242"/>
      <c r="K21" s="242"/>
    </row>
    <row r="22" spans="1:11" s="225" customFormat="1" ht="30">
      <c r="A22" s="249" t="s">
        <v>367</v>
      </c>
      <c r="B22" s="355"/>
      <c r="C22" s="356">
        <v>2030768</v>
      </c>
      <c r="D22" s="357"/>
      <c r="E22" s="358">
        <v>2030768</v>
      </c>
      <c r="F22" s="242"/>
      <c r="G22" s="242"/>
      <c r="H22" s="242"/>
      <c r="I22" s="242"/>
      <c r="J22" s="242"/>
      <c r="K22" s="242"/>
    </row>
    <row r="23" spans="1:11" s="225" customFormat="1" ht="30.75" thickBot="1">
      <c r="A23" s="363" t="s">
        <v>374</v>
      </c>
      <c r="B23" s="364"/>
      <c r="C23" s="365">
        <v>47640165</v>
      </c>
      <c r="D23" s="366"/>
      <c r="E23" s="367">
        <v>47640165</v>
      </c>
      <c r="F23" s="242"/>
      <c r="G23" s="242"/>
      <c r="H23" s="242"/>
      <c r="I23" s="242"/>
      <c r="J23" s="242"/>
      <c r="K23" s="242"/>
    </row>
    <row r="24" spans="1:11" s="225" customFormat="1" ht="30.75" thickBot="1">
      <c r="A24" s="261" t="s">
        <v>368</v>
      </c>
      <c r="B24" s="262" t="s">
        <v>369</v>
      </c>
      <c r="C24" s="349">
        <f>SUM(C22:C23)</f>
        <v>49670933</v>
      </c>
      <c r="D24" s="349"/>
      <c r="E24" s="353">
        <f>SUM(E22:E23)</f>
        <v>49670933</v>
      </c>
      <c r="F24" s="242"/>
      <c r="G24" s="242"/>
      <c r="H24" s="242"/>
      <c r="I24" s="242"/>
      <c r="J24" s="242"/>
      <c r="K24" s="242"/>
    </row>
    <row r="25" spans="1:11" s="225" customFormat="1" ht="30">
      <c r="A25" s="359" t="s">
        <v>36</v>
      </c>
      <c r="B25" s="360"/>
      <c r="C25" s="361">
        <v>1770000</v>
      </c>
      <c r="D25" s="361">
        <v>1770000</v>
      </c>
      <c r="E25" s="362"/>
      <c r="F25" s="251"/>
      <c r="G25" s="251"/>
      <c r="H25" s="251"/>
      <c r="I25" s="242"/>
      <c r="J25" s="242"/>
      <c r="K25" s="242"/>
    </row>
    <row r="26" spans="1:11" s="225" customFormat="1" ht="30">
      <c r="A26" s="249" t="s">
        <v>37</v>
      </c>
      <c r="B26" s="250"/>
      <c r="C26" s="214">
        <v>60000</v>
      </c>
      <c r="D26" s="214">
        <v>60000</v>
      </c>
      <c r="E26" s="337"/>
      <c r="F26" s="251"/>
      <c r="G26" s="251"/>
      <c r="H26" s="251"/>
      <c r="I26" s="242"/>
      <c r="J26" s="242"/>
      <c r="K26" s="242"/>
    </row>
    <row r="27" spans="1:11" s="225" customFormat="1" ht="30">
      <c r="A27" s="252" t="s">
        <v>35</v>
      </c>
      <c r="B27" s="253"/>
      <c r="C27" s="342">
        <f>SUM(C25:C26)</f>
        <v>1830000</v>
      </c>
      <c r="D27" s="342">
        <f>SUM(D25:D26)</f>
        <v>1830000</v>
      </c>
      <c r="E27" s="337"/>
      <c r="F27" s="251"/>
      <c r="G27" s="251"/>
      <c r="H27" s="251"/>
      <c r="I27" s="242"/>
      <c r="J27" s="242"/>
      <c r="K27" s="242"/>
    </row>
    <row r="28" spans="1:11" s="225" customFormat="1" ht="30">
      <c r="A28" s="254" t="s">
        <v>38</v>
      </c>
      <c r="B28" s="241"/>
      <c r="C28" s="28">
        <v>75000000</v>
      </c>
      <c r="D28" s="28">
        <v>75000000</v>
      </c>
      <c r="E28" s="339"/>
      <c r="F28" s="251"/>
      <c r="G28" s="251"/>
      <c r="H28" s="251"/>
      <c r="I28" s="242"/>
      <c r="J28" s="242"/>
      <c r="K28" s="242"/>
    </row>
    <row r="29" spans="1:11" s="225" customFormat="1" ht="30">
      <c r="A29" s="255" t="s">
        <v>39</v>
      </c>
      <c r="B29" s="256"/>
      <c r="C29" s="28">
        <v>50000</v>
      </c>
      <c r="D29" s="28">
        <v>50000</v>
      </c>
      <c r="E29" s="339"/>
      <c r="F29" s="242"/>
      <c r="G29" s="242"/>
      <c r="H29" s="242"/>
      <c r="I29" s="242"/>
      <c r="J29" s="242"/>
      <c r="K29" s="242"/>
    </row>
    <row r="30" spans="1:11" s="225" customFormat="1" ht="30">
      <c r="A30" s="257" t="s">
        <v>95</v>
      </c>
      <c r="B30" s="177"/>
      <c r="C30" s="174">
        <f>SUM(C28:C29)</f>
        <v>75050000</v>
      </c>
      <c r="D30" s="174">
        <f>SUM(D28:D29)</f>
        <v>75050000</v>
      </c>
      <c r="E30" s="339"/>
      <c r="F30" s="242"/>
      <c r="G30" s="242"/>
      <c r="H30" s="242"/>
      <c r="I30" s="242"/>
      <c r="J30" s="242"/>
      <c r="K30" s="242"/>
    </row>
    <row r="31" spans="1:11" s="225" customFormat="1" ht="30">
      <c r="A31" s="258" t="s">
        <v>258</v>
      </c>
      <c r="B31" s="170"/>
      <c r="C31" s="212">
        <v>380000</v>
      </c>
      <c r="D31" s="212">
        <v>380000</v>
      </c>
      <c r="E31" s="333"/>
      <c r="F31" s="242"/>
      <c r="G31" s="242"/>
      <c r="H31" s="242"/>
      <c r="I31" s="242"/>
      <c r="J31" s="242"/>
      <c r="K31" s="242"/>
    </row>
    <row r="32" spans="1:11" s="225" customFormat="1" ht="30.75" thickBot="1">
      <c r="A32" s="257" t="s">
        <v>40</v>
      </c>
      <c r="B32" s="177"/>
      <c r="C32" s="174">
        <f>SUM(C31:C31)</f>
        <v>380000</v>
      </c>
      <c r="D32" s="174">
        <f>SUM(D31:D31)</f>
        <v>380000</v>
      </c>
      <c r="E32" s="338"/>
      <c r="F32" s="242"/>
      <c r="G32" s="242"/>
      <c r="H32" s="242"/>
      <c r="I32" s="242"/>
      <c r="J32" s="242"/>
      <c r="K32" s="242"/>
    </row>
    <row r="33" spans="1:11" s="225" customFormat="1" ht="30.75" thickBot="1">
      <c r="A33" s="248" t="s">
        <v>96</v>
      </c>
      <c r="B33" s="163" t="s">
        <v>41</v>
      </c>
      <c r="C33" s="155">
        <f>C27+C30+C32</f>
        <v>77260000</v>
      </c>
      <c r="D33" s="155">
        <f>D27+D30+D32</f>
        <v>77260000</v>
      </c>
      <c r="E33" s="336"/>
      <c r="F33" s="242"/>
      <c r="G33" s="242"/>
      <c r="H33" s="242"/>
      <c r="I33" s="242"/>
      <c r="J33" s="242"/>
      <c r="K33" s="242"/>
    </row>
    <row r="34" spans="1:11" s="225" customFormat="1" ht="30">
      <c r="A34" s="254" t="s">
        <v>42</v>
      </c>
      <c r="B34" s="241"/>
      <c r="C34" s="178">
        <f>SUM(C35:C36)</f>
        <v>13200000</v>
      </c>
      <c r="D34" s="178">
        <f>SUM(D35:D36)</f>
        <v>13200000</v>
      </c>
      <c r="E34" s="339"/>
      <c r="F34" s="242"/>
      <c r="G34" s="242"/>
      <c r="H34" s="242"/>
      <c r="I34" s="242"/>
      <c r="J34" s="242"/>
      <c r="K34" s="242"/>
    </row>
    <row r="35" spans="1:11" s="225" customFormat="1" ht="31.5">
      <c r="A35" s="240" t="s">
        <v>259</v>
      </c>
      <c r="B35" s="241"/>
      <c r="C35" s="28">
        <v>3900000</v>
      </c>
      <c r="D35" s="28">
        <v>3900000</v>
      </c>
      <c r="E35" s="339"/>
      <c r="F35" s="242"/>
      <c r="G35" s="242"/>
      <c r="H35" s="242"/>
      <c r="I35" s="242"/>
      <c r="J35" s="242"/>
      <c r="K35" s="242"/>
    </row>
    <row r="36" spans="1:11" s="225" customFormat="1" ht="37.5" customHeight="1">
      <c r="A36" s="240" t="s">
        <v>260</v>
      </c>
      <c r="B36" s="241"/>
      <c r="C36" s="28">
        <v>9300000</v>
      </c>
      <c r="D36" s="28">
        <v>9300000</v>
      </c>
      <c r="E36" s="339"/>
      <c r="F36" s="242"/>
      <c r="G36" s="242"/>
      <c r="H36" s="242"/>
      <c r="I36" s="242"/>
      <c r="J36" s="242"/>
      <c r="K36" s="242"/>
    </row>
    <row r="37" spans="1:11" s="225" customFormat="1" ht="30">
      <c r="A37" s="254" t="s">
        <v>261</v>
      </c>
      <c r="B37" s="241"/>
      <c r="C37" s="178">
        <v>125000</v>
      </c>
      <c r="D37" s="178">
        <v>125000</v>
      </c>
      <c r="E37" s="339"/>
      <c r="F37" s="242"/>
      <c r="G37" s="242"/>
      <c r="H37" s="242"/>
      <c r="I37" s="242"/>
      <c r="J37" s="242"/>
      <c r="K37" s="242"/>
    </row>
    <row r="38" spans="1:11" s="225" customFormat="1" ht="30">
      <c r="A38" s="254" t="s">
        <v>262</v>
      </c>
      <c r="B38" s="241"/>
      <c r="C38" s="178">
        <v>5000</v>
      </c>
      <c r="D38" s="178">
        <v>5000</v>
      </c>
      <c r="E38" s="339"/>
      <c r="F38" s="242"/>
      <c r="G38" s="242"/>
      <c r="H38" s="242"/>
      <c r="I38" s="242"/>
      <c r="J38" s="242"/>
      <c r="K38" s="242"/>
    </row>
    <row r="39" spans="1:11" s="225" customFormat="1" ht="30">
      <c r="A39" s="254" t="s">
        <v>263</v>
      </c>
      <c r="B39" s="241"/>
      <c r="C39" s="178">
        <v>1000000</v>
      </c>
      <c r="D39" s="178">
        <v>1000000</v>
      </c>
      <c r="E39" s="339"/>
      <c r="F39" s="242"/>
      <c r="G39" s="242"/>
      <c r="H39" s="242"/>
      <c r="I39" s="242"/>
      <c r="J39" s="242"/>
      <c r="K39" s="242"/>
    </row>
    <row r="40" spans="1:11" s="225" customFormat="1" ht="30">
      <c r="A40" s="254" t="s">
        <v>43</v>
      </c>
      <c r="B40" s="241"/>
      <c r="C40" s="178">
        <v>3650000</v>
      </c>
      <c r="D40" s="178">
        <v>3650000</v>
      </c>
      <c r="E40" s="339"/>
      <c r="F40" s="242"/>
      <c r="G40" s="242"/>
      <c r="H40" s="242"/>
      <c r="I40" s="242"/>
      <c r="J40" s="242"/>
      <c r="K40" s="242"/>
    </row>
    <row r="41" spans="1:11" s="225" customFormat="1" ht="30.75" thickBot="1">
      <c r="A41" s="259" t="s">
        <v>264</v>
      </c>
      <c r="B41" s="260"/>
      <c r="C41" s="202">
        <v>1400000</v>
      </c>
      <c r="D41" s="202">
        <v>1400000</v>
      </c>
      <c r="E41" s="340"/>
      <c r="F41" s="242"/>
      <c r="G41" s="242"/>
      <c r="H41" s="242"/>
      <c r="I41" s="242"/>
      <c r="J41" s="242"/>
      <c r="K41" s="242"/>
    </row>
    <row r="42" spans="1:11" s="225" customFormat="1" ht="30.75" thickBot="1">
      <c r="A42" s="248" t="s">
        <v>97</v>
      </c>
      <c r="B42" s="163" t="s">
        <v>44</v>
      </c>
      <c r="C42" s="155">
        <f>C34+C37+C38+C39+C40+C41</f>
        <v>19380000</v>
      </c>
      <c r="D42" s="155">
        <f>D34+D37+D38+D39+D40+D41</f>
        <v>19380000</v>
      </c>
      <c r="E42" s="336"/>
      <c r="F42" s="242"/>
      <c r="G42" s="242"/>
      <c r="H42" s="242"/>
      <c r="I42" s="242"/>
      <c r="J42" s="242"/>
      <c r="K42" s="242"/>
    </row>
    <row r="43" spans="1:11" s="225" customFormat="1" ht="30.75" thickBot="1">
      <c r="A43" s="248" t="s">
        <v>98</v>
      </c>
      <c r="B43" s="163" t="s">
        <v>230</v>
      </c>
      <c r="C43" s="350">
        <f>C21+C24+C33+C42</f>
        <v>322381036</v>
      </c>
      <c r="D43" s="350">
        <f>D21+D24+D33+D42</f>
        <v>272710103</v>
      </c>
      <c r="E43" s="350">
        <f>E21+E24+E33+E42</f>
        <v>49670933</v>
      </c>
      <c r="F43" s="242"/>
      <c r="G43" s="242"/>
      <c r="H43" s="242"/>
      <c r="I43" s="242"/>
      <c r="J43" s="242"/>
      <c r="K43" s="242"/>
    </row>
    <row r="44" spans="1:11" s="225" customFormat="1" ht="30.75" thickBot="1">
      <c r="A44" s="263" t="s">
        <v>45</v>
      </c>
      <c r="B44" s="264"/>
      <c r="C44" s="171">
        <v>60808130</v>
      </c>
      <c r="D44" s="171">
        <v>6532960</v>
      </c>
      <c r="E44" s="172">
        <v>54275170</v>
      </c>
      <c r="F44" s="242"/>
      <c r="G44" s="242"/>
      <c r="H44" s="242"/>
      <c r="I44" s="242"/>
      <c r="J44" s="242"/>
      <c r="K44" s="242"/>
    </row>
    <row r="45" spans="1:11" s="225" customFormat="1" ht="30.75" thickBot="1">
      <c r="A45" s="248" t="s">
        <v>198</v>
      </c>
      <c r="B45" s="163" t="s">
        <v>46</v>
      </c>
      <c r="C45" s="155">
        <f>SUM(C44)</f>
        <v>60808130</v>
      </c>
      <c r="D45" s="155">
        <f>SUM(D44)</f>
        <v>6532960</v>
      </c>
      <c r="E45" s="155">
        <f>SUM(E44)</f>
        <v>54275170</v>
      </c>
      <c r="F45" s="242"/>
      <c r="G45" s="242"/>
      <c r="H45" s="242"/>
      <c r="I45" s="242"/>
      <c r="J45" s="242"/>
      <c r="K45" s="242"/>
    </row>
    <row r="46" spans="1:9" s="267" customFormat="1" ht="30" customHeight="1" thickBot="1">
      <c r="A46" s="265" t="s">
        <v>47</v>
      </c>
      <c r="B46" s="266"/>
      <c r="C46" s="155">
        <f>C43+C45</f>
        <v>383189166</v>
      </c>
      <c r="D46" s="155">
        <f>D43+D45</f>
        <v>279243063</v>
      </c>
      <c r="E46" s="156">
        <f>E43+E45</f>
        <v>103946103</v>
      </c>
      <c r="G46" s="268"/>
      <c r="H46" s="268"/>
      <c r="I46" s="268"/>
    </row>
    <row r="47" spans="8:10" ht="12.75">
      <c r="H47" s="269"/>
      <c r="I47" s="269"/>
      <c r="J47" s="269"/>
    </row>
    <row r="48" spans="8:10" ht="12.75">
      <c r="H48" s="269"/>
      <c r="I48" s="270"/>
      <c r="J48" s="269"/>
    </row>
    <row r="49" spans="8:10" ht="12.75">
      <c r="H49" s="269"/>
      <c r="I49" s="269"/>
      <c r="J49" s="269"/>
    </row>
    <row r="50" spans="8:10" ht="12.75">
      <c r="H50" s="269"/>
      <c r="I50" s="269"/>
      <c r="J50" s="269"/>
    </row>
    <row r="51" spans="4:10" ht="12.75">
      <c r="D51" s="143"/>
      <c r="H51" s="269"/>
      <c r="I51" s="269"/>
      <c r="J51" s="269"/>
    </row>
    <row r="52" spans="8:10" ht="12.75">
      <c r="H52" s="269"/>
      <c r="I52" s="269"/>
      <c r="J52" s="269"/>
    </row>
    <row r="53" spans="8:10" ht="12.75">
      <c r="H53" s="269"/>
      <c r="I53" s="269"/>
      <c r="J53" s="269"/>
    </row>
    <row r="54" spans="8:10" ht="12.75">
      <c r="H54" s="269"/>
      <c r="I54" s="269"/>
      <c r="J54" s="269"/>
    </row>
    <row r="55" spans="8:10" ht="12.75">
      <c r="H55" s="269"/>
      <c r="I55" s="269"/>
      <c r="J55" s="269"/>
    </row>
  </sheetData>
  <sheetProtection/>
  <mergeCells count="2">
    <mergeCell ref="A1:E1"/>
    <mergeCell ref="C2:E2"/>
  </mergeCells>
  <printOptions horizontalCentered="1"/>
  <pageMargins left="0.15748031496062992" right="0.15748031496062992" top="0.2362204724409449" bottom="0.15748031496062992" header="0.4724409448818898" footer="0.15748031496062992"/>
  <pageSetup fitToHeight="1" fitToWidth="1" horizontalDpi="600" verticalDpi="600" orientation="portrait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11.140625" style="0" customWidth="1"/>
    <col min="4" max="4" width="7.00390625" style="0" customWidth="1"/>
    <col min="5" max="5" width="30.00390625" style="0" customWidth="1"/>
    <col min="6" max="6" width="11.7109375" style="0" customWidth="1"/>
  </cols>
  <sheetData>
    <row r="1" spans="1:6" ht="33.75" customHeight="1">
      <c r="A1" s="597" t="s">
        <v>413</v>
      </c>
      <c r="B1" s="598"/>
      <c r="C1" s="598"/>
      <c r="D1" s="598"/>
      <c r="E1" s="598"/>
      <c r="F1" s="598"/>
    </row>
    <row r="2" spans="1:6" ht="14.25" customHeight="1">
      <c r="A2" s="599" t="s">
        <v>222</v>
      </c>
      <c r="B2" s="600"/>
      <c r="C2" s="600"/>
      <c r="D2" s="600"/>
      <c r="E2" s="600"/>
      <c r="F2" s="600"/>
    </row>
    <row r="3" spans="1:6" ht="30">
      <c r="A3" s="135" t="s">
        <v>160</v>
      </c>
      <c r="B3" s="135" t="s">
        <v>161</v>
      </c>
      <c r="C3" s="135" t="s">
        <v>82</v>
      </c>
      <c r="D3" s="135" t="s">
        <v>160</v>
      </c>
      <c r="E3" s="135" t="s">
        <v>162</v>
      </c>
      <c r="F3" s="135" t="s">
        <v>82</v>
      </c>
    </row>
    <row r="4" spans="1:6" ht="30">
      <c r="A4" s="138" t="s">
        <v>163</v>
      </c>
      <c r="B4" s="136" t="s">
        <v>170</v>
      </c>
      <c r="C4" s="137">
        <v>1830000</v>
      </c>
      <c r="D4" s="138" t="s">
        <v>163</v>
      </c>
      <c r="E4" s="139" t="s">
        <v>246</v>
      </c>
      <c r="F4" s="392">
        <v>30000</v>
      </c>
    </row>
    <row r="5" spans="1:6" ht="15">
      <c r="A5" s="142"/>
      <c r="B5" s="140" t="s">
        <v>165</v>
      </c>
      <c r="C5" s="141"/>
      <c r="D5" s="142"/>
      <c r="E5" s="140" t="s">
        <v>165</v>
      </c>
      <c r="F5" s="392"/>
    </row>
    <row r="6" spans="1:6" ht="30">
      <c r="A6" s="142" t="s">
        <v>0</v>
      </c>
      <c r="B6" s="140" t="s">
        <v>166</v>
      </c>
      <c r="C6" s="141"/>
      <c r="D6" s="142" t="s">
        <v>0</v>
      </c>
      <c r="E6" s="140" t="s">
        <v>167</v>
      </c>
      <c r="F6" s="392"/>
    </row>
    <row r="7" spans="1:6" ht="15">
      <c r="A7" s="142"/>
      <c r="B7" s="140" t="s">
        <v>168</v>
      </c>
      <c r="C7" s="141">
        <v>1770000</v>
      </c>
      <c r="D7" s="142"/>
      <c r="E7" s="140" t="s">
        <v>168</v>
      </c>
      <c r="F7" s="393">
        <v>30000</v>
      </c>
    </row>
    <row r="8" spans="1:6" ht="15">
      <c r="A8" s="142"/>
      <c r="B8" s="140" t="s">
        <v>174</v>
      </c>
      <c r="C8" s="141">
        <v>60000</v>
      </c>
      <c r="D8" s="142"/>
      <c r="E8" s="140" t="s">
        <v>174</v>
      </c>
      <c r="F8" s="392" t="s">
        <v>49</v>
      </c>
    </row>
    <row r="9" spans="1:6" ht="45">
      <c r="A9" s="138" t="s">
        <v>164</v>
      </c>
      <c r="B9" s="139" t="s">
        <v>171</v>
      </c>
      <c r="C9" s="137">
        <v>75050000</v>
      </c>
      <c r="D9" s="138" t="s">
        <v>164</v>
      </c>
      <c r="E9" s="139" t="s">
        <v>247</v>
      </c>
      <c r="F9" s="392">
        <v>20000</v>
      </c>
    </row>
    <row r="10" spans="1:6" ht="22.5" customHeight="1">
      <c r="A10" s="142"/>
      <c r="B10" s="140" t="s">
        <v>165</v>
      </c>
      <c r="C10" s="141"/>
      <c r="D10" s="142"/>
      <c r="E10" s="140" t="s">
        <v>165</v>
      </c>
      <c r="F10" s="393"/>
    </row>
    <row r="11" spans="1:6" ht="30">
      <c r="A11" s="142" t="s">
        <v>0</v>
      </c>
      <c r="B11" s="140" t="s">
        <v>38</v>
      </c>
      <c r="C11" s="141">
        <v>75000000</v>
      </c>
      <c r="D11" s="142" t="s">
        <v>0</v>
      </c>
      <c r="E11" s="140" t="s">
        <v>169</v>
      </c>
      <c r="F11" s="393">
        <v>50965</v>
      </c>
    </row>
    <row r="12" spans="1:6" ht="29.25" customHeight="1">
      <c r="A12" s="142" t="s">
        <v>1</v>
      </c>
      <c r="B12" s="140" t="s">
        <v>172</v>
      </c>
      <c r="C12" s="141">
        <v>50000</v>
      </c>
      <c r="D12" s="142"/>
      <c r="E12" s="140" t="s">
        <v>173</v>
      </c>
      <c r="F12" s="393" t="s">
        <v>49</v>
      </c>
    </row>
    <row r="13" spans="1:6" ht="15">
      <c r="A13" s="94"/>
      <c r="B13" s="94"/>
      <c r="C13" s="94"/>
      <c r="D13" s="94"/>
      <c r="E13" s="94"/>
      <c r="F13" s="94"/>
    </row>
  </sheetData>
  <sheetProtection/>
  <mergeCells count="2">
    <mergeCell ref="A1:F1"/>
    <mergeCell ref="A2:F2"/>
  </mergeCells>
  <printOptions/>
  <pageMargins left="0.56" right="0.28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6.7109375" style="0" customWidth="1"/>
    <col min="5" max="5" width="38.57421875" style="0" customWidth="1"/>
  </cols>
  <sheetData>
    <row r="1" spans="1:6" ht="15">
      <c r="A1" s="601" t="s">
        <v>140</v>
      </c>
      <c r="B1" s="602"/>
      <c r="C1" s="602"/>
      <c r="D1" s="602"/>
      <c r="E1" s="603"/>
      <c r="F1" s="3"/>
    </row>
    <row r="2" spans="1:6" ht="15">
      <c r="A2" s="95"/>
      <c r="B2" s="96"/>
      <c r="C2" s="96"/>
      <c r="D2" s="96"/>
      <c r="E2" s="97" t="s">
        <v>223</v>
      </c>
      <c r="F2" s="3"/>
    </row>
    <row r="3" spans="1:6" ht="15">
      <c r="A3" s="98" t="s">
        <v>141</v>
      </c>
      <c r="B3" s="99" t="s">
        <v>142</v>
      </c>
      <c r="C3" s="99"/>
      <c r="D3" s="99"/>
      <c r="E3" s="100"/>
      <c r="F3" s="3"/>
    </row>
    <row r="4" spans="1:6" ht="15.75" thickBot="1">
      <c r="A4" s="101" t="s">
        <v>1</v>
      </c>
      <c r="B4" s="102" t="s">
        <v>143</v>
      </c>
      <c r="C4" s="102"/>
      <c r="D4" s="102"/>
      <c r="E4" s="103"/>
      <c r="F4" s="3"/>
    </row>
    <row r="5" spans="1:5" ht="15">
      <c r="A5" s="94"/>
      <c r="B5" s="94"/>
      <c r="C5" s="94"/>
      <c r="D5" s="94"/>
      <c r="E5" s="94"/>
    </row>
  </sheetData>
  <sheetProtection/>
  <mergeCells count="1">
    <mergeCell ref="A1:E1"/>
  </mergeCells>
  <printOptions/>
  <pageMargins left="0.95" right="0.7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18"/>
  <sheetViews>
    <sheetView zoomScalePageLayoutView="0" workbookViewId="0" topLeftCell="A1">
      <selection activeCell="M20" sqref="M20"/>
    </sheetView>
  </sheetViews>
  <sheetFormatPr defaultColWidth="9.140625" defaultRowHeight="15"/>
  <cols>
    <col min="1" max="5" width="9.140625" style="2" customWidth="1"/>
    <col min="6" max="6" width="4.140625" style="2" customWidth="1"/>
    <col min="7" max="13" width="9.140625" style="2" customWidth="1"/>
    <col min="14" max="14" width="6.57421875" style="2" customWidth="1"/>
    <col min="15" max="15" width="9.140625" style="2" customWidth="1"/>
    <col min="16" max="16" width="12.140625" style="2" customWidth="1"/>
    <col min="17" max="16384" width="9.140625" style="2" customWidth="1"/>
  </cols>
  <sheetData>
    <row r="1" spans="1:17" ht="33" customHeight="1">
      <c r="A1" s="627" t="s">
        <v>414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47" t="s">
        <v>224</v>
      </c>
      <c r="P1" s="648"/>
      <c r="Q1" s="9"/>
    </row>
    <row r="2" spans="1:17" ht="15">
      <c r="A2" s="13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34"/>
      <c r="O2" s="104"/>
      <c r="P2" s="104"/>
      <c r="Q2" s="9"/>
    </row>
    <row r="3" spans="1:17" ht="15">
      <c r="A3" s="624" t="s">
        <v>145</v>
      </c>
      <c r="B3" s="624"/>
      <c r="C3" s="624"/>
      <c r="D3" s="624"/>
      <c r="E3" s="624"/>
      <c r="F3" s="624"/>
      <c r="G3" s="587"/>
      <c r="H3" s="587"/>
      <c r="I3" s="624" t="s">
        <v>146</v>
      </c>
      <c r="J3" s="624"/>
      <c r="K3" s="624"/>
      <c r="L3" s="624"/>
      <c r="M3" s="624"/>
      <c r="N3" s="624"/>
      <c r="O3" s="619"/>
      <c r="P3" s="587"/>
      <c r="Q3" s="9"/>
    </row>
    <row r="4" spans="1:17" ht="32.25" customHeight="1">
      <c r="A4" s="587" t="s">
        <v>34</v>
      </c>
      <c r="B4" s="587"/>
      <c r="C4" s="623" t="s">
        <v>94</v>
      </c>
      <c r="D4" s="623"/>
      <c r="E4" s="623"/>
      <c r="F4" s="623"/>
      <c r="G4" s="586">
        <v>176070103</v>
      </c>
      <c r="H4" s="587"/>
      <c r="I4" s="604" t="s">
        <v>52</v>
      </c>
      <c r="J4" s="605"/>
      <c r="K4" s="608" t="s">
        <v>85</v>
      </c>
      <c r="L4" s="609"/>
      <c r="M4" s="609"/>
      <c r="N4" s="610"/>
      <c r="O4" s="614">
        <v>32956258</v>
      </c>
      <c r="P4" s="615"/>
      <c r="Q4" s="9"/>
    </row>
    <row r="5" spans="1:17" ht="32.25" customHeight="1">
      <c r="A5" s="618" t="s">
        <v>369</v>
      </c>
      <c r="B5" s="619"/>
      <c r="C5" s="620" t="s">
        <v>368</v>
      </c>
      <c r="D5" s="621"/>
      <c r="E5" s="621"/>
      <c r="F5" s="622"/>
      <c r="G5" s="583">
        <v>49670933</v>
      </c>
      <c r="H5" s="585"/>
      <c r="I5" s="606"/>
      <c r="J5" s="607"/>
      <c r="K5" s="611"/>
      <c r="L5" s="612"/>
      <c r="M5" s="612"/>
      <c r="N5" s="613"/>
      <c r="O5" s="616"/>
      <c r="P5" s="617"/>
      <c r="Q5" s="9"/>
    </row>
    <row r="6" spans="1:17" ht="33" customHeight="1">
      <c r="A6" s="587" t="s">
        <v>41</v>
      </c>
      <c r="B6" s="587"/>
      <c r="C6" s="634" t="s">
        <v>96</v>
      </c>
      <c r="D6" s="634"/>
      <c r="E6" s="634"/>
      <c r="F6" s="634"/>
      <c r="G6" s="586">
        <v>77260000</v>
      </c>
      <c r="H6" s="587"/>
      <c r="I6" s="587" t="s">
        <v>54</v>
      </c>
      <c r="J6" s="587"/>
      <c r="K6" s="623" t="s">
        <v>53</v>
      </c>
      <c r="L6" s="623"/>
      <c r="M6" s="623"/>
      <c r="N6" s="623"/>
      <c r="O6" s="585">
        <v>6410721</v>
      </c>
      <c r="P6" s="587"/>
      <c r="Q6" s="9"/>
    </row>
    <row r="7" spans="1:17" ht="27.75" customHeight="1">
      <c r="A7" s="587" t="s">
        <v>44</v>
      </c>
      <c r="B7" s="587"/>
      <c r="C7" s="634" t="s">
        <v>176</v>
      </c>
      <c r="D7" s="634"/>
      <c r="E7" s="634"/>
      <c r="F7" s="634"/>
      <c r="G7" s="586">
        <v>19380000</v>
      </c>
      <c r="H7" s="587"/>
      <c r="I7" s="604" t="s">
        <v>60</v>
      </c>
      <c r="J7" s="605"/>
      <c r="K7" s="631" t="s">
        <v>89</v>
      </c>
      <c r="L7" s="632"/>
      <c r="M7" s="632"/>
      <c r="N7" s="633"/>
      <c r="O7" s="583">
        <v>94197250</v>
      </c>
      <c r="P7" s="585"/>
      <c r="Q7" s="9"/>
    </row>
    <row r="8" spans="1:17" ht="25.5" customHeight="1">
      <c r="A8" s="624" t="s">
        <v>147</v>
      </c>
      <c r="B8" s="624"/>
      <c r="C8" s="624"/>
      <c r="D8" s="624"/>
      <c r="E8" s="624"/>
      <c r="F8" s="624"/>
      <c r="G8" s="629">
        <f>SUM(G4:H7)</f>
        <v>322381036</v>
      </c>
      <c r="H8" s="587"/>
      <c r="I8" s="587" t="s">
        <v>61</v>
      </c>
      <c r="J8" s="587"/>
      <c r="K8" s="634" t="s">
        <v>90</v>
      </c>
      <c r="L8" s="634"/>
      <c r="M8" s="634"/>
      <c r="N8" s="634"/>
      <c r="O8" s="585">
        <v>3091000</v>
      </c>
      <c r="P8" s="586"/>
      <c r="Q8" s="9"/>
    </row>
    <row r="9" spans="1:17" ht="33" customHeight="1">
      <c r="A9" s="624" t="s">
        <v>153</v>
      </c>
      <c r="B9" s="624"/>
      <c r="C9" s="624"/>
      <c r="D9" s="624"/>
      <c r="E9" s="624"/>
      <c r="F9" s="624"/>
      <c r="G9" s="645">
        <v>60808130</v>
      </c>
      <c r="H9" s="646"/>
      <c r="I9" s="587" t="s">
        <v>72</v>
      </c>
      <c r="J9" s="587"/>
      <c r="K9" s="634" t="s">
        <v>91</v>
      </c>
      <c r="L9" s="634"/>
      <c r="M9" s="634"/>
      <c r="N9" s="634"/>
      <c r="O9" s="585">
        <v>52273360</v>
      </c>
      <c r="P9" s="586"/>
      <c r="Q9" s="9"/>
    </row>
    <row r="10" spans="1:17" ht="31.5" customHeight="1">
      <c r="A10" s="624" t="s">
        <v>149</v>
      </c>
      <c r="B10" s="624"/>
      <c r="C10" s="624"/>
      <c r="D10" s="624"/>
      <c r="E10" s="624"/>
      <c r="F10" s="624"/>
      <c r="G10" s="645">
        <f>SUM(G8+G9)</f>
        <v>383189166</v>
      </c>
      <c r="H10" s="646"/>
      <c r="I10" s="624" t="s">
        <v>148</v>
      </c>
      <c r="J10" s="624"/>
      <c r="K10" s="624"/>
      <c r="L10" s="624"/>
      <c r="M10" s="624"/>
      <c r="N10" s="624"/>
      <c r="O10" s="626">
        <f>SUM(O4:P9)</f>
        <v>188928589</v>
      </c>
      <c r="P10" s="629"/>
      <c r="Q10" s="9"/>
    </row>
    <row r="11" spans="1:17" ht="33" customHeight="1">
      <c r="A11" s="105"/>
      <c r="B11" s="105"/>
      <c r="C11" s="105"/>
      <c r="D11" s="105"/>
      <c r="E11" s="105"/>
      <c r="F11" s="105"/>
      <c r="G11" s="630"/>
      <c r="H11" s="630"/>
      <c r="I11" s="587" t="s">
        <v>72</v>
      </c>
      <c r="J11" s="587"/>
      <c r="K11" s="623" t="s">
        <v>271</v>
      </c>
      <c r="L11" s="623"/>
      <c r="M11" s="623"/>
      <c r="N11" s="623"/>
      <c r="O11" s="585">
        <v>21855115</v>
      </c>
      <c r="P11" s="587"/>
      <c r="Q11" s="9"/>
    </row>
    <row r="12" spans="1:17" ht="27.75" customHeight="1">
      <c r="A12" s="104"/>
      <c r="B12" s="104"/>
      <c r="C12" s="104"/>
      <c r="D12" s="104"/>
      <c r="E12" s="104"/>
      <c r="F12" s="104"/>
      <c r="G12" s="106"/>
      <c r="H12" s="106"/>
      <c r="I12" s="587" t="s">
        <v>74</v>
      </c>
      <c r="J12" s="587"/>
      <c r="K12" s="634" t="s">
        <v>92</v>
      </c>
      <c r="L12" s="634"/>
      <c r="M12" s="634"/>
      <c r="N12" s="634"/>
      <c r="O12" s="585">
        <v>82090988</v>
      </c>
      <c r="P12" s="586"/>
      <c r="Q12" s="9"/>
    </row>
    <row r="13" spans="1:17" ht="28.5" customHeight="1">
      <c r="A13" s="104"/>
      <c r="B13" s="104"/>
      <c r="C13" s="104"/>
      <c r="D13" s="104"/>
      <c r="E13" s="104"/>
      <c r="F13" s="104"/>
      <c r="G13" s="104"/>
      <c r="H13" s="104"/>
      <c r="I13" s="635" t="s">
        <v>151</v>
      </c>
      <c r="J13" s="636"/>
      <c r="K13" s="636"/>
      <c r="L13" s="636"/>
      <c r="M13" s="636"/>
      <c r="N13" s="637"/>
      <c r="O13" s="641">
        <f>SUM(O11:P13)</f>
        <v>103946103</v>
      </c>
      <c r="P13" s="642"/>
      <c r="Q13" s="9"/>
    </row>
    <row r="14" spans="1:17" ht="1.5" customHeight="1" hidden="1">
      <c r="A14" s="10"/>
      <c r="B14" s="10"/>
      <c r="C14" s="10"/>
      <c r="D14" s="10"/>
      <c r="E14" s="10"/>
      <c r="F14" s="10"/>
      <c r="G14" s="104"/>
      <c r="H14" s="104"/>
      <c r="I14" s="638"/>
      <c r="J14" s="639"/>
      <c r="K14" s="639"/>
      <c r="L14" s="639"/>
      <c r="M14" s="639"/>
      <c r="N14" s="640"/>
      <c r="O14" s="643"/>
      <c r="P14" s="644"/>
      <c r="Q14" s="9"/>
    </row>
    <row r="15" spans="1:17" ht="24" customHeight="1">
      <c r="A15" s="9"/>
      <c r="B15" s="9"/>
      <c r="C15" s="9"/>
      <c r="D15" s="9"/>
      <c r="E15" s="9"/>
      <c r="F15" s="9"/>
      <c r="G15" s="10"/>
      <c r="H15" s="10"/>
      <c r="I15" s="624" t="s">
        <v>154</v>
      </c>
      <c r="J15" s="624"/>
      <c r="K15" s="624"/>
      <c r="L15" s="624"/>
      <c r="M15" s="624"/>
      <c r="N15" s="624"/>
      <c r="O15" s="629">
        <v>90314474</v>
      </c>
      <c r="P15" s="629"/>
      <c r="Q15" s="9"/>
    </row>
    <row r="16" spans="7:17" ht="27.75" customHeight="1">
      <c r="G16" s="9"/>
      <c r="H16" s="9"/>
      <c r="I16" s="624" t="s">
        <v>152</v>
      </c>
      <c r="J16" s="624"/>
      <c r="K16" s="624"/>
      <c r="L16" s="624"/>
      <c r="M16" s="624"/>
      <c r="N16" s="624"/>
      <c r="O16" s="625">
        <v>383189166</v>
      </c>
      <c r="P16" s="626"/>
      <c r="Q16" s="9"/>
    </row>
    <row r="17" spans="9:17" ht="14.25">
      <c r="I17" s="10"/>
      <c r="J17" s="10"/>
      <c r="K17" s="10"/>
      <c r="L17" s="10"/>
      <c r="M17" s="10"/>
      <c r="N17" s="10"/>
      <c r="O17" s="10"/>
      <c r="P17" s="10"/>
      <c r="Q17" s="9"/>
    </row>
    <row r="18" spans="9:17" ht="14.25">
      <c r="I18" s="9"/>
      <c r="J18" s="9"/>
      <c r="K18" s="9"/>
      <c r="L18" s="9"/>
      <c r="M18" s="9"/>
      <c r="N18" s="9"/>
      <c r="O18" s="9"/>
      <c r="P18" s="9"/>
      <c r="Q18" s="9"/>
    </row>
  </sheetData>
  <sheetProtection/>
  <mergeCells count="54">
    <mergeCell ref="A3:F3"/>
    <mergeCell ref="O3:P3"/>
    <mergeCell ref="O1:P1"/>
    <mergeCell ref="O6:P6"/>
    <mergeCell ref="G6:H6"/>
    <mergeCell ref="I6:J6"/>
    <mergeCell ref="G4:H4"/>
    <mergeCell ref="G3:H3"/>
    <mergeCell ref="I3:N3"/>
    <mergeCell ref="K6:N6"/>
    <mergeCell ref="I7:J7"/>
    <mergeCell ref="O8:P8"/>
    <mergeCell ref="A6:B6"/>
    <mergeCell ref="C6:F6"/>
    <mergeCell ref="A7:B7"/>
    <mergeCell ref="C7:F7"/>
    <mergeCell ref="G7:H7"/>
    <mergeCell ref="K11:N11"/>
    <mergeCell ref="O11:P11"/>
    <mergeCell ref="K9:N9"/>
    <mergeCell ref="A8:F8"/>
    <mergeCell ref="G8:H8"/>
    <mergeCell ref="I8:J8"/>
    <mergeCell ref="K8:N8"/>
    <mergeCell ref="I9:J9"/>
    <mergeCell ref="A9:F9"/>
    <mergeCell ref="I12:J12"/>
    <mergeCell ref="K12:N12"/>
    <mergeCell ref="I13:N14"/>
    <mergeCell ref="O13:P14"/>
    <mergeCell ref="G9:H9"/>
    <mergeCell ref="G10:H10"/>
    <mergeCell ref="O9:P9"/>
    <mergeCell ref="I10:N10"/>
    <mergeCell ref="O10:P10"/>
    <mergeCell ref="I11:J11"/>
    <mergeCell ref="I16:N16"/>
    <mergeCell ref="O16:P16"/>
    <mergeCell ref="A1:N1"/>
    <mergeCell ref="I15:N15"/>
    <mergeCell ref="O15:P15"/>
    <mergeCell ref="O12:P12"/>
    <mergeCell ref="A10:F10"/>
    <mergeCell ref="G11:H11"/>
    <mergeCell ref="O7:P7"/>
    <mergeCell ref="K7:N7"/>
    <mergeCell ref="I4:J5"/>
    <mergeCell ref="K4:N5"/>
    <mergeCell ref="O4:P5"/>
    <mergeCell ref="A5:B5"/>
    <mergeCell ref="C5:F5"/>
    <mergeCell ref="G5:H5"/>
    <mergeCell ref="A4:B4"/>
    <mergeCell ref="C4:F4"/>
  </mergeCells>
  <printOptions/>
  <pageMargins left="0.25" right="0.1968503937007874" top="0.6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94"/>
  <sheetViews>
    <sheetView zoomScale="90" zoomScaleNormal="90" zoomScaleSheetLayoutView="90" zoomScalePageLayoutView="0" workbookViewId="0" topLeftCell="A1">
      <selection activeCell="H16" sqref="H16"/>
    </sheetView>
  </sheetViews>
  <sheetFormatPr defaultColWidth="9.140625" defaultRowHeight="15"/>
  <cols>
    <col min="1" max="1" width="69.140625" style="87" customWidth="1"/>
    <col min="2" max="2" width="9.421875" style="87" customWidth="1"/>
    <col min="3" max="3" width="23.00390625" style="87" customWidth="1"/>
    <col min="4" max="4" width="21.8515625" style="87" customWidth="1"/>
    <col min="5" max="5" width="23.00390625" style="87" customWidth="1"/>
    <col min="6" max="6" width="17.140625" style="2" customWidth="1"/>
    <col min="7" max="7" width="9.140625" style="2" customWidth="1"/>
    <col min="8" max="8" width="14.7109375" style="2" customWidth="1"/>
    <col min="9" max="16384" width="9.140625" style="2" customWidth="1"/>
  </cols>
  <sheetData>
    <row r="1" spans="1:6" s="1" customFormat="1" ht="30.75" customHeight="1" thickBot="1">
      <c r="A1" s="422" t="s">
        <v>385</v>
      </c>
      <c r="B1" s="423"/>
      <c r="C1" s="423"/>
      <c r="D1" s="423"/>
      <c r="E1" s="424"/>
      <c r="F1" s="5"/>
    </row>
    <row r="2" spans="1:6" s="1" customFormat="1" ht="15" customHeight="1" thickBot="1">
      <c r="A2" s="428" t="s">
        <v>372</v>
      </c>
      <c r="B2" s="429"/>
      <c r="C2" s="429"/>
      <c r="D2" s="429"/>
      <c r="E2" s="430"/>
      <c r="F2" s="5"/>
    </row>
    <row r="3" spans="1:6" s="1" customFormat="1" ht="16.5" thickBot="1">
      <c r="A3" s="161" t="s">
        <v>81</v>
      </c>
      <c r="B3" s="162"/>
      <c r="C3" s="431" t="s">
        <v>48</v>
      </c>
      <c r="D3" s="432"/>
      <c r="E3" s="433"/>
      <c r="F3" s="6"/>
    </row>
    <row r="4" spans="1:6" s="158" customFormat="1" ht="32.25" thickBot="1">
      <c r="A4" s="153" t="s">
        <v>80</v>
      </c>
      <c r="B4" s="163" t="s">
        <v>25</v>
      </c>
      <c r="C4" s="163" t="s">
        <v>82</v>
      </c>
      <c r="D4" s="164" t="s">
        <v>27</v>
      </c>
      <c r="E4" s="165" t="s">
        <v>28</v>
      </c>
      <c r="F4" s="215"/>
    </row>
    <row r="5" spans="1:6" s="158" customFormat="1" ht="15.75">
      <c r="A5" s="274" t="s">
        <v>102</v>
      </c>
      <c r="B5" s="275"/>
      <c r="C5" s="204">
        <v>20346426</v>
      </c>
      <c r="D5" s="204">
        <v>20346426</v>
      </c>
      <c r="E5" s="193"/>
      <c r="F5" s="215"/>
    </row>
    <row r="6" spans="1:6" s="158" customFormat="1" ht="15.75">
      <c r="A6" s="176" t="s">
        <v>103</v>
      </c>
      <c r="B6" s="160"/>
      <c r="C6" s="178">
        <v>1438040</v>
      </c>
      <c r="D6" s="178">
        <v>1438040</v>
      </c>
      <c r="E6" s="25"/>
      <c r="F6" s="215"/>
    </row>
    <row r="7" spans="1:6" s="158" customFormat="1" ht="15.75">
      <c r="A7" s="173" t="s">
        <v>83</v>
      </c>
      <c r="B7" s="160"/>
      <c r="C7" s="174">
        <f>SUM(C5:C6)</f>
        <v>21784466</v>
      </c>
      <c r="D7" s="174">
        <f>SUM(D5:D6)</f>
        <v>21784466</v>
      </c>
      <c r="E7" s="175"/>
      <c r="F7" s="157"/>
    </row>
    <row r="8" spans="1:6" s="158" customFormat="1" ht="15.75">
      <c r="A8" s="17" t="s">
        <v>51</v>
      </c>
      <c r="B8" s="166"/>
      <c r="C8" s="167">
        <v>2139000</v>
      </c>
      <c r="D8" s="167">
        <v>2139000</v>
      </c>
      <c r="E8" s="168"/>
      <c r="F8" s="215"/>
    </row>
    <row r="9" spans="1:6" s="158" customFormat="1" ht="15.75">
      <c r="A9" s="169" t="s">
        <v>199</v>
      </c>
      <c r="B9" s="179"/>
      <c r="C9" s="171">
        <v>9032792</v>
      </c>
      <c r="D9" s="171">
        <v>9032792</v>
      </c>
      <c r="E9" s="172"/>
      <c r="F9" s="215"/>
    </row>
    <row r="10" spans="1:6" s="158" customFormat="1" ht="16.5" thickBot="1">
      <c r="A10" s="180" t="s">
        <v>84</v>
      </c>
      <c r="B10" s="170"/>
      <c r="C10" s="26">
        <f>SUM(C8:C9)</f>
        <v>11171792</v>
      </c>
      <c r="D10" s="26">
        <f>SUM(D8:D9)</f>
        <v>11171792</v>
      </c>
      <c r="E10" s="27"/>
      <c r="F10" s="157"/>
    </row>
    <row r="11" spans="1:6" s="158" customFormat="1" ht="16.5" thickBot="1">
      <c r="A11" s="153" t="s">
        <v>85</v>
      </c>
      <c r="B11" s="154" t="s">
        <v>52</v>
      </c>
      <c r="C11" s="155">
        <f>C7+C10</f>
        <v>32956258</v>
      </c>
      <c r="D11" s="155">
        <f>D7+D10</f>
        <v>32956258</v>
      </c>
      <c r="E11" s="156"/>
      <c r="F11" s="157"/>
    </row>
    <row r="12" spans="1:6" s="158" customFormat="1" ht="16.5" thickBot="1">
      <c r="A12" s="181" t="s">
        <v>53</v>
      </c>
      <c r="B12" s="154" t="s">
        <v>54</v>
      </c>
      <c r="C12" s="155">
        <v>6410721</v>
      </c>
      <c r="D12" s="155">
        <v>6410721</v>
      </c>
      <c r="E12" s="156"/>
      <c r="F12" s="215"/>
    </row>
    <row r="13" spans="1:6" s="158" customFormat="1" ht="15.75">
      <c r="A13" s="182" t="s">
        <v>231</v>
      </c>
      <c r="B13" s="183"/>
      <c r="C13" s="184">
        <v>120000</v>
      </c>
      <c r="D13" s="184">
        <v>120000</v>
      </c>
      <c r="E13" s="185"/>
      <c r="F13" s="215"/>
    </row>
    <row r="14" spans="1:6" s="158" customFormat="1" ht="15.75">
      <c r="A14" s="159" t="s">
        <v>55</v>
      </c>
      <c r="B14" s="160"/>
      <c r="C14" s="28">
        <v>540000</v>
      </c>
      <c r="D14" s="28">
        <v>540000</v>
      </c>
      <c r="E14" s="186"/>
      <c r="F14" s="157"/>
    </row>
    <row r="15" spans="1:6" s="158" customFormat="1" ht="15.75">
      <c r="A15" s="159" t="s">
        <v>200</v>
      </c>
      <c r="B15" s="160"/>
      <c r="C15" s="28">
        <v>11200000</v>
      </c>
      <c r="D15" s="28">
        <v>11200000</v>
      </c>
      <c r="E15" s="25"/>
      <c r="F15" s="157"/>
    </row>
    <row r="16" spans="1:6" s="158" customFormat="1" ht="15.75">
      <c r="A16" s="159" t="s">
        <v>56</v>
      </c>
      <c r="B16" s="178"/>
      <c r="C16" s="28">
        <v>2600000</v>
      </c>
      <c r="D16" s="28">
        <v>2600000</v>
      </c>
      <c r="E16" s="186"/>
      <c r="F16" s="157"/>
    </row>
    <row r="17" spans="1:6" s="158" customFormat="1" ht="15.75">
      <c r="A17" s="173" t="s">
        <v>144</v>
      </c>
      <c r="B17" s="160"/>
      <c r="C17" s="174">
        <f>SUM(C13:C16)</f>
        <v>14460000</v>
      </c>
      <c r="D17" s="174">
        <f>SUM(D13:D16)</f>
        <v>14460000</v>
      </c>
      <c r="E17" s="175"/>
      <c r="F17" s="157"/>
    </row>
    <row r="18" spans="1:6" s="158" customFormat="1" ht="15.75">
      <c r="A18" s="159" t="s">
        <v>250</v>
      </c>
      <c r="B18" s="160"/>
      <c r="C18" s="28">
        <v>350000</v>
      </c>
      <c r="D18" s="28">
        <v>350000</v>
      </c>
      <c r="E18" s="25"/>
      <c r="F18" s="157"/>
    </row>
    <row r="19" spans="1:6" s="158" customFormat="1" ht="15.75">
      <c r="A19" s="159" t="s">
        <v>201</v>
      </c>
      <c r="B19" s="160"/>
      <c r="C19" s="28">
        <v>470000</v>
      </c>
      <c r="D19" s="28">
        <v>470000</v>
      </c>
      <c r="E19" s="25"/>
      <c r="F19" s="157"/>
    </row>
    <row r="20" spans="1:6" s="158" customFormat="1" ht="15.75">
      <c r="A20" s="159" t="s">
        <v>359</v>
      </c>
      <c r="B20" s="160"/>
      <c r="C20" s="28">
        <v>480000</v>
      </c>
      <c r="D20" s="28">
        <v>480000</v>
      </c>
      <c r="E20" s="25"/>
      <c r="F20" s="157"/>
    </row>
    <row r="21" spans="1:7" s="158" customFormat="1" ht="15.75">
      <c r="A21" s="173" t="s">
        <v>86</v>
      </c>
      <c r="B21" s="160"/>
      <c r="C21" s="174">
        <f>SUM(C18:C20)</f>
        <v>1300000</v>
      </c>
      <c r="D21" s="174">
        <f>SUM(D18:D20)</f>
        <v>1300000</v>
      </c>
      <c r="E21" s="175"/>
      <c r="F21" s="157"/>
      <c r="G21" s="222"/>
    </row>
    <row r="22" spans="1:6" s="217" customFormat="1" ht="15.75">
      <c r="A22" s="159" t="s">
        <v>57</v>
      </c>
      <c r="B22" s="187"/>
      <c r="C22" s="28">
        <v>500000</v>
      </c>
      <c r="D22" s="28">
        <v>500000</v>
      </c>
      <c r="E22" s="186"/>
      <c r="F22" s="216"/>
    </row>
    <row r="23" spans="1:6" s="158" customFormat="1" ht="15.75">
      <c r="A23" s="159" t="s">
        <v>58</v>
      </c>
      <c r="B23" s="160"/>
      <c r="C23" s="28">
        <v>2160000</v>
      </c>
      <c r="D23" s="28">
        <v>2160000</v>
      </c>
      <c r="E23" s="186"/>
      <c r="F23" s="157"/>
    </row>
    <row r="24" spans="1:6" s="158" customFormat="1" ht="15.75">
      <c r="A24" s="159" t="s">
        <v>59</v>
      </c>
      <c r="B24" s="160"/>
      <c r="C24" s="28">
        <v>1150000</v>
      </c>
      <c r="D24" s="28">
        <v>1150000</v>
      </c>
      <c r="E24" s="186"/>
      <c r="F24" s="157"/>
    </row>
    <row r="25" spans="1:6" s="158" customFormat="1" ht="31.5">
      <c r="A25" s="151" t="s">
        <v>267</v>
      </c>
      <c r="B25" s="160"/>
      <c r="C25" s="28">
        <v>5900000</v>
      </c>
      <c r="D25" s="28">
        <v>5900000</v>
      </c>
      <c r="E25" s="25"/>
      <c r="F25" s="157"/>
    </row>
    <row r="26" spans="1:6" s="158" customFormat="1" ht="24.75" customHeight="1">
      <c r="A26" s="159" t="s">
        <v>202</v>
      </c>
      <c r="B26" s="160"/>
      <c r="C26" s="28">
        <v>4250000</v>
      </c>
      <c r="D26" s="28">
        <v>4250000</v>
      </c>
      <c r="E26" s="25"/>
      <c r="F26" s="157"/>
    </row>
    <row r="27" spans="1:6" s="158" customFormat="1" ht="34.5" customHeight="1">
      <c r="A27" s="151" t="s">
        <v>357</v>
      </c>
      <c r="B27" s="160"/>
      <c r="C27" s="28">
        <v>12000000</v>
      </c>
      <c r="D27" s="28">
        <v>12000000</v>
      </c>
      <c r="E27" s="25"/>
      <c r="F27" s="157"/>
    </row>
    <row r="28" spans="1:6" s="158" customFormat="1" ht="21.75" customHeight="1">
      <c r="A28" s="159" t="s">
        <v>232</v>
      </c>
      <c r="B28" s="160"/>
      <c r="C28" s="28">
        <v>30000</v>
      </c>
      <c r="D28" s="28">
        <v>30000</v>
      </c>
      <c r="E28" s="25"/>
      <c r="F28" s="157"/>
    </row>
    <row r="29" spans="1:6" s="158" customFormat="1" ht="23.25" customHeight="1">
      <c r="A29" s="159" t="s">
        <v>203</v>
      </c>
      <c r="B29" s="160"/>
      <c r="C29" s="28">
        <v>29845000</v>
      </c>
      <c r="D29" s="28">
        <v>29845000</v>
      </c>
      <c r="E29" s="25"/>
      <c r="F29" s="157"/>
    </row>
    <row r="30" spans="1:6" s="158" customFormat="1" ht="15.75">
      <c r="A30" s="173" t="s">
        <v>87</v>
      </c>
      <c r="B30" s="160"/>
      <c r="C30" s="174">
        <f>SUM(C22:C29)</f>
        <v>55835000</v>
      </c>
      <c r="D30" s="174">
        <f>SUM(D22:D29)</f>
        <v>55835000</v>
      </c>
      <c r="E30" s="175"/>
      <c r="F30" s="157"/>
    </row>
    <row r="31" spans="1:6" s="158" customFormat="1" ht="15.75">
      <c r="A31" s="159" t="s">
        <v>266</v>
      </c>
      <c r="B31" s="160"/>
      <c r="C31" s="28">
        <v>120000</v>
      </c>
      <c r="D31" s="28">
        <v>120000</v>
      </c>
      <c r="E31" s="25"/>
      <c r="F31" s="157"/>
    </row>
    <row r="32" spans="1:6" s="158" customFormat="1" ht="15.75">
      <c r="A32" s="173" t="s">
        <v>251</v>
      </c>
      <c r="B32" s="160"/>
      <c r="C32" s="174">
        <v>120000</v>
      </c>
      <c r="D32" s="174">
        <v>120000</v>
      </c>
      <c r="E32" s="175"/>
      <c r="F32" s="157"/>
    </row>
    <row r="33" spans="1:6" s="158" customFormat="1" ht="18" customHeight="1">
      <c r="A33" s="151" t="s">
        <v>204</v>
      </c>
      <c r="B33" s="160"/>
      <c r="C33" s="28">
        <v>15152250</v>
      </c>
      <c r="D33" s="28">
        <v>15152250</v>
      </c>
      <c r="E33" s="25"/>
      <c r="F33" s="157"/>
    </row>
    <row r="34" spans="1:6" s="158" customFormat="1" ht="15.75">
      <c r="A34" s="159" t="s">
        <v>205</v>
      </c>
      <c r="B34" s="160"/>
      <c r="C34" s="28">
        <v>2500000</v>
      </c>
      <c r="D34" s="28">
        <v>2500000</v>
      </c>
      <c r="E34" s="25"/>
      <c r="F34" s="157"/>
    </row>
    <row r="35" spans="1:6" s="158" customFormat="1" ht="15.75">
      <c r="A35" s="159" t="s">
        <v>206</v>
      </c>
      <c r="B35" s="160"/>
      <c r="C35" s="28">
        <v>1600000</v>
      </c>
      <c r="D35" s="28">
        <v>1600000</v>
      </c>
      <c r="E35" s="25"/>
      <c r="F35" s="157"/>
    </row>
    <row r="36" spans="1:6" s="1" customFormat="1" ht="15.75">
      <c r="A36" s="159" t="s">
        <v>234</v>
      </c>
      <c r="B36" s="160"/>
      <c r="C36" s="28">
        <v>1200000</v>
      </c>
      <c r="D36" s="28">
        <v>1200000</v>
      </c>
      <c r="E36" s="25"/>
      <c r="F36" s="7"/>
    </row>
    <row r="37" spans="1:6" s="1" customFormat="1" ht="15.75">
      <c r="A37" s="159" t="s">
        <v>361</v>
      </c>
      <c r="B37" s="160"/>
      <c r="C37" s="28">
        <v>250000</v>
      </c>
      <c r="D37" s="28">
        <v>250000</v>
      </c>
      <c r="E37" s="25"/>
      <c r="F37" s="7"/>
    </row>
    <row r="38" spans="1:6" s="1" customFormat="1" ht="15.75">
      <c r="A38" s="159" t="s">
        <v>233</v>
      </c>
      <c r="B38" s="160"/>
      <c r="C38" s="28">
        <v>1320000</v>
      </c>
      <c r="D38" s="28">
        <v>1320000</v>
      </c>
      <c r="E38" s="25"/>
      <c r="F38" s="7"/>
    </row>
    <row r="39" spans="1:6" s="1" customFormat="1" ht="15.75">
      <c r="A39" s="190" t="s">
        <v>360</v>
      </c>
      <c r="B39" s="160"/>
      <c r="C39" s="28">
        <v>460000</v>
      </c>
      <c r="D39" s="28">
        <v>460000</v>
      </c>
      <c r="E39" s="25"/>
      <c r="F39" s="7"/>
    </row>
    <row r="40" spans="1:6" s="1" customFormat="1" ht="16.5" thickBot="1">
      <c r="A40" s="180" t="s">
        <v>88</v>
      </c>
      <c r="B40" s="170"/>
      <c r="C40" s="26">
        <f>SUM(C33:C39)</f>
        <v>22482250</v>
      </c>
      <c r="D40" s="26">
        <f>SUM(D33:D39)</f>
        <v>22482250</v>
      </c>
      <c r="E40" s="27"/>
      <c r="F40" s="7"/>
    </row>
    <row r="41" spans="1:6" s="1" customFormat="1" ht="16.5" thickBot="1">
      <c r="A41" s="153" t="s">
        <v>89</v>
      </c>
      <c r="B41" s="154" t="s">
        <v>60</v>
      </c>
      <c r="C41" s="155">
        <f>C17+C21+C30+C32+C40</f>
        <v>94197250</v>
      </c>
      <c r="D41" s="155">
        <f>D17+D21+D30+D32+D40</f>
        <v>94197250</v>
      </c>
      <c r="E41" s="156"/>
      <c r="F41" s="7"/>
    </row>
    <row r="42" spans="1:6" s="219" customFormat="1" ht="15.75">
      <c r="A42" s="191" t="s">
        <v>248</v>
      </c>
      <c r="B42" s="189"/>
      <c r="C42" s="192">
        <v>3091000</v>
      </c>
      <c r="D42" s="192">
        <v>3091000</v>
      </c>
      <c r="E42" s="111"/>
      <c r="F42" s="218"/>
    </row>
    <row r="43" spans="1:6" s="158" customFormat="1" ht="16.5" thickBot="1">
      <c r="A43" s="271" t="s">
        <v>252</v>
      </c>
      <c r="B43" s="272"/>
      <c r="C43" s="273">
        <v>500000</v>
      </c>
      <c r="D43" s="273">
        <v>500000</v>
      </c>
      <c r="E43" s="25"/>
      <c r="F43" s="157"/>
    </row>
    <row r="44" spans="1:6" s="158" customFormat="1" ht="16.5" thickBot="1">
      <c r="A44" s="153" t="s">
        <v>90</v>
      </c>
      <c r="B44" s="154" t="s">
        <v>61</v>
      </c>
      <c r="C44" s="155">
        <f>C42</f>
        <v>3091000</v>
      </c>
      <c r="D44" s="155">
        <f>D42</f>
        <v>3091000</v>
      </c>
      <c r="E44" s="156"/>
      <c r="F44" s="157"/>
    </row>
    <row r="45" spans="1:6" s="158" customFormat="1" ht="19.5" customHeight="1">
      <c r="A45" s="194" t="s">
        <v>62</v>
      </c>
      <c r="B45" s="195"/>
      <c r="C45" s="196">
        <f>SUM(C46:C50)</f>
        <v>755586</v>
      </c>
      <c r="D45" s="196">
        <f>SUM(D46:D50)</f>
        <v>755586</v>
      </c>
      <c r="E45" s="111"/>
      <c r="F45" s="215"/>
    </row>
    <row r="46" spans="1:6" s="221" customFormat="1" ht="19.5" customHeight="1">
      <c r="A46" s="159" t="s">
        <v>237</v>
      </c>
      <c r="B46" s="197"/>
      <c r="C46" s="28">
        <v>66652</v>
      </c>
      <c r="D46" s="28">
        <v>66652</v>
      </c>
      <c r="E46" s="186"/>
      <c r="F46" s="220"/>
    </row>
    <row r="47" spans="1:6" s="158" customFormat="1" ht="19.5" customHeight="1">
      <c r="A47" s="159" t="s">
        <v>238</v>
      </c>
      <c r="B47" s="177"/>
      <c r="C47" s="28">
        <v>67286</v>
      </c>
      <c r="D47" s="28">
        <v>67286</v>
      </c>
      <c r="E47" s="186"/>
      <c r="F47" s="215"/>
    </row>
    <row r="48" spans="1:6" s="158" customFormat="1" ht="19.5" customHeight="1">
      <c r="A48" s="190" t="s">
        <v>249</v>
      </c>
      <c r="B48" s="198"/>
      <c r="C48" s="28">
        <v>10000</v>
      </c>
      <c r="D48" s="28">
        <v>10000</v>
      </c>
      <c r="E48" s="186"/>
      <c r="F48" s="215"/>
    </row>
    <row r="49" spans="1:6" s="158" customFormat="1" ht="19.5" customHeight="1">
      <c r="A49" s="159" t="s">
        <v>63</v>
      </c>
      <c r="B49" s="177"/>
      <c r="C49" s="28">
        <v>411648</v>
      </c>
      <c r="D49" s="28">
        <v>411648</v>
      </c>
      <c r="E49" s="186"/>
      <c r="F49" s="215"/>
    </row>
    <row r="50" spans="1:6" s="158" customFormat="1" ht="19.5" customHeight="1">
      <c r="A50" s="159" t="s">
        <v>358</v>
      </c>
      <c r="B50" s="177"/>
      <c r="C50" s="28">
        <v>200000</v>
      </c>
      <c r="D50" s="28">
        <v>200000</v>
      </c>
      <c r="E50" s="186"/>
      <c r="F50" s="215"/>
    </row>
    <row r="51" spans="1:7" s="158" customFormat="1" ht="21" customHeight="1">
      <c r="A51" s="199" t="s">
        <v>64</v>
      </c>
      <c r="B51" s="200"/>
      <c r="C51" s="174">
        <f>SUM(C52:C65)</f>
        <v>13075000</v>
      </c>
      <c r="D51" s="174">
        <f>SUM(D52:D65)</f>
        <v>13075000</v>
      </c>
      <c r="E51" s="175"/>
      <c r="F51" s="157"/>
      <c r="G51" s="222"/>
    </row>
    <row r="52" spans="1:6" s="158" customFormat="1" ht="15.75">
      <c r="A52" s="151" t="s">
        <v>207</v>
      </c>
      <c r="B52" s="200"/>
      <c r="C52" s="28">
        <v>200000</v>
      </c>
      <c r="D52" s="28">
        <v>200000</v>
      </c>
      <c r="E52" s="25"/>
      <c r="F52" s="157"/>
    </row>
    <row r="53" spans="1:6" s="158" customFormat="1" ht="33" customHeight="1">
      <c r="A53" s="151" t="s">
        <v>362</v>
      </c>
      <c r="B53" s="200"/>
      <c r="C53" s="28">
        <v>2000000</v>
      </c>
      <c r="D53" s="28">
        <v>2000000</v>
      </c>
      <c r="E53" s="25"/>
      <c r="F53" s="157"/>
    </row>
    <row r="54" spans="1:6" s="158" customFormat="1" ht="19.5" customHeight="1">
      <c r="A54" s="159" t="s">
        <v>235</v>
      </c>
      <c r="B54" s="200"/>
      <c r="C54" s="28">
        <v>25000</v>
      </c>
      <c r="D54" s="28">
        <v>25000</v>
      </c>
      <c r="E54" s="186"/>
      <c r="F54" s="157"/>
    </row>
    <row r="55" spans="1:6" s="158" customFormat="1" ht="19.5" customHeight="1">
      <c r="A55" s="159" t="s">
        <v>363</v>
      </c>
      <c r="B55" s="198"/>
      <c r="C55" s="28">
        <v>100000</v>
      </c>
      <c r="D55" s="28">
        <v>100000</v>
      </c>
      <c r="E55" s="186"/>
      <c r="F55" s="157"/>
    </row>
    <row r="56" spans="1:6" s="158" customFormat="1" ht="19.5" customHeight="1">
      <c r="A56" s="159" t="s">
        <v>65</v>
      </c>
      <c r="B56" s="198"/>
      <c r="C56" s="28">
        <v>20000</v>
      </c>
      <c r="D56" s="28">
        <v>20000</v>
      </c>
      <c r="E56" s="186"/>
      <c r="F56" s="157"/>
    </row>
    <row r="57" spans="1:6" s="158" customFormat="1" ht="19.5" customHeight="1">
      <c r="A57" s="159" t="s">
        <v>239</v>
      </c>
      <c r="B57" s="198"/>
      <c r="C57" s="28">
        <v>1000000</v>
      </c>
      <c r="D57" s="28">
        <v>1000000</v>
      </c>
      <c r="E57" s="186"/>
      <c r="F57" s="157"/>
    </row>
    <row r="58" spans="1:6" s="158" customFormat="1" ht="18.75" customHeight="1">
      <c r="A58" s="151" t="s">
        <v>66</v>
      </c>
      <c r="B58" s="198"/>
      <c r="C58" s="28">
        <v>100000</v>
      </c>
      <c r="D58" s="28">
        <v>100000</v>
      </c>
      <c r="E58" s="186"/>
      <c r="F58" s="157"/>
    </row>
    <row r="59" spans="1:6" s="158" customFormat="1" ht="18.75" customHeight="1">
      <c r="A59" s="151" t="s">
        <v>208</v>
      </c>
      <c r="B59" s="198"/>
      <c r="C59" s="28">
        <v>3000000</v>
      </c>
      <c r="D59" s="28">
        <v>3000000</v>
      </c>
      <c r="E59" s="186"/>
      <c r="F59" s="157"/>
    </row>
    <row r="60" spans="1:6" s="158" customFormat="1" ht="19.5" customHeight="1">
      <c r="A60" s="211" t="s">
        <v>67</v>
      </c>
      <c r="B60" s="109"/>
      <c r="C60" s="212">
        <v>600000</v>
      </c>
      <c r="D60" s="212">
        <v>600000</v>
      </c>
      <c r="E60" s="213"/>
      <c r="F60" s="157"/>
    </row>
    <row r="61" spans="1:6" s="158" customFormat="1" ht="19.5" customHeight="1">
      <c r="A61" s="159" t="s">
        <v>68</v>
      </c>
      <c r="B61" s="198"/>
      <c r="C61" s="28">
        <v>2000000</v>
      </c>
      <c r="D61" s="28">
        <v>2000000</v>
      </c>
      <c r="E61" s="186"/>
      <c r="F61" s="157"/>
    </row>
    <row r="62" spans="1:6" s="158" customFormat="1" ht="19.5" customHeight="1">
      <c r="A62" s="159" t="s">
        <v>69</v>
      </c>
      <c r="B62" s="198"/>
      <c r="C62" s="28">
        <v>100000</v>
      </c>
      <c r="D62" s="28">
        <v>100000</v>
      </c>
      <c r="E62" s="186"/>
      <c r="F62" s="157"/>
    </row>
    <row r="63" spans="1:6" s="158" customFormat="1" ht="19.5" customHeight="1">
      <c r="A63" s="151" t="s">
        <v>70</v>
      </c>
      <c r="B63" s="198"/>
      <c r="C63" s="28">
        <v>3000000</v>
      </c>
      <c r="D63" s="28">
        <v>3000000</v>
      </c>
      <c r="E63" s="186"/>
      <c r="F63" s="157"/>
    </row>
    <row r="64" spans="1:6" s="158" customFormat="1" ht="19.5" customHeight="1">
      <c r="A64" s="151" t="s">
        <v>209</v>
      </c>
      <c r="B64" s="198"/>
      <c r="C64" s="28">
        <v>400000</v>
      </c>
      <c r="D64" s="28">
        <v>400000</v>
      </c>
      <c r="E64" s="186"/>
      <c r="F64" s="157"/>
    </row>
    <row r="65" spans="1:6" s="158" customFormat="1" ht="21" customHeight="1">
      <c r="A65" s="151" t="s">
        <v>364</v>
      </c>
      <c r="B65" s="198"/>
      <c r="C65" s="28">
        <v>530000</v>
      </c>
      <c r="D65" s="28">
        <v>530000</v>
      </c>
      <c r="E65" s="186"/>
      <c r="F65" s="157"/>
    </row>
    <row r="66" spans="1:6" s="158" customFormat="1" ht="21" customHeight="1">
      <c r="A66" s="151" t="s">
        <v>265</v>
      </c>
      <c r="B66" s="198"/>
      <c r="C66" s="28">
        <v>65000</v>
      </c>
      <c r="D66" s="28">
        <v>65000</v>
      </c>
      <c r="E66" s="186"/>
      <c r="F66" s="157"/>
    </row>
    <row r="67" spans="1:6" s="158" customFormat="1" ht="21" customHeight="1">
      <c r="A67" s="151" t="s">
        <v>365</v>
      </c>
      <c r="B67" s="198"/>
      <c r="C67" s="28">
        <v>50000</v>
      </c>
      <c r="D67" s="28">
        <v>50000</v>
      </c>
      <c r="E67" s="186"/>
      <c r="F67" s="157"/>
    </row>
    <row r="68" spans="1:6" s="158" customFormat="1" ht="19.5" customHeight="1">
      <c r="A68" s="173" t="s">
        <v>71</v>
      </c>
      <c r="B68" s="177"/>
      <c r="C68" s="174">
        <f>SUM(C69:C71)</f>
        <v>60297889</v>
      </c>
      <c r="D68" s="174">
        <f>SUM(D69:D71)</f>
        <v>38442774</v>
      </c>
      <c r="E68" s="175">
        <f>SUM(E69:E71)</f>
        <v>21855115</v>
      </c>
      <c r="F68" s="157"/>
    </row>
    <row r="69" spans="1:6" s="1" customFormat="1" ht="17.25" customHeight="1">
      <c r="A69" s="159" t="s">
        <v>375</v>
      </c>
      <c r="B69" s="160"/>
      <c r="C69" s="28">
        <v>21855115</v>
      </c>
      <c r="D69" s="178"/>
      <c r="E69" s="186">
        <v>21855115</v>
      </c>
      <c r="F69" s="7"/>
    </row>
    <row r="70" spans="1:6" s="1" customFormat="1" ht="27.75" customHeight="1">
      <c r="A70" s="211" t="s">
        <v>270</v>
      </c>
      <c r="B70" s="170"/>
      <c r="C70" s="212">
        <v>10024312</v>
      </c>
      <c r="D70" s="171">
        <v>10024312</v>
      </c>
      <c r="E70" s="213"/>
      <c r="F70" s="7"/>
    </row>
    <row r="71" spans="1:6" s="1" customFormat="1" ht="27.75" customHeight="1" thickBot="1">
      <c r="A71" s="188" t="s">
        <v>376</v>
      </c>
      <c r="B71" s="22"/>
      <c r="C71" s="110">
        <v>28418462</v>
      </c>
      <c r="D71" s="202">
        <v>28418462</v>
      </c>
      <c r="E71" s="201"/>
      <c r="F71" s="7"/>
    </row>
    <row r="72" spans="1:6" s="1" customFormat="1" ht="16.5" thickBot="1">
      <c r="A72" s="153" t="s">
        <v>91</v>
      </c>
      <c r="B72" s="154" t="s">
        <v>72</v>
      </c>
      <c r="C72" s="155">
        <f>C45+C51+C68</f>
        <v>74128475</v>
      </c>
      <c r="D72" s="155">
        <f>D45+D51+D68</f>
        <v>52273360</v>
      </c>
      <c r="E72" s="156">
        <f>E45+E51+E68</f>
        <v>21855115</v>
      </c>
      <c r="F72" s="7"/>
    </row>
    <row r="73" spans="1:6" s="1" customFormat="1" ht="28.5" customHeight="1">
      <c r="A73" s="151" t="s">
        <v>269</v>
      </c>
      <c r="B73" s="297"/>
      <c r="C73" s="108">
        <v>2000000</v>
      </c>
      <c r="D73" s="298"/>
      <c r="E73" s="369">
        <v>2000000</v>
      </c>
      <c r="F73" s="7"/>
    </row>
    <row r="74" spans="1:6" s="1" customFormat="1" ht="28.5" customHeight="1">
      <c r="A74" s="152" t="s">
        <v>370</v>
      </c>
      <c r="B74" s="343"/>
      <c r="C74" s="281">
        <v>1599030</v>
      </c>
      <c r="D74" s="344"/>
      <c r="E74" s="370">
        <v>1599030</v>
      </c>
      <c r="F74" s="7"/>
    </row>
    <row r="75" spans="1:6" s="1" customFormat="1" ht="28.5" customHeight="1">
      <c r="A75" s="152" t="s">
        <v>371</v>
      </c>
      <c r="B75" s="343"/>
      <c r="C75" s="281">
        <v>50015921</v>
      </c>
      <c r="D75" s="344"/>
      <c r="E75" s="370">
        <v>50015921</v>
      </c>
      <c r="F75" s="7"/>
    </row>
    <row r="76" spans="1:6" s="1" customFormat="1" ht="28.5" customHeight="1">
      <c r="A76" s="152" t="s">
        <v>373</v>
      </c>
      <c r="B76" s="343"/>
      <c r="C76" s="281">
        <v>11023622</v>
      </c>
      <c r="D76" s="344"/>
      <c r="E76" s="370">
        <v>11023622</v>
      </c>
      <c r="F76" s="7"/>
    </row>
    <row r="77" spans="1:8" s="1" customFormat="1" ht="29.25" customHeight="1" thickBot="1">
      <c r="A77" s="152" t="s">
        <v>73</v>
      </c>
      <c r="B77" s="109"/>
      <c r="C77" s="281">
        <v>17452415</v>
      </c>
      <c r="D77" s="282"/>
      <c r="E77" s="370">
        <v>17452415</v>
      </c>
      <c r="F77" s="7"/>
      <c r="H77" s="280"/>
    </row>
    <row r="78" spans="1:6" s="158" customFormat="1" ht="16.5" thickBot="1">
      <c r="A78" s="153" t="s">
        <v>92</v>
      </c>
      <c r="B78" s="154" t="s">
        <v>74</v>
      </c>
      <c r="C78" s="155">
        <f>SUM(C73:C77)</f>
        <v>82090988</v>
      </c>
      <c r="D78" s="155">
        <f>SUM(D73:D77)</f>
        <v>0</v>
      </c>
      <c r="E78" s="156">
        <f>SUM(E73:E77)</f>
        <v>82090988</v>
      </c>
      <c r="F78" s="157"/>
    </row>
    <row r="79" spans="1:6" s="1" customFormat="1" ht="21.75" customHeight="1" thickBot="1">
      <c r="A79" s="205" t="s">
        <v>75</v>
      </c>
      <c r="B79" s="154" t="s">
        <v>76</v>
      </c>
      <c r="C79" s="203">
        <f>C11+C12+C41+C72+C78+C44</f>
        <v>292874692</v>
      </c>
      <c r="D79" s="203">
        <f>D11+D12+D41+D72+D78+D44</f>
        <v>188928589</v>
      </c>
      <c r="E79" s="206">
        <f>E11+E12+E41+E72+E78+E44</f>
        <v>103946103</v>
      </c>
      <c r="F79" s="7"/>
    </row>
    <row r="80" spans="1:6" s="1" customFormat="1" ht="15.75" customHeight="1">
      <c r="A80" s="207" t="s">
        <v>236</v>
      </c>
      <c r="B80" s="183"/>
      <c r="C80" s="184">
        <v>3997885</v>
      </c>
      <c r="D80" s="184">
        <v>3997885</v>
      </c>
      <c r="E80" s="208"/>
      <c r="F80" s="7"/>
    </row>
    <row r="81" spans="1:6" s="1" customFormat="1" ht="16.5" thickBot="1">
      <c r="A81" s="107" t="s">
        <v>377</v>
      </c>
      <c r="B81" s="198"/>
      <c r="C81" s="28">
        <v>86316589</v>
      </c>
      <c r="D81" s="28">
        <v>86316589</v>
      </c>
      <c r="E81" s="209"/>
      <c r="F81" s="7"/>
    </row>
    <row r="82" spans="1:6" s="1" customFormat="1" ht="16.5" thickBot="1">
      <c r="A82" s="205" t="s">
        <v>93</v>
      </c>
      <c r="B82" s="154" t="s">
        <v>77</v>
      </c>
      <c r="C82" s="203">
        <f>SUM(C80:C81)</f>
        <v>90314474</v>
      </c>
      <c r="D82" s="203">
        <f>SUM(D80:D81)</f>
        <v>90314474</v>
      </c>
      <c r="E82" s="206">
        <f>SUM(E80:E81)</f>
        <v>0</v>
      </c>
      <c r="F82" s="7"/>
    </row>
    <row r="83" spans="1:6" s="1" customFormat="1" ht="16.5" thickBot="1">
      <c r="A83" s="13" t="s">
        <v>99</v>
      </c>
      <c r="B83" s="14"/>
      <c r="C83" s="15">
        <f>C79+C82</f>
        <v>383189166</v>
      </c>
      <c r="D83" s="15">
        <f>D79+D82</f>
        <v>279243063</v>
      </c>
      <c r="E83" s="16">
        <f>E79+E82</f>
        <v>103946103</v>
      </c>
      <c r="F83" s="6"/>
    </row>
    <row r="84" spans="1:6" s="1" customFormat="1" ht="16.5" customHeight="1">
      <c r="A84" s="17" t="s">
        <v>78</v>
      </c>
      <c r="B84" s="18"/>
      <c r="C84" s="19">
        <v>8</v>
      </c>
      <c r="D84" s="18">
        <v>8</v>
      </c>
      <c r="E84" s="20"/>
      <c r="F84" s="6"/>
    </row>
    <row r="85" spans="1:6" s="1" customFormat="1" ht="17.25" customHeight="1" thickBot="1">
      <c r="A85" s="21" t="s">
        <v>79</v>
      </c>
      <c r="B85" s="22"/>
      <c r="C85" s="23">
        <v>4</v>
      </c>
      <c r="D85" s="22">
        <v>4</v>
      </c>
      <c r="E85" s="24"/>
      <c r="F85" s="8"/>
    </row>
    <row r="86" spans="1:5" ht="12.75">
      <c r="A86" s="210"/>
      <c r="B86" s="210"/>
      <c r="C86" s="210"/>
      <c r="D86" s="210"/>
      <c r="E86" s="210"/>
    </row>
    <row r="87" ht="12.75">
      <c r="D87" s="143"/>
    </row>
    <row r="88" ht="12.75">
      <c r="D88" s="143"/>
    </row>
    <row r="94" spans="1:5" ht="12.75">
      <c r="A94" s="2"/>
      <c r="B94" s="2"/>
      <c r="C94" s="2"/>
      <c r="D94" s="2"/>
      <c r="E94" s="143"/>
    </row>
  </sheetData>
  <sheetProtection/>
  <mergeCells count="3">
    <mergeCell ref="A1:E1"/>
    <mergeCell ref="A2:E2"/>
    <mergeCell ref="C3:E3"/>
  </mergeCells>
  <printOptions horizontalCentered="1"/>
  <pageMargins left="0.15748031496062992" right="0.15748031496062992" top="0.2755905511811024" bottom="0.17" header="0.25" footer="0.17"/>
  <pageSetup fitToHeight="1" fitToWidth="1" horizontalDpi="600" verticalDpi="600" orientation="portrait" paperSize="8" scale="72" r:id="rId1"/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24"/>
  <sheetViews>
    <sheetView workbookViewId="0" topLeftCell="A1">
      <selection activeCell="J11" sqref="J11"/>
    </sheetView>
  </sheetViews>
  <sheetFormatPr defaultColWidth="9.140625" defaultRowHeight="15"/>
  <cols>
    <col min="1" max="1" width="44.421875" style="2" customWidth="1"/>
    <col min="2" max="2" width="27.57421875" style="2" customWidth="1"/>
    <col min="3" max="3" width="26.7109375" style="87" customWidth="1"/>
    <col min="4" max="4" width="15.7109375" style="2" customWidth="1"/>
    <col min="5" max="5" width="13.421875" style="2" customWidth="1"/>
    <col min="6" max="6" width="29.421875" style="2" customWidth="1"/>
    <col min="7" max="16384" width="9.140625" style="2" customWidth="1"/>
  </cols>
  <sheetData>
    <row r="1" spans="1:6" ht="15.75">
      <c r="A1" s="112"/>
      <c r="B1" s="445" t="s">
        <v>386</v>
      </c>
      <c r="C1" s="445"/>
      <c r="D1" s="446"/>
      <c r="E1" s="446"/>
      <c r="F1" s="447"/>
    </row>
    <row r="2" spans="1:6" ht="15">
      <c r="A2" s="448" t="s">
        <v>7</v>
      </c>
      <c r="B2" s="449" t="s">
        <v>8</v>
      </c>
      <c r="C2" s="449"/>
      <c r="D2" s="449"/>
      <c r="E2" s="449"/>
      <c r="F2" s="450" t="s">
        <v>9</v>
      </c>
    </row>
    <row r="3" spans="1:6" ht="45">
      <c r="A3" s="448"/>
      <c r="B3" s="29" t="s">
        <v>213</v>
      </c>
      <c r="C3" s="29" t="s">
        <v>214</v>
      </c>
      <c r="D3" s="449" t="s">
        <v>215</v>
      </c>
      <c r="E3" s="449"/>
      <c r="F3" s="451"/>
    </row>
    <row r="4" spans="1:6" ht="15">
      <c r="A4" s="113" t="s">
        <v>10</v>
      </c>
      <c r="B4" s="30">
        <v>200000</v>
      </c>
      <c r="C4" s="30"/>
      <c r="D4" s="441"/>
      <c r="E4" s="441"/>
      <c r="F4" s="114">
        <f>B4+C4+D4</f>
        <v>200000</v>
      </c>
    </row>
    <row r="5" spans="1:6" ht="15">
      <c r="A5" s="115" t="s">
        <v>216</v>
      </c>
      <c r="B5" s="31">
        <f>SUM(B6:B16)</f>
        <v>48328777</v>
      </c>
      <c r="C5" s="30">
        <v>25179473</v>
      </c>
      <c r="D5" s="441">
        <v>14076707</v>
      </c>
      <c r="E5" s="441"/>
      <c r="F5" s="114">
        <f aca="true" t="shared" si="0" ref="F5:F24">B5+C5+D5</f>
        <v>87584957</v>
      </c>
    </row>
    <row r="6" spans="1:6" ht="30">
      <c r="A6" s="115" t="s">
        <v>257</v>
      </c>
      <c r="B6" s="31">
        <v>43115615</v>
      </c>
      <c r="C6" s="31">
        <v>22626410</v>
      </c>
      <c r="D6" s="444">
        <v>14076707</v>
      </c>
      <c r="E6" s="444"/>
      <c r="F6" s="150">
        <f t="shared" si="0"/>
        <v>79818732</v>
      </c>
    </row>
    <row r="7" spans="1:6" ht="45">
      <c r="A7" s="116" t="s">
        <v>378</v>
      </c>
      <c r="B7" s="371">
        <v>494010</v>
      </c>
      <c r="C7" s="371"/>
      <c r="D7" s="436"/>
      <c r="E7" s="437"/>
      <c r="F7" s="114">
        <f>SUM(B7:E7)</f>
        <v>494010</v>
      </c>
    </row>
    <row r="8" spans="1:6" ht="45">
      <c r="A8" s="116" t="s">
        <v>256</v>
      </c>
      <c r="B8" s="371">
        <v>949065</v>
      </c>
      <c r="C8" s="371"/>
      <c r="D8" s="436"/>
      <c r="E8" s="437"/>
      <c r="F8" s="114">
        <f aca="true" t="shared" si="1" ref="F8:F16">SUM(B8:E8)</f>
        <v>949065</v>
      </c>
    </row>
    <row r="9" spans="1:6" ht="45">
      <c r="A9" s="116" t="s">
        <v>379</v>
      </c>
      <c r="B9" s="371">
        <v>764918</v>
      </c>
      <c r="C9" s="371"/>
      <c r="D9" s="436"/>
      <c r="E9" s="437"/>
      <c r="F9" s="114">
        <f t="shared" si="1"/>
        <v>764918</v>
      </c>
    </row>
    <row r="10" spans="1:6" ht="30">
      <c r="A10" s="116" t="s">
        <v>380</v>
      </c>
      <c r="B10" s="371">
        <v>543587</v>
      </c>
      <c r="C10" s="371"/>
      <c r="D10" s="436"/>
      <c r="E10" s="437"/>
      <c r="F10" s="114">
        <f t="shared" si="1"/>
        <v>543587</v>
      </c>
    </row>
    <row r="11" spans="1:6" ht="45">
      <c r="A11" s="116" t="s">
        <v>381</v>
      </c>
      <c r="B11" s="371">
        <v>1000413</v>
      </c>
      <c r="C11" s="371"/>
      <c r="D11" s="436"/>
      <c r="E11" s="437"/>
      <c r="F11" s="114">
        <f t="shared" si="1"/>
        <v>1000413</v>
      </c>
    </row>
    <row r="12" spans="1:6" ht="45">
      <c r="A12" s="116" t="s">
        <v>382</v>
      </c>
      <c r="B12" s="32">
        <v>519000</v>
      </c>
      <c r="C12" s="32"/>
      <c r="D12" s="438"/>
      <c r="E12" s="439"/>
      <c r="F12" s="114">
        <f t="shared" si="1"/>
        <v>519000</v>
      </c>
    </row>
    <row r="13" spans="1:6" ht="60">
      <c r="A13" s="116" t="s">
        <v>255</v>
      </c>
      <c r="B13" s="32"/>
      <c r="C13" s="32">
        <v>1384695</v>
      </c>
      <c r="D13" s="438"/>
      <c r="E13" s="440"/>
      <c r="F13" s="114">
        <f t="shared" si="1"/>
        <v>1384695</v>
      </c>
    </row>
    <row r="14" spans="1:6" ht="60">
      <c r="A14" s="116" t="s">
        <v>254</v>
      </c>
      <c r="B14" s="32"/>
      <c r="C14" s="32"/>
      <c r="D14" s="438"/>
      <c r="E14" s="440"/>
      <c r="F14" s="114">
        <f t="shared" si="1"/>
        <v>0</v>
      </c>
    </row>
    <row r="15" spans="1:6" ht="15">
      <c r="A15" s="115" t="s">
        <v>217</v>
      </c>
      <c r="B15" s="30">
        <v>100000</v>
      </c>
      <c r="C15" s="30">
        <v>1168368</v>
      </c>
      <c r="D15" s="441"/>
      <c r="E15" s="441"/>
      <c r="F15" s="114">
        <f t="shared" si="1"/>
        <v>1268368</v>
      </c>
    </row>
    <row r="16" spans="1:6" ht="15.75" thickBot="1">
      <c r="A16" s="372" t="s">
        <v>383</v>
      </c>
      <c r="B16" s="373">
        <v>842169</v>
      </c>
      <c r="C16" s="373"/>
      <c r="D16" s="442"/>
      <c r="E16" s="443"/>
      <c r="F16" s="119">
        <f t="shared" si="1"/>
        <v>842169</v>
      </c>
    </row>
    <row r="17" spans="1:6" ht="15.75" thickBot="1">
      <c r="A17" s="33" t="s">
        <v>11</v>
      </c>
      <c r="B17" s="149">
        <f>B5+B4</f>
        <v>48528777</v>
      </c>
      <c r="C17" s="149">
        <f>SUM(C6:C16)</f>
        <v>25179473</v>
      </c>
      <c r="D17" s="434">
        <f>D5</f>
        <v>14076707</v>
      </c>
      <c r="E17" s="434"/>
      <c r="F17" s="145">
        <f t="shared" si="0"/>
        <v>87784957</v>
      </c>
    </row>
    <row r="18" spans="1:6" ht="15">
      <c r="A18" s="118" t="s">
        <v>12</v>
      </c>
      <c r="B18" s="34">
        <v>32386305</v>
      </c>
      <c r="C18" s="34">
        <v>19085500</v>
      </c>
      <c r="D18" s="435">
        <v>10914027</v>
      </c>
      <c r="E18" s="435"/>
      <c r="F18" s="119">
        <f t="shared" si="0"/>
        <v>62385832</v>
      </c>
    </row>
    <row r="19" spans="1:6" ht="30">
      <c r="A19" s="115" t="s">
        <v>218</v>
      </c>
      <c r="B19" s="35">
        <v>11582472</v>
      </c>
      <c r="C19" s="35">
        <v>3823973</v>
      </c>
      <c r="D19" s="452">
        <v>2300414</v>
      </c>
      <c r="E19" s="452"/>
      <c r="F19" s="114">
        <f t="shared" si="0"/>
        <v>17706859</v>
      </c>
    </row>
    <row r="20" spans="1:6" ht="15">
      <c r="A20" s="113" t="s">
        <v>219</v>
      </c>
      <c r="B20" s="35">
        <v>4560000</v>
      </c>
      <c r="C20" s="35">
        <v>2270000</v>
      </c>
      <c r="D20" s="452">
        <v>862266</v>
      </c>
      <c r="E20" s="452"/>
      <c r="F20" s="114">
        <f t="shared" si="0"/>
        <v>7692266</v>
      </c>
    </row>
    <row r="21" spans="1:6" ht="15.75" thickBot="1">
      <c r="A21" s="148" t="s">
        <v>253</v>
      </c>
      <c r="B21" s="147"/>
      <c r="C21" s="147"/>
      <c r="D21" s="453"/>
      <c r="E21" s="453"/>
      <c r="F21" s="117">
        <f t="shared" si="0"/>
        <v>0</v>
      </c>
    </row>
    <row r="22" spans="1:6" ht="15.75" thickBot="1">
      <c r="A22" s="33" t="s">
        <v>13</v>
      </c>
      <c r="B22" s="146">
        <f>SUM(B18:B20)</f>
        <v>48528777</v>
      </c>
      <c r="C22" s="146">
        <f>SUM(C18:C21)</f>
        <v>25179473</v>
      </c>
      <c r="D22" s="454">
        <f>SUM(D18:E21)</f>
        <v>14076707</v>
      </c>
      <c r="E22" s="454"/>
      <c r="F22" s="145">
        <f t="shared" si="0"/>
        <v>87784957</v>
      </c>
    </row>
    <row r="23" spans="1:6" ht="15">
      <c r="A23" s="120" t="s">
        <v>14</v>
      </c>
      <c r="B23" s="34">
        <v>11</v>
      </c>
      <c r="C23" s="34">
        <v>6</v>
      </c>
      <c r="D23" s="455">
        <v>3</v>
      </c>
      <c r="E23" s="455"/>
      <c r="F23" s="119">
        <f t="shared" si="0"/>
        <v>20</v>
      </c>
    </row>
    <row r="24" spans="1:6" ht="15.75" thickBot="1">
      <c r="A24" s="121" t="s">
        <v>15</v>
      </c>
      <c r="B24" s="122">
        <v>11</v>
      </c>
      <c r="C24" s="122">
        <v>6</v>
      </c>
      <c r="D24" s="456">
        <v>3</v>
      </c>
      <c r="E24" s="456"/>
      <c r="F24" s="144">
        <f t="shared" si="0"/>
        <v>20</v>
      </c>
    </row>
  </sheetData>
  <sheetProtection/>
  <mergeCells count="26">
    <mergeCell ref="D19:E19"/>
    <mergeCell ref="D20:E20"/>
    <mergeCell ref="D21:E21"/>
    <mergeCell ref="D22:E22"/>
    <mergeCell ref="D23:E23"/>
    <mergeCell ref="D24:E24"/>
    <mergeCell ref="B1:F1"/>
    <mergeCell ref="A2:A3"/>
    <mergeCell ref="B2:E2"/>
    <mergeCell ref="F2:F3"/>
    <mergeCell ref="D3:E3"/>
    <mergeCell ref="D8:E8"/>
    <mergeCell ref="D9:E9"/>
    <mergeCell ref="D10:E10"/>
    <mergeCell ref="D16:E16"/>
    <mergeCell ref="D4:E4"/>
    <mergeCell ref="D5:E5"/>
    <mergeCell ref="D6:E6"/>
    <mergeCell ref="D7:E7"/>
    <mergeCell ref="D17:E17"/>
    <mergeCell ref="D18:E18"/>
    <mergeCell ref="D11:E11"/>
    <mergeCell ref="D12:E12"/>
    <mergeCell ref="D13:E13"/>
    <mergeCell ref="D14:E14"/>
    <mergeCell ref="D15:E15"/>
  </mergeCells>
  <printOptions horizontalCentered="1"/>
  <pageMargins left="0.3937007874015748" right="0.4330708661417323" top="0.984251968503937" bottom="0.984251968503937" header="0.5118110236220472" footer="0.5118110236220472"/>
  <pageSetup fitToHeight="1" fitToWidth="1" horizontalDpi="600" verticalDpi="600" orientation="landscape" paperSize="9" scale="7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32"/>
  <sheetViews>
    <sheetView zoomScalePageLayoutView="0" workbookViewId="0" topLeftCell="A10">
      <selection activeCell="H26" sqref="H26"/>
    </sheetView>
  </sheetViews>
  <sheetFormatPr defaultColWidth="9.140625" defaultRowHeight="15"/>
  <cols>
    <col min="1" max="1" width="16.28125" style="36" customWidth="1"/>
    <col min="2" max="2" width="68.421875" style="36" customWidth="1"/>
    <col min="3" max="3" width="24.57421875" style="36" customWidth="1"/>
    <col min="4" max="4" width="25.00390625" style="36" customWidth="1"/>
    <col min="5" max="16384" width="9.140625" style="36" customWidth="1"/>
  </cols>
  <sheetData>
    <row r="1" spans="1:4" ht="39" customHeight="1">
      <c r="A1" s="457" t="s">
        <v>391</v>
      </c>
      <c r="B1" s="458"/>
      <c r="C1" s="458"/>
      <c r="D1" s="459"/>
    </row>
    <row r="2" spans="1:4" ht="48.75" customHeight="1">
      <c r="A2" s="37" t="s">
        <v>387</v>
      </c>
      <c r="B2" s="38" t="s">
        <v>388</v>
      </c>
      <c r="C2" s="38" t="s">
        <v>389</v>
      </c>
      <c r="D2" s="39" t="s">
        <v>390</v>
      </c>
    </row>
    <row r="3" spans="1:4" ht="15.75">
      <c r="A3" s="460" t="s">
        <v>104</v>
      </c>
      <c r="B3" s="461"/>
      <c r="C3" s="461"/>
      <c r="D3" s="462"/>
    </row>
    <row r="4" spans="1:4" ht="32.25" customHeight="1">
      <c r="A4" s="40" t="s">
        <v>276</v>
      </c>
      <c r="B4" s="41" t="s">
        <v>275</v>
      </c>
      <c r="C4" s="397">
        <v>620000</v>
      </c>
      <c r="D4" s="398">
        <v>2500000</v>
      </c>
    </row>
    <row r="5" spans="1:4" ht="28.5" customHeight="1">
      <c r="A5" s="40" t="s">
        <v>105</v>
      </c>
      <c r="B5" s="41" t="s">
        <v>274</v>
      </c>
      <c r="C5" s="42">
        <v>21855115</v>
      </c>
      <c r="D5" s="43"/>
    </row>
    <row r="6" spans="1:4" ht="38.25" customHeight="1">
      <c r="A6" s="40" t="s">
        <v>106</v>
      </c>
      <c r="B6" s="41" t="s">
        <v>107</v>
      </c>
      <c r="C6" s="42"/>
      <c r="D6" s="394">
        <v>570000</v>
      </c>
    </row>
    <row r="7" spans="1:4" ht="30" customHeight="1">
      <c r="A7" s="40" t="s">
        <v>108</v>
      </c>
      <c r="B7" s="41" t="s">
        <v>273</v>
      </c>
      <c r="C7" s="396">
        <v>10075884</v>
      </c>
      <c r="D7" s="394">
        <v>56500000</v>
      </c>
    </row>
    <row r="8" spans="1:4" ht="38.25" customHeight="1">
      <c r="A8" s="40" t="s">
        <v>109</v>
      </c>
      <c r="B8" s="41" t="s">
        <v>110</v>
      </c>
      <c r="C8" s="296">
        <v>91956136</v>
      </c>
      <c r="D8" s="394">
        <v>48644125</v>
      </c>
    </row>
    <row r="9" spans="1:4" ht="30" customHeight="1">
      <c r="A9" s="40" t="s">
        <v>111</v>
      </c>
      <c r="B9" s="41" t="s">
        <v>112</v>
      </c>
      <c r="C9" s="42"/>
      <c r="D9" s="43">
        <v>1984000</v>
      </c>
    </row>
    <row r="10" spans="1:4" ht="30.75" customHeight="1">
      <c r="A10" s="40" t="s">
        <v>113</v>
      </c>
      <c r="B10" s="41" t="s">
        <v>114</v>
      </c>
      <c r="C10" s="42"/>
      <c r="D10" s="394">
        <v>48644125</v>
      </c>
    </row>
    <row r="11" spans="1:4" ht="33.75" customHeight="1">
      <c r="A11" s="40" t="s">
        <v>115</v>
      </c>
      <c r="B11" s="41" t="s">
        <v>116</v>
      </c>
      <c r="C11" s="42">
        <v>107072991</v>
      </c>
      <c r="D11" s="43">
        <v>3997885</v>
      </c>
    </row>
    <row r="12" spans="1:4" ht="33" customHeight="1">
      <c r="A12" s="40" t="s">
        <v>117</v>
      </c>
      <c r="B12" s="41" t="s">
        <v>118</v>
      </c>
      <c r="C12" s="42"/>
      <c r="D12" s="43">
        <v>66652</v>
      </c>
    </row>
    <row r="13" spans="1:4" ht="40.5" customHeight="1">
      <c r="A13" s="40" t="s">
        <v>119</v>
      </c>
      <c r="B13" s="41" t="s">
        <v>120</v>
      </c>
      <c r="C13" s="42"/>
      <c r="D13" s="43">
        <v>67286</v>
      </c>
    </row>
    <row r="14" spans="1:4" ht="25.5" customHeight="1">
      <c r="A14" s="40" t="s">
        <v>121</v>
      </c>
      <c r="B14" s="41" t="s">
        <v>122</v>
      </c>
      <c r="C14" s="42"/>
      <c r="D14" s="43">
        <v>411648</v>
      </c>
    </row>
    <row r="15" spans="1:4" ht="30" customHeight="1">
      <c r="A15" s="40" t="s">
        <v>123</v>
      </c>
      <c r="B15" s="41" t="s">
        <v>124</v>
      </c>
      <c r="C15" s="42"/>
      <c r="D15" s="43">
        <v>3091000</v>
      </c>
    </row>
    <row r="16" spans="1:4" ht="28.5" customHeight="1">
      <c r="A16" s="40" t="s">
        <v>125</v>
      </c>
      <c r="B16" s="41" t="s">
        <v>272</v>
      </c>
      <c r="C16" s="42">
        <v>3941160</v>
      </c>
      <c r="D16" s="43">
        <v>3941160</v>
      </c>
    </row>
    <row r="17" spans="1:4" ht="28.5" customHeight="1">
      <c r="A17" s="40" t="s">
        <v>418</v>
      </c>
      <c r="B17" s="41" t="s">
        <v>419</v>
      </c>
      <c r="C17" s="42">
        <v>71027880</v>
      </c>
      <c r="D17" s="43">
        <v>71027880</v>
      </c>
    </row>
    <row r="18" spans="1:4" ht="27" customHeight="1">
      <c r="A18" s="44" t="s">
        <v>126</v>
      </c>
      <c r="B18" s="41" t="s">
        <v>127</v>
      </c>
      <c r="C18" s="45"/>
      <c r="D18" s="43">
        <v>25915367</v>
      </c>
    </row>
    <row r="19" spans="1:4" ht="29.25" customHeight="1">
      <c r="A19" s="40" t="s">
        <v>128</v>
      </c>
      <c r="B19" s="41" t="s">
        <v>129</v>
      </c>
      <c r="C19" s="42"/>
      <c r="D19" s="43">
        <v>223767</v>
      </c>
    </row>
    <row r="20" spans="1:4" ht="29.25" customHeight="1">
      <c r="A20" s="40" t="s">
        <v>130</v>
      </c>
      <c r="B20" s="41" t="s">
        <v>131</v>
      </c>
      <c r="C20" s="42"/>
      <c r="D20" s="43">
        <v>1761520</v>
      </c>
    </row>
    <row r="21" spans="1:4" ht="29.25" customHeight="1">
      <c r="A21" s="40" t="s">
        <v>132</v>
      </c>
      <c r="B21" s="41" t="s">
        <v>133</v>
      </c>
      <c r="C21" s="42"/>
      <c r="D21" s="43">
        <v>3100000</v>
      </c>
    </row>
    <row r="22" spans="1:4" ht="30" customHeight="1">
      <c r="A22" s="40" t="s">
        <v>134</v>
      </c>
      <c r="B22" s="41" t="s">
        <v>135</v>
      </c>
      <c r="C22" s="42"/>
      <c r="D22" s="394">
        <v>11075000</v>
      </c>
    </row>
    <row r="23" spans="1:4" ht="27.75" customHeight="1">
      <c r="A23" s="44" t="s">
        <v>136</v>
      </c>
      <c r="B23" s="41" t="s">
        <v>137</v>
      </c>
      <c r="C23" s="45"/>
      <c r="D23" s="43">
        <v>1326850</v>
      </c>
    </row>
    <row r="24" spans="1:4" ht="27.75" customHeight="1">
      <c r="A24" s="44" t="s">
        <v>211</v>
      </c>
      <c r="B24" s="41" t="s">
        <v>212</v>
      </c>
      <c r="C24" s="45"/>
      <c r="D24" s="394">
        <v>2000000</v>
      </c>
    </row>
    <row r="25" spans="1:4" ht="27.75" customHeight="1">
      <c r="A25" s="44" t="s">
        <v>240</v>
      </c>
      <c r="B25" s="41" t="s">
        <v>420</v>
      </c>
      <c r="C25" s="45">
        <v>77260000</v>
      </c>
      <c r="D25" s="43"/>
    </row>
    <row r="26" spans="1:4" ht="27.75" customHeight="1">
      <c r="A26" s="44" t="s">
        <v>241</v>
      </c>
      <c r="B26" s="41" t="s">
        <v>242</v>
      </c>
      <c r="C26" s="45"/>
      <c r="D26" s="43">
        <v>86316589</v>
      </c>
    </row>
    <row r="27" spans="1:4" ht="29.25" customHeight="1" thickBot="1">
      <c r="A27" s="44"/>
      <c r="B27" s="46" t="s">
        <v>138</v>
      </c>
      <c r="C27" s="45"/>
      <c r="D27" s="395">
        <v>10024312</v>
      </c>
    </row>
    <row r="28" spans="1:4" ht="30" customHeight="1" thickBot="1">
      <c r="A28" s="463" t="s">
        <v>139</v>
      </c>
      <c r="B28" s="464"/>
      <c r="C28" s="47">
        <f>SUM(C5:C27)</f>
        <v>383189166</v>
      </c>
      <c r="D28" s="48">
        <f>SUM(D4:D27)</f>
        <v>383189166</v>
      </c>
    </row>
    <row r="30" ht="15">
      <c r="C30" s="49"/>
    </row>
    <row r="32" ht="15">
      <c r="C32" s="49"/>
    </row>
  </sheetData>
  <sheetProtection/>
  <mergeCells count="3">
    <mergeCell ref="A1:D1"/>
    <mergeCell ref="A3:D3"/>
    <mergeCell ref="A28:B28"/>
  </mergeCells>
  <printOptions/>
  <pageMargins left="0.17" right="0.16" top="0.35" bottom="0.38" header="0.51" footer="0.16"/>
  <pageSetup horizontalDpi="200" verticalDpi="200" orientation="portrait" paperSize="9" scale="75" r:id="rId1"/>
  <ignoredErrors>
    <ignoredError sqref="A18:A23 A5:A14 A1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2"/>
  <sheetViews>
    <sheetView zoomScale="120" zoomScaleNormal="120" zoomScalePageLayoutView="0" workbookViewId="0" topLeftCell="A1">
      <selection activeCell="B24" sqref="B24:B25"/>
    </sheetView>
  </sheetViews>
  <sheetFormatPr defaultColWidth="9.140625" defaultRowHeight="15"/>
  <cols>
    <col min="1" max="1" width="64.421875" style="2" customWidth="1"/>
    <col min="2" max="2" width="24.28125" style="2" customWidth="1"/>
    <col min="3" max="3" width="22.8515625" style="2" customWidth="1"/>
    <col min="4" max="4" width="26.421875" style="2" customWidth="1"/>
    <col min="5" max="16384" width="9.140625" style="2" customWidth="1"/>
  </cols>
  <sheetData>
    <row r="1" spans="1:4" ht="18.75" customHeight="1">
      <c r="A1" s="465" t="s">
        <v>220</v>
      </c>
      <c r="B1" s="465"/>
      <c r="C1" s="465"/>
      <c r="D1" s="465"/>
    </row>
    <row r="2" spans="1:4" ht="15">
      <c r="A2" s="466" t="s">
        <v>392</v>
      </c>
      <c r="B2" s="466"/>
      <c r="C2" s="466"/>
      <c r="D2" s="466"/>
    </row>
    <row r="3" spans="1:4" ht="15" customHeight="1">
      <c r="A3" s="467" t="s">
        <v>393</v>
      </c>
      <c r="B3" s="468"/>
      <c r="C3" s="468"/>
      <c r="D3" s="468"/>
    </row>
    <row r="4" spans="1:4" ht="30">
      <c r="A4" s="50" t="s">
        <v>16</v>
      </c>
      <c r="B4" s="50" t="s">
        <v>415</v>
      </c>
      <c r="C4" s="50" t="s">
        <v>394</v>
      </c>
      <c r="D4" s="50" t="s">
        <v>395</v>
      </c>
    </row>
    <row r="5" spans="1:4" ht="15">
      <c r="A5" s="51" t="s">
        <v>17</v>
      </c>
      <c r="B5" s="52">
        <v>322381036</v>
      </c>
      <c r="C5" s="52">
        <v>272710103</v>
      </c>
      <c r="D5" s="52">
        <v>49670933</v>
      </c>
    </row>
    <row r="6" spans="1:4" ht="15">
      <c r="A6" s="51" t="s">
        <v>18</v>
      </c>
      <c r="B6" s="52">
        <v>292874692</v>
      </c>
      <c r="C6" s="52">
        <v>188928589</v>
      </c>
      <c r="D6" s="52">
        <v>103946103</v>
      </c>
    </row>
    <row r="7" spans="1:4" ht="15">
      <c r="A7" s="51" t="s">
        <v>19</v>
      </c>
      <c r="B7" s="124">
        <f>B5-B6</f>
        <v>29506344</v>
      </c>
      <c r="C7" s="52">
        <v>0</v>
      </c>
      <c r="D7" s="52">
        <f>D5-D6</f>
        <v>-54275170</v>
      </c>
    </row>
    <row r="8" spans="1:4" ht="15">
      <c r="A8" s="51" t="s">
        <v>20</v>
      </c>
      <c r="B8" s="12">
        <v>0</v>
      </c>
      <c r="C8" s="52">
        <f>C5-C6</f>
        <v>83781514</v>
      </c>
      <c r="D8" s="52">
        <v>0</v>
      </c>
    </row>
    <row r="9" spans="1:6" ht="15">
      <c r="A9" s="53" t="s">
        <v>21</v>
      </c>
      <c r="B9" s="124">
        <v>60808130</v>
      </c>
      <c r="C9" s="52">
        <v>6532960</v>
      </c>
      <c r="D9" s="52">
        <v>54275170</v>
      </c>
      <c r="F9" s="4"/>
    </row>
    <row r="10" spans="1:6" ht="15">
      <c r="A10" s="53" t="s">
        <v>100</v>
      </c>
      <c r="B10" s="124">
        <f>B7+B9</f>
        <v>90314474</v>
      </c>
      <c r="C10" s="52">
        <f>C8+C9</f>
        <v>90314474</v>
      </c>
      <c r="D10" s="52">
        <f>D7+D9</f>
        <v>0</v>
      </c>
      <c r="F10" s="4"/>
    </row>
    <row r="11" spans="1:6" ht="15">
      <c r="A11" s="53" t="s">
        <v>236</v>
      </c>
      <c r="B11" s="52">
        <v>3997885</v>
      </c>
      <c r="C11" s="52">
        <v>3997885</v>
      </c>
      <c r="D11" s="52">
        <v>0</v>
      </c>
      <c r="F11" s="4"/>
    </row>
    <row r="12" spans="1:4" ht="30">
      <c r="A12" s="53" t="s">
        <v>50</v>
      </c>
      <c r="B12" s="52">
        <v>86316589</v>
      </c>
      <c r="C12" s="52">
        <v>86316589</v>
      </c>
      <c r="D12" s="52">
        <v>0</v>
      </c>
    </row>
    <row r="13" spans="1:4" ht="30">
      <c r="A13" s="53" t="s">
        <v>243</v>
      </c>
      <c r="B13" s="124">
        <f>B10-B11-B12</f>
        <v>0</v>
      </c>
      <c r="C13" s="52">
        <f>C10-C11-C12</f>
        <v>0</v>
      </c>
      <c r="D13" s="52">
        <f>D10</f>
        <v>0</v>
      </c>
    </row>
    <row r="14" spans="1:4" ht="15">
      <c r="A14" s="54" t="s">
        <v>22</v>
      </c>
      <c r="B14" s="55">
        <f>B6+B11+B12</f>
        <v>383189166</v>
      </c>
      <c r="C14" s="55">
        <f>C6+C11+C12</f>
        <v>279243063</v>
      </c>
      <c r="D14" s="55">
        <f>D6</f>
        <v>103946103</v>
      </c>
    </row>
    <row r="15" spans="1:4" ht="15">
      <c r="A15" s="54" t="s">
        <v>23</v>
      </c>
      <c r="B15" s="55">
        <f>B5+B9</f>
        <v>383189166</v>
      </c>
      <c r="C15" s="55">
        <f>C5+C9</f>
        <v>279243063</v>
      </c>
      <c r="D15" s="55">
        <f>D5+D9</f>
        <v>103946103</v>
      </c>
    </row>
    <row r="16" spans="1:4" ht="15">
      <c r="A16" s="80"/>
      <c r="B16" s="80"/>
      <c r="C16" s="80"/>
      <c r="D16" s="80"/>
    </row>
    <row r="17" ht="12.75">
      <c r="C17" s="4"/>
    </row>
    <row r="19" ht="12.75">
      <c r="C19" s="4"/>
    </row>
    <row r="22" ht="12.75">
      <c r="C22" s="4"/>
    </row>
  </sheetData>
  <sheetProtection/>
  <mergeCells count="3">
    <mergeCell ref="A1:D1"/>
    <mergeCell ref="A2:D2"/>
    <mergeCell ref="A3:D3"/>
  </mergeCells>
  <printOptions/>
  <pageMargins left="0.3937007874015748" right="0.2362204724409449" top="0.54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7"/>
  <sheetViews>
    <sheetView zoomScale="90" zoomScaleNormal="90" zoomScalePageLayoutView="0" workbookViewId="0" topLeftCell="A1">
      <selection activeCell="D6" sqref="D6"/>
    </sheetView>
  </sheetViews>
  <sheetFormatPr defaultColWidth="9.140625" defaultRowHeight="15"/>
  <cols>
    <col min="1" max="1" width="106.28125" style="0" customWidth="1"/>
    <col min="2" max="2" width="42.140625" style="0" customWidth="1"/>
    <col min="3" max="3" width="34.140625" style="0" customWidth="1"/>
    <col min="4" max="4" width="15.140625" style="0" customWidth="1"/>
  </cols>
  <sheetData>
    <row r="1" spans="1:3" ht="24.75" customHeight="1">
      <c r="A1" s="469" t="s">
        <v>396</v>
      </c>
      <c r="B1" s="470"/>
      <c r="C1" s="471"/>
    </row>
    <row r="2" spans="1:3" ht="24.75" customHeight="1">
      <c r="A2" s="125"/>
      <c r="B2" s="126"/>
      <c r="C2" s="127"/>
    </row>
    <row r="3" spans="1:3" ht="15.75">
      <c r="A3" s="472" t="s">
        <v>397</v>
      </c>
      <c r="B3" s="472"/>
      <c r="C3" s="472"/>
    </row>
    <row r="4" spans="1:3" ht="24.75" customHeight="1">
      <c r="A4" s="129" t="s">
        <v>101</v>
      </c>
      <c r="B4" s="128" t="s">
        <v>398</v>
      </c>
      <c r="C4" s="128" t="s">
        <v>399</v>
      </c>
    </row>
    <row r="5" spans="1:3" ht="46.5" customHeight="1">
      <c r="A5" s="277" t="s">
        <v>374</v>
      </c>
      <c r="B5" s="278">
        <v>47640165</v>
      </c>
      <c r="C5" s="278">
        <v>63520220</v>
      </c>
    </row>
    <row r="6" spans="1:3" ht="47.25" customHeight="1">
      <c r="A6" s="276" t="s">
        <v>268</v>
      </c>
      <c r="B6" s="279">
        <v>1800000</v>
      </c>
      <c r="C6" s="391">
        <v>5000000</v>
      </c>
    </row>
    <row r="7" spans="1:3" ht="47.25" customHeight="1">
      <c r="A7" s="276" t="s">
        <v>416</v>
      </c>
      <c r="B7" s="279">
        <v>71027880</v>
      </c>
      <c r="C7" s="279">
        <v>71027880</v>
      </c>
    </row>
  </sheetData>
  <sheetProtection/>
  <mergeCells count="2">
    <mergeCell ref="A1:C1"/>
    <mergeCell ref="A3:C3"/>
  </mergeCells>
  <printOptions/>
  <pageMargins left="0.1968503937007874" right="0.15748031496062992" top="0.5118110236220472" bottom="0.7480314960629921" header="0.31496062992125984" footer="0.31496062992125984"/>
  <pageSetup fitToHeight="1" fitToWidth="1" horizontalDpi="200" verticalDpi="2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3"/>
  <sheetViews>
    <sheetView zoomScale="90" zoomScaleNormal="90" zoomScalePageLayoutView="0" workbookViewId="0" topLeftCell="A1">
      <selection activeCell="M18" sqref="M18"/>
    </sheetView>
  </sheetViews>
  <sheetFormatPr defaultColWidth="9.140625" defaultRowHeight="15"/>
  <cols>
    <col min="1" max="1" width="41.7109375" style="123" customWidth="1"/>
    <col min="2" max="2" width="15.00390625" style="123" hidden="1" customWidth="1"/>
    <col min="3" max="3" width="37.28125" style="123" customWidth="1"/>
    <col min="4" max="4" width="11.8515625" style="283" bestFit="1" customWidth="1"/>
    <col min="5" max="5" width="11.28125" style="283" bestFit="1" customWidth="1"/>
    <col min="6" max="6" width="25.00390625" style="283" customWidth="1"/>
    <col min="7" max="9" width="9.140625" style="123" customWidth="1"/>
    <col min="10" max="10" width="13.00390625" style="123" customWidth="1"/>
    <col min="11" max="16384" width="9.140625" style="123" customWidth="1"/>
  </cols>
  <sheetData>
    <row r="1" spans="1:10" ht="15.75" thickBot="1">
      <c r="A1" s="522" t="s">
        <v>353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5">
      <c r="A2" s="523" t="s">
        <v>277</v>
      </c>
      <c r="B2" s="524"/>
      <c r="C2" s="299"/>
      <c r="D2" s="299"/>
      <c r="E2" s="299"/>
      <c r="F2" s="523" t="s">
        <v>278</v>
      </c>
      <c r="G2" s="524"/>
      <c r="H2" s="299"/>
      <c r="I2" s="299"/>
      <c r="J2" s="300"/>
    </row>
    <row r="3" spans="1:10" ht="15">
      <c r="A3" s="525" t="s">
        <v>279</v>
      </c>
      <c r="B3" s="526"/>
      <c r="C3" s="301"/>
      <c r="D3" s="302">
        <v>37195168</v>
      </c>
      <c r="E3" s="301"/>
      <c r="F3" s="525" t="s">
        <v>279</v>
      </c>
      <c r="G3" s="526"/>
      <c r="H3" s="301"/>
      <c r="I3" s="302">
        <v>393125</v>
      </c>
      <c r="J3" s="303"/>
    </row>
    <row r="4" spans="1:10" ht="15.75" thickBot="1">
      <c r="A4" s="527" t="s">
        <v>280</v>
      </c>
      <c r="B4" s="521"/>
      <c r="C4" s="521"/>
      <c r="D4" s="304"/>
      <c r="E4" s="305"/>
      <c r="F4" s="527" t="s">
        <v>280</v>
      </c>
      <c r="G4" s="521"/>
      <c r="H4" s="521"/>
      <c r="I4" s="304"/>
      <c r="J4" s="306"/>
    </row>
    <row r="5" spans="1:10" ht="15">
      <c r="A5" s="519" t="s">
        <v>281</v>
      </c>
      <c r="B5" s="520"/>
      <c r="C5" s="520"/>
      <c r="D5" s="299"/>
      <c r="E5" s="307">
        <f>4467099+129830+36200+2594+229922+35457+4574197+172565</f>
        <v>9647864</v>
      </c>
      <c r="F5" s="519" t="s">
        <v>282</v>
      </c>
      <c r="G5" s="520"/>
      <c r="H5" s="520"/>
      <c r="I5" s="308"/>
      <c r="J5" s="309">
        <f>615000+480000+505000+903000+540000+727000+500000</f>
        <v>4270000</v>
      </c>
    </row>
    <row r="6" spans="1:10" ht="15.75" thickBot="1">
      <c r="A6" s="477" t="s">
        <v>283</v>
      </c>
      <c r="B6" s="478"/>
      <c r="C6" s="478"/>
      <c r="D6" s="301"/>
      <c r="E6" s="309">
        <f>153521+25547+850059</f>
        <v>1029127</v>
      </c>
      <c r="F6" s="478" t="s">
        <v>285</v>
      </c>
      <c r="G6" s="478"/>
      <c r="H6" s="478"/>
      <c r="I6" s="308"/>
      <c r="J6" s="309">
        <f>38100+35765</f>
        <v>73865</v>
      </c>
    </row>
    <row r="7" spans="1:10" ht="15">
      <c r="A7" s="377"/>
      <c r="B7" s="378"/>
      <c r="C7" s="378" t="s">
        <v>421</v>
      </c>
      <c r="D7" s="301"/>
      <c r="E7" s="309">
        <v>631600</v>
      </c>
      <c r="F7" s="512" t="s">
        <v>286</v>
      </c>
      <c r="G7" s="500"/>
      <c r="H7" s="500"/>
      <c r="I7" s="310"/>
      <c r="J7" s="311">
        <f>SUM(J5:J6)</f>
        <v>4343865</v>
      </c>
    </row>
    <row r="8" spans="1:10" ht="15.75" thickBot="1">
      <c r="A8" s="477" t="s">
        <v>284</v>
      </c>
      <c r="B8" s="478"/>
      <c r="C8" s="478"/>
      <c r="D8" s="301"/>
      <c r="E8" s="309">
        <f>19050+901700+26025+25400+13208+138900+90000+50800+50800+38100+40298+59004+26416+26416+53732+50800+39624+53732+25400+38100+25400+25400+23808+30950+25400+69450+45000+19050+29502</f>
        <v>2061465</v>
      </c>
      <c r="F8" s="521" t="s">
        <v>287</v>
      </c>
      <c r="G8" s="521"/>
      <c r="H8" s="521"/>
      <c r="I8" s="312"/>
      <c r="J8" s="313"/>
    </row>
    <row r="9" spans="1:10" ht="15.75">
      <c r="A9" s="487" t="s">
        <v>422</v>
      </c>
      <c r="B9" s="488"/>
      <c r="C9" s="488"/>
      <c r="D9" s="301"/>
      <c r="E9" s="308">
        <v>60035</v>
      </c>
      <c r="F9" s="517" t="s">
        <v>288</v>
      </c>
      <c r="G9" s="517"/>
      <c r="H9" s="517"/>
      <c r="I9" s="308"/>
      <c r="J9" s="314">
        <f>36325+54215+144085+54215+52490+37000+54220+54215+44790+146300+54220+54220+36325+57565+146300</f>
        <v>1026485</v>
      </c>
    </row>
    <row r="10" spans="1:10" ht="15.75">
      <c r="A10" s="477" t="s">
        <v>423</v>
      </c>
      <c r="B10" s="478"/>
      <c r="C10" s="478"/>
      <c r="D10" s="301"/>
      <c r="E10" s="309">
        <v>126000</v>
      </c>
      <c r="F10" s="518" t="s">
        <v>289</v>
      </c>
      <c r="G10" s="518"/>
      <c r="H10" s="518"/>
      <c r="I10" s="308"/>
      <c r="J10" s="314">
        <f>22705+378000+95000+22705+22705</f>
        <v>541115</v>
      </c>
    </row>
    <row r="11" spans="1:10" ht="15.75">
      <c r="A11" s="377"/>
      <c r="B11" s="378"/>
      <c r="C11" s="378" t="s">
        <v>424</v>
      </c>
      <c r="D11" s="301"/>
      <c r="E11" s="309">
        <v>243000</v>
      </c>
      <c r="F11" s="518" t="s">
        <v>291</v>
      </c>
      <c r="G11" s="518"/>
      <c r="H11" s="518"/>
      <c r="I11" s="308"/>
      <c r="J11" s="314">
        <f>29845+29845</f>
        <v>59690</v>
      </c>
    </row>
    <row r="12" spans="1:10" ht="15.75">
      <c r="A12" s="477" t="s">
        <v>425</v>
      </c>
      <c r="B12" s="478"/>
      <c r="C12" s="478"/>
      <c r="D12" s="301"/>
      <c r="E12" s="309">
        <v>75000</v>
      </c>
      <c r="F12" s="518" t="s">
        <v>292</v>
      </c>
      <c r="G12" s="518"/>
      <c r="H12" s="518"/>
      <c r="I12" s="308"/>
      <c r="J12" s="314">
        <f>35000+35000+35000+35000+35000+35000+35000+35000+35000+35000</f>
        <v>350000</v>
      </c>
    </row>
    <row r="13" spans="1:10" ht="15.75">
      <c r="A13" s="477" t="s">
        <v>426</v>
      </c>
      <c r="B13" s="478"/>
      <c r="C13" s="478"/>
      <c r="D13" s="301"/>
      <c r="E13" s="309">
        <v>78075</v>
      </c>
      <c r="F13" s="381"/>
      <c r="G13" s="381"/>
      <c r="H13" s="381" t="s">
        <v>427</v>
      </c>
      <c r="I13" s="308"/>
      <c r="J13" s="314">
        <v>40000</v>
      </c>
    </row>
    <row r="14" spans="1:10" ht="16.5" thickBot="1">
      <c r="A14" s="510"/>
      <c r="B14" s="511"/>
      <c r="C14" s="511"/>
      <c r="D14" s="301"/>
      <c r="E14" s="399"/>
      <c r="F14" s="381"/>
      <c r="G14" s="381"/>
      <c r="H14" s="381" t="s">
        <v>428</v>
      </c>
      <c r="I14" s="308"/>
      <c r="J14" s="314">
        <v>20000</v>
      </c>
    </row>
    <row r="15" spans="1:10" ht="15">
      <c r="A15" s="512" t="s">
        <v>286</v>
      </c>
      <c r="B15" s="500"/>
      <c r="C15" s="500"/>
      <c r="D15" s="299"/>
      <c r="E15" s="311">
        <f>SUM(E4:E14)</f>
        <v>13952166</v>
      </c>
      <c r="F15" s="513" t="s">
        <v>429</v>
      </c>
      <c r="G15" s="514"/>
      <c r="H15" s="514"/>
      <c r="I15" s="315"/>
      <c r="J15" s="314">
        <v>11980</v>
      </c>
    </row>
    <row r="16" spans="1:10" ht="15">
      <c r="A16" s="515"/>
      <c r="B16" s="516"/>
      <c r="C16" s="516"/>
      <c r="D16" s="301"/>
      <c r="E16" s="328"/>
      <c r="F16" s="478" t="s">
        <v>295</v>
      </c>
      <c r="G16" s="478"/>
      <c r="H16" s="478"/>
      <c r="I16" s="308"/>
      <c r="J16" s="314">
        <f>26475+11130+25570+24155+8005+10000+10000+10000+10000+14390+15640+20005+10000+19330+19000+12000+51250+10035+10045+10000+10000+26880+42845+10000+7060+10000+7000+15065+15560+25265</f>
        <v>496705</v>
      </c>
    </row>
    <row r="17" spans="1:10" ht="15.75" thickBot="1">
      <c r="A17" s="506" t="s">
        <v>287</v>
      </c>
      <c r="B17" s="507"/>
      <c r="C17" s="507"/>
      <c r="D17" s="301"/>
      <c r="E17" s="309"/>
      <c r="F17" s="478" t="s">
        <v>308</v>
      </c>
      <c r="G17" s="478"/>
      <c r="H17" s="478"/>
      <c r="I17" s="308"/>
      <c r="J17" s="314">
        <v>4560</v>
      </c>
    </row>
    <row r="18" spans="1:10" ht="15">
      <c r="A18" s="508" t="s">
        <v>290</v>
      </c>
      <c r="B18" s="509"/>
      <c r="C18" s="509"/>
      <c r="D18" s="301"/>
      <c r="E18" s="314">
        <f>2778292+1097648+138233+2632649+1186428+44222+51002+12967+2624645+1156978</f>
        <v>11723064</v>
      </c>
      <c r="F18" s="478" t="s">
        <v>298</v>
      </c>
      <c r="G18" s="478"/>
      <c r="H18" s="478"/>
      <c r="I18" s="308"/>
      <c r="J18" s="314">
        <f>4995+8500+4590+152400+49155+25045+1280+8270+1645+6420+31200+950+99000+6890+4030+16515+8140+2470+4550+2745+3300+7790+1250+50385+6000+12000+2000+2800+2290+9180+7500+1645+2950+800+6770+9900</f>
        <v>565350</v>
      </c>
    </row>
    <row r="19" spans="1:10" ht="15">
      <c r="A19" s="487" t="s">
        <v>289</v>
      </c>
      <c r="B19" s="488"/>
      <c r="C19" s="488"/>
      <c r="D19" s="301"/>
      <c r="E19" s="309">
        <v>296000</v>
      </c>
      <c r="F19" s="477" t="s">
        <v>430</v>
      </c>
      <c r="G19" s="478"/>
      <c r="H19" s="478"/>
      <c r="I19" s="308"/>
      <c r="J19" s="314">
        <v>33000</v>
      </c>
    </row>
    <row r="20" spans="1:10" ht="15">
      <c r="A20" s="487" t="s">
        <v>293</v>
      </c>
      <c r="B20" s="488"/>
      <c r="C20" s="488"/>
      <c r="D20" s="301"/>
      <c r="E20" s="314">
        <f>615000+480000+505000+903000+540000</f>
        <v>3043000</v>
      </c>
      <c r="F20" s="478" t="s">
        <v>304</v>
      </c>
      <c r="G20" s="478"/>
      <c r="H20" s="478"/>
      <c r="I20" s="308"/>
      <c r="J20" s="314">
        <f>1185+805+42625</f>
        <v>44615</v>
      </c>
    </row>
    <row r="21" spans="1:10" ht="15">
      <c r="A21" s="487" t="s">
        <v>294</v>
      </c>
      <c r="B21" s="488"/>
      <c r="C21" s="488"/>
      <c r="D21" s="301"/>
      <c r="E21" s="314">
        <f>48893+17555+5670+12182+60550+96582+12814+28755+11361+9400+24370+12261+11461+27990+437280+165+12121+3611+12435+1599+1390+46822+17980+6753+37088+53661</f>
        <v>1010749</v>
      </c>
      <c r="F21" s="477" t="s">
        <v>431</v>
      </c>
      <c r="G21" s="478"/>
      <c r="H21" s="478"/>
      <c r="I21" s="308"/>
      <c r="J21" s="314">
        <f>107065+110000</f>
        <v>217065</v>
      </c>
    </row>
    <row r="22" spans="1:10" ht="15">
      <c r="A22" s="379"/>
      <c r="B22" s="380"/>
      <c r="C22" s="380" t="s">
        <v>432</v>
      </c>
      <c r="D22" s="301"/>
      <c r="E22" s="314">
        <f>1750000+1750000+3500000</f>
        <v>7000000</v>
      </c>
      <c r="F22" s="478" t="s">
        <v>305</v>
      </c>
      <c r="G22" s="478"/>
      <c r="H22" s="478"/>
      <c r="I22" s="308"/>
      <c r="J22" s="314">
        <f>40300+37250</f>
        <v>77550</v>
      </c>
    </row>
    <row r="23" spans="1:10" ht="15">
      <c r="A23" s="379"/>
      <c r="B23" s="380"/>
      <c r="C23" s="380" t="s">
        <v>433</v>
      </c>
      <c r="D23" s="301"/>
      <c r="E23" s="314">
        <v>80923</v>
      </c>
      <c r="F23" s="477" t="s">
        <v>434</v>
      </c>
      <c r="G23" s="478"/>
      <c r="H23" s="478"/>
      <c r="I23" s="308"/>
      <c r="J23" s="314">
        <v>130000</v>
      </c>
    </row>
    <row r="24" spans="1:10" ht="15">
      <c r="A24" s="379"/>
      <c r="B24" s="380"/>
      <c r="C24" s="380" t="s">
        <v>306</v>
      </c>
      <c r="D24" s="301"/>
      <c r="E24" s="314">
        <f>91889+154+1317+33705+24700+154+249+28724+248+19459+3314</f>
        <v>203913</v>
      </c>
      <c r="F24" s="477" t="s">
        <v>435</v>
      </c>
      <c r="G24" s="478"/>
      <c r="H24" s="478"/>
      <c r="I24" s="308"/>
      <c r="J24" s="314">
        <v>28600</v>
      </c>
    </row>
    <row r="25" spans="1:10" ht="15">
      <c r="A25" s="379"/>
      <c r="B25" s="380"/>
      <c r="C25" s="380" t="s">
        <v>436</v>
      </c>
      <c r="D25" s="301"/>
      <c r="E25" s="314">
        <v>49530</v>
      </c>
      <c r="F25" s="477" t="s">
        <v>437</v>
      </c>
      <c r="G25" s="478"/>
      <c r="H25" s="478"/>
      <c r="I25" s="308"/>
      <c r="J25" s="314">
        <v>5950</v>
      </c>
    </row>
    <row r="26" spans="1:10" ht="15">
      <c r="A26" s="487" t="s">
        <v>296</v>
      </c>
      <c r="B26" s="488"/>
      <c r="C26" s="488"/>
      <c r="D26" s="301"/>
      <c r="E26" s="314">
        <f>7014+7070+7063</f>
        <v>21147</v>
      </c>
      <c r="F26" s="477" t="s">
        <v>438</v>
      </c>
      <c r="G26" s="478"/>
      <c r="H26" s="478"/>
      <c r="I26" s="308"/>
      <c r="J26" s="314">
        <v>10000</v>
      </c>
    </row>
    <row r="27" spans="1:10" ht="15">
      <c r="A27" s="379"/>
      <c r="B27" s="380"/>
      <c r="C27" s="380" t="s">
        <v>439</v>
      </c>
      <c r="D27" s="301"/>
      <c r="E27" s="314">
        <f>899991+599994+201103</f>
        <v>1701088</v>
      </c>
      <c r="F27" s="477" t="s">
        <v>440</v>
      </c>
      <c r="G27" s="478"/>
      <c r="H27" s="478"/>
      <c r="I27" s="308"/>
      <c r="J27" s="314">
        <v>1700</v>
      </c>
    </row>
    <row r="28" spans="1:10" ht="15.75" thickBot="1">
      <c r="A28" s="487" t="s">
        <v>441</v>
      </c>
      <c r="B28" s="488"/>
      <c r="C28" s="488"/>
      <c r="D28" s="301"/>
      <c r="E28" s="314">
        <v>28971</v>
      </c>
      <c r="F28" s="478" t="s">
        <v>442</v>
      </c>
      <c r="G28" s="478"/>
      <c r="H28" s="478"/>
      <c r="I28" s="308"/>
      <c r="J28" s="314">
        <f>9870+42405+3510+21795+22900+18240+2980+3005+20655+11415+4130+10785</f>
        <v>171690</v>
      </c>
    </row>
    <row r="29" spans="1:10" ht="15">
      <c r="A29" s="477" t="s">
        <v>297</v>
      </c>
      <c r="B29" s="478"/>
      <c r="C29" s="478"/>
      <c r="D29" s="301"/>
      <c r="E29" s="314">
        <v>17600</v>
      </c>
      <c r="F29" s="500" t="s">
        <v>310</v>
      </c>
      <c r="G29" s="500"/>
      <c r="H29" s="500"/>
      <c r="I29" s="308"/>
      <c r="J29" s="400">
        <f>SUM(J9:J28)</f>
        <v>3836055</v>
      </c>
    </row>
    <row r="30" spans="1:10" ht="15.75" thickBot="1">
      <c r="A30" s="501" t="s">
        <v>299</v>
      </c>
      <c r="B30" s="502"/>
      <c r="C30" s="502"/>
      <c r="D30" s="301"/>
      <c r="E30" s="314">
        <v>1153270</v>
      </c>
      <c r="F30" s="503" t="s">
        <v>443</v>
      </c>
      <c r="G30" s="503"/>
      <c r="H30" s="503"/>
      <c r="I30" s="401">
        <f>I3+J7-J29</f>
        <v>900935</v>
      </c>
      <c r="J30" s="402"/>
    </row>
    <row r="31" spans="1:10" ht="15.75">
      <c r="A31" s="498" t="s">
        <v>339</v>
      </c>
      <c r="B31" s="499"/>
      <c r="C31" s="499"/>
      <c r="D31" s="301"/>
      <c r="E31" s="314">
        <f>3582+64317</f>
        <v>67899</v>
      </c>
      <c r="F31" s="504"/>
      <c r="G31" s="505"/>
      <c r="H31" s="505"/>
      <c r="I31" s="308"/>
      <c r="J31" s="403"/>
    </row>
    <row r="32" spans="1:10" ht="15.75">
      <c r="A32" s="498" t="s">
        <v>300</v>
      </c>
      <c r="B32" s="499"/>
      <c r="C32" s="499"/>
      <c r="D32" s="301"/>
      <c r="E32" s="314">
        <f>222555+257542+58000</f>
        <v>538097</v>
      </c>
      <c r="F32" s="404"/>
      <c r="G32" s="404"/>
      <c r="H32" s="404"/>
      <c r="I32" s="308"/>
      <c r="J32" s="403"/>
    </row>
    <row r="33" spans="1:10" ht="15.75">
      <c r="A33" s="498" t="s">
        <v>301</v>
      </c>
      <c r="B33" s="499"/>
      <c r="C33" s="499"/>
      <c r="D33" s="301"/>
      <c r="E33" s="314">
        <f>154200+92220+86900</f>
        <v>333320</v>
      </c>
      <c r="F33" s="384" t="s">
        <v>314</v>
      </c>
      <c r="G33" s="385"/>
      <c r="H33" s="385"/>
      <c r="I33" s="317"/>
      <c r="J33" s="318"/>
    </row>
    <row r="34" spans="1:10" ht="15.75">
      <c r="A34" s="498" t="s">
        <v>444</v>
      </c>
      <c r="B34" s="499"/>
      <c r="C34" s="499"/>
      <c r="D34" s="301"/>
      <c r="E34" s="314">
        <v>40000</v>
      </c>
      <c r="F34" s="386" t="s">
        <v>316</v>
      </c>
      <c r="G34" s="387"/>
      <c r="H34" s="387"/>
      <c r="I34" s="301"/>
      <c r="J34" s="309">
        <f>D84</f>
        <v>12026872</v>
      </c>
    </row>
    <row r="35" spans="1:10" ht="15.75">
      <c r="A35" s="382"/>
      <c r="B35" s="383"/>
      <c r="C35" s="383" t="s">
        <v>445</v>
      </c>
      <c r="D35" s="301"/>
      <c r="E35" s="314">
        <f>500000+200000</f>
        <v>700000</v>
      </c>
      <c r="F35" s="386" t="s">
        <v>318</v>
      </c>
      <c r="G35" s="387"/>
      <c r="H35" s="387"/>
      <c r="I35" s="301"/>
      <c r="J35" s="309">
        <f>D103</f>
        <v>1000000</v>
      </c>
    </row>
    <row r="36" spans="1:10" ht="15">
      <c r="A36" s="487" t="s">
        <v>302</v>
      </c>
      <c r="B36" s="488"/>
      <c r="C36" s="488"/>
      <c r="D36" s="301"/>
      <c r="E36" s="314">
        <f>120000+30000+30000+110000</f>
        <v>290000</v>
      </c>
      <c r="F36" s="386" t="s">
        <v>278</v>
      </c>
      <c r="G36" s="387"/>
      <c r="H36" s="387"/>
      <c r="I36" s="301"/>
      <c r="J36" s="309">
        <f>I30</f>
        <v>900935</v>
      </c>
    </row>
    <row r="37" spans="1:10" ht="15.75">
      <c r="A37" s="487" t="s">
        <v>303</v>
      </c>
      <c r="B37" s="488"/>
      <c r="C37" s="488"/>
      <c r="D37" s="301"/>
      <c r="E37" s="314">
        <v>13696</v>
      </c>
      <c r="F37" s="388" t="s">
        <v>319</v>
      </c>
      <c r="G37" s="389"/>
      <c r="H37" s="389"/>
      <c r="I37" s="301"/>
      <c r="J37" s="309">
        <v>0</v>
      </c>
    </row>
    <row r="38" spans="1:10" ht="15.75">
      <c r="A38" s="477" t="s">
        <v>112</v>
      </c>
      <c r="B38" s="478"/>
      <c r="C38" s="478"/>
      <c r="D38" s="301"/>
      <c r="E38" s="403">
        <f>42371+21502+25547</f>
        <v>89420</v>
      </c>
      <c r="F38" s="388" t="s">
        <v>320</v>
      </c>
      <c r="G38" s="389"/>
      <c r="H38" s="389"/>
      <c r="I38" s="301"/>
      <c r="J38" s="309">
        <v>0</v>
      </c>
    </row>
    <row r="39" spans="1:10" ht="15.75">
      <c r="A39" s="377"/>
      <c r="B39" s="301"/>
      <c r="C39" s="378" t="s">
        <v>446</v>
      </c>
      <c r="D39" s="301"/>
      <c r="E39" s="403">
        <v>10452</v>
      </c>
      <c r="F39" s="388" t="s">
        <v>321</v>
      </c>
      <c r="G39" s="389"/>
      <c r="H39" s="389"/>
      <c r="I39" s="301"/>
      <c r="J39" s="309">
        <f>D93</f>
        <v>0</v>
      </c>
    </row>
    <row r="40" spans="1:10" ht="15">
      <c r="A40" s="477" t="s">
        <v>298</v>
      </c>
      <c r="B40" s="478"/>
      <c r="C40" s="478"/>
      <c r="D40" s="301"/>
      <c r="E40" s="403">
        <f>81632+16110+50505+26864+36195+34290+6600+12600+45955+27305+114300</f>
        <v>452356</v>
      </c>
      <c r="F40" s="386" t="s">
        <v>322</v>
      </c>
      <c r="G40" s="387"/>
      <c r="H40" s="387"/>
      <c r="I40" s="301"/>
      <c r="J40" s="309">
        <v>361050</v>
      </c>
    </row>
    <row r="41" spans="1:10" ht="15">
      <c r="A41" s="377"/>
      <c r="B41" s="378"/>
      <c r="C41" s="378" t="s">
        <v>447</v>
      </c>
      <c r="D41" s="301"/>
      <c r="E41" s="403">
        <v>24005</v>
      </c>
      <c r="F41" s="386" t="s">
        <v>324</v>
      </c>
      <c r="G41" s="387"/>
      <c r="H41" s="387"/>
      <c r="I41" s="301"/>
      <c r="J41" s="309">
        <v>205200</v>
      </c>
    </row>
    <row r="42" spans="1:10" ht="15">
      <c r="A42" s="477" t="s">
        <v>448</v>
      </c>
      <c r="B42" s="478"/>
      <c r="C42" s="478"/>
      <c r="D42" s="301"/>
      <c r="E42" s="403">
        <v>18322</v>
      </c>
      <c r="F42" s="386" t="s">
        <v>325</v>
      </c>
      <c r="G42" s="387"/>
      <c r="H42" s="387"/>
      <c r="I42" s="301"/>
      <c r="J42" s="309">
        <v>3000</v>
      </c>
    </row>
    <row r="43" spans="1:10" ht="15">
      <c r="A43" s="377"/>
      <c r="B43" s="301"/>
      <c r="C43" s="378" t="s">
        <v>449</v>
      </c>
      <c r="D43" s="301"/>
      <c r="E43" s="403">
        <f>29972+30988</f>
        <v>60960</v>
      </c>
      <c r="F43" s="386" t="s">
        <v>327</v>
      </c>
      <c r="G43" s="387"/>
      <c r="H43" s="387"/>
      <c r="I43" s="301"/>
      <c r="J43" s="309">
        <f>D98</f>
        <v>0</v>
      </c>
    </row>
    <row r="44" spans="1:10" ht="15">
      <c r="A44" s="487" t="s">
        <v>307</v>
      </c>
      <c r="B44" s="488"/>
      <c r="C44" s="488"/>
      <c r="D44" s="301"/>
      <c r="E44" s="308">
        <f>31750+25400</f>
        <v>57150</v>
      </c>
      <c r="F44" s="386" t="s">
        <v>328</v>
      </c>
      <c r="G44" s="387"/>
      <c r="H44" s="387"/>
      <c r="I44" s="301"/>
      <c r="J44" s="309">
        <v>3457</v>
      </c>
    </row>
    <row r="45" spans="1:10" ht="15">
      <c r="A45" s="477" t="s">
        <v>450</v>
      </c>
      <c r="B45" s="478"/>
      <c r="C45" s="478"/>
      <c r="D45" s="301"/>
      <c r="E45" s="308">
        <v>30000</v>
      </c>
      <c r="F45" s="386" t="s">
        <v>329</v>
      </c>
      <c r="G45" s="387"/>
      <c r="H45" s="387"/>
      <c r="I45" s="301"/>
      <c r="J45" s="309">
        <v>0</v>
      </c>
    </row>
    <row r="46" spans="1:10" ht="15">
      <c r="A46" s="477" t="s">
        <v>309</v>
      </c>
      <c r="B46" s="478"/>
      <c r="C46" s="478"/>
      <c r="D46" s="301"/>
      <c r="E46" s="403">
        <f>1273+722+628+9901</f>
        <v>12524</v>
      </c>
      <c r="F46" s="386" t="s">
        <v>331</v>
      </c>
      <c r="G46" s="387"/>
      <c r="H46" s="387"/>
      <c r="I46" s="301"/>
      <c r="J46" s="309">
        <v>0</v>
      </c>
    </row>
    <row r="47" spans="1:10" ht="15">
      <c r="A47" s="487" t="s">
        <v>311</v>
      </c>
      <c r="B47" s="488"/>
      <c r="C47" s="488"/>
      <c r="D47" s="301"/>
      <c r="E47" s="403">
        <v>7620</v>
      </c>
      <c r="F47" s="386" t="s">
        <v>333</v>
      </c>
      <c r="G47" s="387"/>
      <c r="H47" s="387"/>
      <c r="I47" s="301"/>
      <c r="J47" s="309">
        <v>3000</v>
      </c>
    </row>
    <row r="48" spans="1:10" ht="15">
      <c r="A48" s="487" t="s">
        <v>323</v>
      </c>
      <c r="B48" s="488"/>
      <c r="C48" s="488"/>
      <c r="D48" s="301"/>
      <c r="E48" s="308">
        <v>225000</v>
      </c>
      <c r="F48" s="386" t="s">
        <v>334</v>
      </c>
      <c r="G48" s="387"/>
      <c r="H48" s="387"/>
      <c r="I48" s="301"/>
      <c r="J48" s="309">
        <v>0</v>
      </c>
    </row>
    <row r="49" spans="1:10" ht="15">
      <c r="A49" s="496" t="s">
        <v>312</v>
      </c>
      <c r="B49" s="497"/>
      <c r="C49" s="497"/>
      <c r="D49" s="316"/>
      <c r="E49" s="403">
        <f>4935+4935</f>
        <v>9870</v>
      </c>
      <c r="F49" s="386" t="s">
        <v>335</v>
      </c>
      <c r="G49" s="387"/>
      <c r="H49" s="387"/>
      <c r="I49" s="301"/>
      <c r="J49" s="309">
        <v>0</v>
      </c>
    </row>
    <row r="50" spans="1:10" ht="15">
      <c r="A50" s="487" t="s">
        <v>313</v>
      </c>
      <c r="B50" s="488"/>
      <c r="C50" s="488"/>
      <c r="D50" s="301"/>
      <c r="E50" s="403">
        <f>85952+50222+8640+19440+1890+2972+1355+1433+1355+2972+1890+19440+8640+50222+1433</f>
        <v>257856</v>
      </c>
      <c r="F50" s="386" t="s">
        <v>336</v>
      </c>
      <c r="G50" s="387"/>
      <c r="H50" s="387"/>
      <c r="I50" s="301"/>
      <c r="J50" s="309">
        <v>0</v>
      </c>
    </row>
    <row r="51" spans="1:10" ht="15">
      <c r="A51" s="487" t="s">
        <v>315</v>
      </c>
      <c r="B51" s="488"/>
      <c r="C51" s="488"/>
      <c r="D51" s="301"/>
      <c r="E51" s="314">
        <f>43895+43895+43895+17388</f>
        <v>149073</v>
      </c>
      <c r="F51" s="386" t="s">
        <v>337</v>
      </c>
      <c r="G51" s="387"/>
      <c r="H51" s="387"/>
      <c r="I51" s="301"/>
      <c r="J51" s="309">
        <v>1531430</v>
      </c>
    </row>
    <row r="52" spans="1:10" ht="15">
      <c r="A52" s="487" t="s">
        <v>317</v>
      </c>
      <c r="B52" s="488"/>
      <c r="C52" s="488"/>
      <c r="D52" s="301"/>
      <c r="E52" s="314">
        <v>239998</v>
      </c>
      <c r="F52" s="485" t="s">
        <v>338</v>
      </c>
      <c r="G52" s="486"/>
      <c r="H52" s="486"/>
      <c r="I52" s="301"/>
      <c r="J52" s="309">
        <v>4147318</v>
      </c>
    </row>
    <row r="53" spans="1:10" ht="15">
      <c r="A53" s="487" t="s">
        <v>451</v>
      </c>
      <c r="B53" s="488"/>
      <c r="C53" s="488"/>
      <c r="D53" s="301"/>
      <c r="E53" s="314">
        <v>59775</v>
      </c>
      <c r="F53" s="485" t="s">
        <v>340</v>
      </c>
      <c r="G53" s="486"/>
      <c r="H53" s="486"/>
      <c r="I53" s="301"/>
      <c r="J53" s="309">
        <v>4942262</v>
      </c>
    </row>
    <row r="54" spans="1:10" ht="15">
      <c r="A54" s="377"/>
      <c r="B54" s="378"/>
      <c r="C54" s="378" t="s">
        <v>452</v>
      </c>
      <c r="D54" s="301"/>
      <c r="E54" s="314">
        <f>3148900+1545405</f>
        <v>4694305</v>
      </c>
      <c r="F54" s="485" t="s">
        <v>341</v>
      </c>
      <c r="G54" s="486"/>
      <c r="H54" s="486"/>
      <c r="I54" s="301"/>
      <c r="J54" s="309">
        <v>0</v>
      </c>
    </row>
    <row r="55" spans="1:10" ht="15">
      <c r="A55" s="377"/>
      <c r="B55" s="378"/>
      <c r="C55" s="378" t="s">
        <v>453</v>
      </c>
      <c r="D55" s="301"/>
      <c r="E55" s="314">
        <v>12700</v>
      </c>
      <c r="F55" s="485" t="s">
        <v>342</v>
      </c>
      <c r="G55" s="486"/>
      <c r="H55" s="486"/>
      <c r="I55" s="301"/>
      <c r="J55" s="309">
        <f>D110</f>
        <v>0</v>
      </c>
    </row>
    <row r="56" spans="1:10" ht="15">
      <c r="A56" s="377"/>
      <c r="B56" s="378"/>
      <c r="C56" s="378" t="s">
        <v>454</v>
      </c>
      <c r="D56" s="301"/>
      <c r="E56" s="314">
        <v>134500</v>
      </c>
      <c r="F56" s="485" t="s">
        <v>343</v>
      </c>
      <c r="G56" s="486"/>
      <c r="H56" s="486"/>
      <c r="I56" s="301"/>
      <c r="J56" s="309">
        <v>8188437</v>
      </c>
    </row>
    <row r="57" spans="1:10" ht="15.75">
      <c r="A57" s="377"/>
      <c r="B57" s="378"/>
      <c r="C57" s="378" t="s">
        <v>455</v>
      </c>
      <c r="D57" s="301"/>
      <c r="E57" s="314">
        <v>188529</v>
      </c>
      <c r="F57" s="489" t="s">
        <v>344</v>
      </c>
      <c r="G57" s="490"/>
      <c r="H57" s="490"/>
      <c r="I57" s="301"/>
      <c r="J57" s="309">
        <v>1</v>
      </c>
    </row>
    <row r="58" spans="1:10" ht="15.75">
      <c r="A58" s="377"/>
      <c r="B58" s="378"/>
      <c r="C58" s="378" t="s">
        <v>456</v>
      </c>
      <c r="D58" s="301"/>
      <c r="E58" s="314">
        <v>55626</v>
      </c>
      <c r="F58" s="489" t="s">
        <v>345</v>
      </c>
      <c r="G58" s="490"/>
      <c r="H58" s="490"/>
      <c r="I58" s="301"/>
      <c r="J58" s="309">
        <v>1118787</v>
      </c>
    </row>
    <row r="59" spans="1:10" ht="15">
      <c r="A59" s="377"/>
      <c r="B59" s="378"/>
      <c r="C59" s="378" t="s">
        <v>457</v>
      </c>
      <c r="D59" s="301"/>
      <c r="E59" s="314">
        <f>20000+20000</f>
        <v>40000</v>
      </c>
      <c r="F59" s="491" t="s">
        <v>346</v>
      </c>
      <c r="G59" s="492"/>
      <c r="H59" s="492"/>
      <c r="I59"/>
      <c r="J59" s="309">
        <v>387476</v>
      </c>
    </row>
    <row r="60" spans="1:10" ht="15">
      <c r="A60" s="377"/>
      <c r="B60" s="378"/>
      <c r="C60" s="378" t="s">
        <v>458</v>
      </c>
      <c r="D60" s="301"/>
      <c r="E60" s="314">
        <v>127000</v>
      </c>
      <c r="F60" s="485" t="s">
        <v>347</v>
      </c>
      <c r="G60" s="493"/>
      <c r="H60" s="493"/>
      <c r="I60"/>
      <c r="J60" s="309">
        <v>451191</v>
      </c>
    </row>
    <row r="61" spans="1:10" ht="15">
      <c r="A61" s="377"/>
      <c r="B61" s="378"/>
      <c r="C61" s="378" t="s">
        <v>459</v>
      </c>
      <c r="D61" s="301"/>
      <c r="E61" s="314">
        <v>13081</v>
      </c>
      <c r="F61" s="485" t="s">
        <v>348</v>
      </c>
      <c r="G61" s="493"/>
      <c r="H61" s="493"/>
      <c r="I61"/>
      <c r="J61" s="309">
        <v>0</v>
      </c>
    </row>
    <row r="62" spans="1:10" ht="16.5" thickBot="1">
      <c r="A62" s="477" t="s">
        <v>460</v>
      </c>
      <c r="B62" s="478"/>
      <c r="C62" s="478"/>
      <c r="D62" s="301"/>
      <c r="E62" s="309">
        <v>158000</v>
      </c>
      <c r="F62" s="494" t="s">
        <v>349</v>
      </c>
      <c r="G62" s="495"/>
      <c r="H62" s="495"/>
      <c r="I62"/>
      <c r="J62" s="309">
        <v>0</v>
      </c>
    </row>
    <row r="63" spans="1:10" ht="15.75" thickBot="1">
      <c r="A63" s="477" t="s">
        <v>461</v>
      </c>
      <c r="B63" s="478"/>
      <c r="C63" s="478"/>
      <c r="D63" s="301"/>
      <c r="E63" s="309">
        <f>481965+7110+50800+62230+320000</f>
        <v>922105</v>
      </c>
      <c r="F63" s="483" t="s">
        <v>462</v>
      </c>
      <c r="G63" s="484"/>
      <c r="H63" s="484"/>
      <c r="I63" s="405"/>
      <c r="J63" s="406">
        <f>SUM(J34:J62)</f>
        <v>35270416</v>
      </c>
    </row>
    <row r="64" spans="1:10" ht="15">
      <c r="A64" s="487" t="s">
        <v>463</v>
      </c>
      <c r="B64" s="488"/>
      <c r="C64" s="488"/>
      <c r="D64" s="123"/>
      <c r="E64" s="314">
        <v>82372</v>
      </c>
      <c r="F64" s="485"/>
      <c r="G64" s="486"/>
      <c r="H64" s="486"/>
      <c r="I64" s="301"/>
      <c r="J64" s="310"/>
    </row>
    <row r="65" spans="1:10" ht="15">
      <c r="A65" s="477" t="s">
        <v>464</v>
      </c>
      <c r="B65" s="478"/>
      <c r="C65" s="478"/>
      <c r="D65" s="301"/>
      <c r="E65" s="314">
        <f>215750+175372</f>
        <v>391122</v>
      </c>
      <c r="F65" s="485"/>
      <c r="G65" s="486"/>
      <c r="H65" s="486"/>
      <c r="I65" s="301"/>
      <c r="J65" s="308"/>
    </row>
    <row r="66" spans="1:10" ht="15">
      <c r="A66" s="377"/>
      <c r="B66" s="378"/>
      <c r="C66" s="378" t="s">
        <v>465</v>
      </c>
      <c r="D66" s="301"/>
      <c r="E66" s="314">
        <v>30510</v>
      </c>
      <c r="F66" s="485"/>
      <c r="G66" s="486"/>
      <c r="H66" s="486"/>
      <c r="I66" s="301"/>
      <c r="J66" s="308"/>
    </row>
    <row r="67" spans="1:10" ht="15">
      <c r="A67" s="377"/>
      <c r="B67" s="378"/>
      <c r="C67" s="378" t="s">
        <v>466</v>
      </c>
      <c r="D67" s="301"/>
      <c r="E67" s="314">
        <v>127000</v>
      </c>
      <c r="F67" s="386"/>
      <c r="G67" s="387"/>
      <c r="H67" s="387"/>
      <c r="I67" s="301"/>
      <c r="J67" s="308"/>
    </row>
    <row r="68" spans="1:10" ht="15">
      <c r="A68" s="477" t="s">
        <v>330</v>
      </c>
      <c r="B68" s="478"/>
      <c r="C68" s="478"/>
      <c r="D68" s="301"/>
      <c r="E68" s="314">
        <f>4100+12299+4100+12299+12299+4100</f>
        <v>49197</v>
      </c>
      <c r="F68" s="485"/>
      <c r="G68" s="486"/>
      <c r="H68" s="486"/>
      <c r="I68" s="301"/>
      <c r="J68" s="308"/>
    </row>
    <row r="69" spans="1:10" ht="15">
      <c r="A69" s="477" t="s">
        <v>332</v>
      </c>
      <c r="B69" s="478"/>
      <c r="C69" s="478"/>
      <c r="D69" s="301"/>
      <c r="E69" s="314">
        <f>7730+1921+6531+1906+1920+8366+5172+2047+2047+2032</f>
        <v>39672</v>
      </c>
      <c r="F69"/>
      <c r="G69"/>
      <c r="H69"/>
      <c r="I69"/>
      <c r="J69"/>
    </row>
    <row r="70" spans="1:10" ht="15">
      <c r="A70" s="377"/>
      <c r="B70" s="378"/>
      <c r="C70" s="378" t="s">
        <v>467</v>
      </c>
      <c r="D70" s="301"/>
      <c r="E70" s="314">
        <v>127000</v>
      </c>
      <c r="F70" s="326"/>
      <c r="G70" s="326"/>
      <c r="H70" s="326"/>
      <c r="I70" s="327"/>
      <c r="J70" s="327"/>
    </row>
    <row r="71" spans="1:6" ht="15">
      <c r="A71" s="477" t="s">
        <v>468</v>
      </c>
      <c r="B71" s="478"/>
      <c r="C71" s="478"/>
      <c r="D71" s="301"/>
      <c r="E71" s="314">
        <f>727000+500000</f>
        <v>1227000</v>
      </c>
      <c r="F71" s="123"/>
    </row>
    <row r="72" spans="1:10" ht="15">
      <c r="A72" s="477" t="s">
        <v>469</v>
      </c>
      <c r="B72" s="478"/>
      <c r="C72" s="478"/>
      <c r="D72" s="301"/>
      <c r="E72" s="314">
        <v>9000</v>
      </c>
      <c r="F72"/>
      <c r="G72"/>
      <c r="H72"/>
      <c r="I72"/>
      <c r="J72"/>
    </row>
    <row r="73" spans="1:10" ht="15">
      <c r="A73" s="477" t="s">
        <v>470</v>
      </c>
      <c r="B73" s="478"/>
      <c r="C73" s="478"/>
      <c r="D73" s="301"/>
      <c r="E73" s="314">
        <f>5000+5000</f>
        <v>10000</v>
      </c>
      <c r="F73"/>
      <c r="G73"/>
      <c r="H73"/>
      <c r="I73"/>
      <c r="J73"/>
    </row>
    <row r="74" spans="1:10" ht="15">
      <c r="A74" s="477" t="s">
        <v>471</v>
      </c>
      <c r="B74" s="478"/>
      <c r="C74" s="478"/>
      <c r="D74" s="301"/>
      <c r="E74" s="314">
        <v>53477</v>
      </c>
      <c r="F74"/>
      <c r="G74"/>
      <c r="H74"/>
      <c r="I74"/>
      <c r="J74"/>
    </row>
    <row r="75" spans="1:10" ht="15">
      <c r="A75" s="477" t="s">
        <v>472</v>
      </c>
      <c r="B75" s="478"/>
      <c r="C75" s="478"/>
      <c r="D75" s="301"/>
      <c r="E75" s="314">
        <f>6000+6000</f>
        <v>12000</v>
      </c>
      <c r="F75"/>
      <c r="G75"/>
      <c r="H75"/>
      <c r="I75"/>
      <c r="J75"/>
    </row>
    <row r="76" spans="1:10" ht="15">
      <c r="A76" s="477" t="s">
        <v>473</v>
      </c>
      <c r="B76" s="478"/>
      <c r="C76" s="478"/>
      <c r="D76" s="301"/>
      <c r="E76" s="314">
        <v>7000</v>
      </c>
      <c r="F76"/>
      <c r="G76"/>
      <c r="H76"/>
      <c r="I76"/>
      <c r="J76"/>
    </row>
    <row r="77" spans="1:10" ht="15">
      <c r="A77" s="477" t="s">
        <v>474</v>
      </c>
      <c r="B77" s="478"/>
      <c r="C77" s="478"/>
      <c r="D77" s="301"/>
      <c r="E77" s="314">
        <v>104140</v>
      </c>
      <c r="F77"/>
      <c r="G77"/>
      <c r="H77"/>
      <c r="I77"/>
      <c r="J77"/>
    </row>
    <row r="78" spans="1:10" ht="15">
      <c r="A78" s="477" t="s">
        <v>475</v>
      </c>
      <c r="B78" s="478"/>
      <c r="C78" s="478"/>
      <c r="D78" s="301"/>
      <c r="E78" s="314">
        <v>3048</v>
      </c>
      <c r="F78"/>
      <c r="G78"/>
      <c r="H78"/>
      <c r="I78"/>
      <c r="J78"/>
    </row>
    <row r="79" spans="1:10" ht="15">
      <c r="A79" s="477" t="s">
        <v>476</v>
      </c>
      <c r="B79" s="478"/>
      <c r="C79" s="478"/>
      <c r="D79" s="301"/>
      <c r="E79" s="314">
        <v>72830</v>
      </c>
      <c r="F79"/>
      <c r="G79"/>
      <c r="H79"/>
      <c r="I79"/>
      <c r="J79"/>
    </row>
    <row r="80" spans="1:10" ht="15">
      <c r="A80" s="477" t="s">
        <v>477</v>
      </c>
      <c r="B80" s="478"/>
      <c r="C80" s="478"/>
      <c r="D80" s="301"/>
      <c r="E80" s="314">
        <f>7000+9000+8700+14000</f>
        <v>38700</v>
      </c>
      <c r="F80"/>
      <c r="G80"/>
      <c r="H80"/>
      <c r="I80"/>
      <c r="J80"/>
    </row>
    <row r="81" spans="1:10" ht="15">
      <c r="A81" s="477" t="s">
        <v>478</v>
      </c>
      <c r="B81" s="478"/>
      <c r="C81" s="478"/>
      <c r="D81" s="301"/>
      <c r="E81" s="314">
        <f>72830+200000</f>
        <v>272830</v>
      </c>
      <c r="F81"/>
      <c r="G81"/>
      <c r="H81"/>
      <c r="I81"/>
      <c r="J81"/>
    </row>
    <row r="82" spans="1:10" ht="16.5" thickBot="1">
      <c r="A82" s="479" t="s">
        <v>326</v>
      </c>
      <c r="B82" s="480"/>
      <c r="C82" s="480"/>
      <c r="D82" s="301"/>
      <c r="E82" s="314">
        <f>33905+33520+33645</f>
        <v>101070</v>
      </c>
      <c r="F82"/>
      <c r="G82"/>
      <c r="H82"/>
      <c r="I82"/>
      <c r="J82"/>
    </row>
    <row r="83" spans="1:10" ht="15.75" thickBot="1">
      <c r="A83" s="481" t="s">
        <v>310</v>
      </c>
      <c r="B83" s="482"/>
      <c r="C83" s="482"/>
      <c r="D83" s="407"/>
      <c r="E83" s="408">
        <f>SUM(E18:E82)</f>
        <v>39120462</v>
      </c>
      <c r="F83"/>
      <c r="G83"/>
      <c r="H83"/>
      <c r="I83"/>
      <c r="J83"/>
    </row>
    <row r="84" spans="1:10" ht="15.75" thickBot="1">
      <c r="A84" s="483" t="s">
        <v>443</v>
      </c>
      <c r="B84" s="484"/>
      <c r="C84" s="484"/>
      <c r="D84" s="409">
        <f>D3+E15-E83</f>
        <v>12026872</v>
      </c>
      <c r="E84" s="410"/>
      <c r="F84"/>
      <c r="G84"/>
      <c r="H84"/>
      <c r="I84"/>
      <c r="J84"/>
    </row>
    <row r="85" spans="1:10" ht="15">
      <c r="A85" s="411"/>
      <c r="B85" s="412"/>
      <c r="C85" s="412"/>
      <c r="D85" s="413"/>
      <c r="E85" s="414"/>
      <c r="F85"/>
      <c r="G85"/>
      <c r="H85"/>
      <c r="I85"/>
      <c r="J85"/>
    </row>
    <row r="86" spans="1:10" ht="15">
      <c r="A86" s="473" t="s">
        <v>318</v>
      </c>
      <c r="B86" s="474"/>
      <c r="C86" s="474"/>
      <c r="D86" s="301"/>
      <c r="E86" s="309"/>
      <c r="F86"/>
      <c r="G86"/>
      <c r="H86"/>
      <c r="I86"/>
      <c r="J86"/>
    </row>
    <row r="87" spans="1:10" ht="15">
      <c r="A87" s="374" t="s">
        <v>279</v>
      </c>
      <c r="B87" s="375"/>
      <c r="C87" s="301"/>
      <c r="D87" s="302">
        <v>1000000</v>
      </c>
      <c r="E87" s="303"/>
      <c r="F87"/>
      <c r="G87"/>
      <c r="H87"/>
      <c r="I87"/>
      <c r="J87"/>
    </row>
    <row r="88" spans="1:10" ht="15.75" thickBot="1">
      <c r="A88" s="319" t="s">
        <v>280</v>
      </c>
      <c r="B88" s="320"/>
      <c r="C88" s="320"/>
      <c r="D88" s="304"/>
      <c r="E88" s="306"/>
      <c r="F88"/>
      <c r="G88"/>
      <c r="H88"/>
      <c r="I88"/>
      <c r="J88"/>
    </row>
    <row r="89" spans="1:10" ht="15.75" thickBot="1">
      <c r="A89" s="475" t="s">
        <v>350</v>
      </c>
      <c r="B89" s="476"/>
      <c r="C89" s="476"/>
      <c r="D89" s="376"/>
      <c r="E89" s="321">
        <f>283001+12261+11461+437280+12121+165+27990+3888+3611+12435+1599+1390+46822+17980</f>
        <v>872004</v>
      </c>
      <c r="F89"/>
      <c r="G89"/>
      <c r="H89"/>
      <c r="I89"/>
      <c r="J89"/>
    </row>
    <row r="90" spans="1:10" ht="15">
      <c r="A90" s="528" t="s">
        <v>286</v>
      </c>
      <c r="B90" s="529"/>
      <c r="C90" s="529"/>
      <c r="D90" s="299"/>
      <c r="E90" s="311">
        <f>E89</f>
        <v>872004</v>
      </c>
      <c r="F90"/>
      <c r="G90"/>
      <c r="H90"/>
      <c r="I90"/>
      <c r="J90"/>
    </row>
    <row r="91" spans="1:10" ht="15">
      <c r="A91" s="322"/>
      <c r="D91" s="123"/>
      <c r="E91" s="323"/>
      <c r="F91"/>
      <c r="G91"/>
      <c r="H91"/>
      <c r="I91"/>
      <c r="J91"/>
    </row>
    <row r="92" spans="1:10" ht="15.75" thickBot="1">
      <c r="A92" s="324" t="s">
        <v>287</v>
      </c>
      <c r="B92" s="325"/>
      <c r="C92" s="325"/>
      <c r="D92" s="390"/>
      <c r="E92" s="399"/>
      <c r="F92"/>
      <c r="G92"/>
      <c r="H92"/>
      <c r="I92"/>
      <c r="J92"/>
    </row>
    <row r="93" spans="1:10" ht="15">
      <c r="A93" s="519" t="s">
        <v>295</v>
      </c>
      <c r="B93" s="520"/>
      <c r="C93" s="520"/>
      <c r="D93" s="378"/>
      <c r="E93" s="415">
        <f>48735+12182+4390+12814+6334+12121+12435+10847+10008+10327</f>
        <v>140193</v>
      </c>
      <c r="F93"/>
      <c r="G93"/>
      <c r="H93"/>
      <c r="I93"/>
      <c r="J93"/>
    </row>
    <row r="94" spans="1:10" ht="15">
      <c r="A94" s="477" t="s">
        <v>298</v>
      </c>
      <c r="B94" s="478"/>
      <c r="C94" s="478"/>
      <c r="D94" s="301"/>
      <c r="E94" s="314">
        <f>17713+10990+17765+7198+3962+7499+27990+1599+1390+9690</f>
        <v>105796</v>
      </c>
      <c r="F94"/>
      <c r="G94"/>
      <c r="H94"/>
      <c r="I94"/>
      <c r="J94"/>
    </row>
    <row r="95" spans="1:10" ht="15">
      <c r="A95" s="477" t="s">
        <v>479</v>
      </c>
      <c r="B95" s="478"/>
      <c r="C95" s="478"/>
      <c r="D95" s="301"/>
      <c r="E95" s="314">
        <v>17980</v>
      </c>
      <c r="F95"/>
      <c r="G95"/>
      <c r="H95"/>
      <c r="I95"/>
      <c r="J95"/>
    </row>
    <row r="96" spans="1:10" ht="15">
      <c r="A96" s="477" t="s">
        <v>351</v>
      </c>
      <c r="B96" s="478"/>
      <c r="C96" s="478"/>
      <c r="D96" s="301"/>
      <c r="E96" s="415">
        <v>60550</v>
      </c>
      <c r="F96"/>
      <c r="G96"/>
      <c r="H96"/>
      <c r="I96"/>
      <c r="J96"/>
    </row>
    <row r="97" spans="1:10" ht="15">
      <c r="A97" s="377"/>
      <c r="B97" s="378"/>
      <c r="C97" s="378" t="s">
        <v>454</v>
      </c>
      <c r="D97" s="301"/>
      <c r="E97" s="415">
        <f>4745+7516+13169</f>
        <v>25430</v>
      </c>
      <c r="F97"/>
      <c r="G97"/>
      <c r="H97"/>
      <c r="I97"/>
      <c r="J97"/>
    </row>
    <row r="98" spans="1:10" ht="15">
      <c r="A98" s="477" t="s">
        <v>352</v>
      </c>
      <c r="B98" s="478"/>
      <c r="C98" s="478"/>
      <c r="D98" s="301"/>
      <c r="E98" s="314">
        <f>2975+5950</f>
        <v>8925</v>
      </c>
      <c r="F98"/>
      <c r="G98"/>
      <c r="H98"/>
      <c r="I98"/>
      <c r="J98"/>
    </row>
    <row r="99" spans="1:10" ht="15">
      <c r="A99" s="377"/>
      <c r="B99" s="378"/>
      <c r="C99" s="378" t="s">
        <v>480</v>
      </c>
      <c r="D99" s="301"/>
      <c r="E99" s="415">
        <v>84994</v>
      </c>
      <c r="F99"/>
      <c r="G99"/>
      <c r="H99"/>
      <c r="I99"/>
      <c r="J99"/>
    </row>
    <row r="100" spans="1:10" ht="15">
      <c r="A100" s="377"/>
      <c r="B100" s="378"/>
      <c r="C100" s="378" t="s">
        <v>481</v>
      </c>
      <c r="D100" s="301"/>
      <c r="E100" s="314">
        <f>76536</f>
        <v>76536</v>
      </c>
      <c r="F100"/>
      <c r="G100"/>
      <c r="H100"/>
      <c r="I100"/>
      <c r="J100"/>
    </row>
    <row r="101" spans="1:10" ht="15.75" thickBot="1">
      <c r="A101" s="477" t="s">
        <v>460</v>
      </c>
      <c r="B101" s="478"/>
      <c r="C101" s="478"/>
      <c r="D101" s="301"/>
      <c r="E101" s="309">
        <f>175800+175800</f>
        <v>351600</v>
      </c>
      <c r="F101"/>
      <c r="G101"/>
      <c r="H101"/>
      <c r="I101"/>
      <c r="J101"/>
    </row>
    <row r="102" spans="1:10" ht="15.75" thickBot="1">
      <c r="A102" s="512" t="s">
        <v>310</v>
      </c>
      <c r="B102" s="500"/>
      <c r="C102" s="500"/>
      <c r="D102" s="329"/>
      <c r="E102" s="416">
        <f>SUM(E93:E101)</f>
        <v>872004</v>
      </c>
      <c r="F102"/>
      <c r="G102"/>
      <c r="H102"/>
      <c r="I102"/>
      <c r="J102"/>
    </row>
    <row r="103" spans="1:10" ht="15.75" thickBot="1">
      <c r="A103" s="417" t="s">
        <v>482</v>
      </c>
      <c r="B103" s="418"/>
      <c r="C103" s="419"/>
      <c r="D103" s="420">
        <f>D87+E90-E102</f>
        <v>1000000</v>
      </c>
      <c r="E103" s="421"/>
      <c r="F103"/>
      <c r="G103"/>
      <c r="H103"/>
      <c r="I103"/>
      <c r="J103"/>
    </row>
  </sheetData>
  <sheetProtection/>
  <mergeCells count="116">
    <mergeCell ref="A101:C101"/>
    <mergeCell ref="A102:C102"/>
    <mergeCell ref="A90:C90"/>
    <mergeCell ref="A93:C93"/>
    <mergeCell ref="A94:C94"/>
    <mergeCell ref="A95:C95"/>
    <mergeCell ref="A96:C96"/>
    <mergeCell ref="A98:C98"/>
    <mergeCell ref="A1:J1"/>
    <mergeCell ref="A2:B2"/>
    <mergeCell ref="F2:G2"/>
    <mergeCell ref="A3:B3"/>
    <mergeCell ref="F3:G3"/>
    <mergeCell ref="A4:C4"/>
    <mergeCell ref="F4:H4"/>
    <mergeCell ref="A5:C5"/>
    <mergeCell ref="F5:H5"/>
    <mergeCell ref="A6:C6"/>
    <mergeCell ref="F6:H6"/>
    <mergeCell ref="F7:H7"/>
    <mergeCell ref="A8:C8"/>
    <mergeCell ref="F8:H8"/>
    <mergeCell ref="A9:C9"/>
    <mergeCell ref="F9:H9"/>
    <mergeCell ref="A10:C10"/>
    <mergeCell ref="F10:H10"/>
    <mergeCell ref="F11:H11"/>
    <mergeCell ref="A12:C12"/>
    <mergeCell ref="F12:H12"/>
    <mergeCell ref="A13:C13"/>
    <mergeCell ref="A14:C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F22:H22"/>
    <mergeCell ref="F23:H23"/>
    <mergeCell ref="F24:H24"/>
    <mergeCell ref="F25:H25"/>
    <mergeCell ref="A26:C26"/>
    <mergeCell ref="F26:H26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A33:C33"/>
    <mergeCell ref="A34:C34"/>
    <mergeCell ref="A36:C36"/>
    <mergeCell ref="A37:C37"/>
    <mergeCell ref="A38:C38"/>
    <mergeCell ref="A40:C40"/>
    <mergeCell ref="A42:C42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F52:H52"/>
    <mergeCell ref="A53:C53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A62:C62"/>
    <mergeCell ref="F62:H62"/>
    <mergeCell ref="A63:C63"/>
    <mergeCell ref="F63:H63"/>
    <mergeCell ref="A64:C64"/>
    <mergeCell ref="F64:H64"/>
    <mergeCell ref="A65:C65"/>
    <mergeCell ref="F65:H65"/>
    <mergeCell ref="F66:H66"/>
    <mergeCell ref="F68:H68"/>
    <mergeCell ref="A68:C68"/>
    <mergeCell ref="A71:C71"/>
    <mergeCell ref="A72:C72"/>
    <mergeCell ref="A75:C75"/>
    <mergeCell ref="A76:C76"/>
    <mergeCell ref="A77:C77"/>
    <mergeCell ref="A69:C69"/>
    <mergeCell ref="A73:C73"/>
    <mergeCell ref="A74:C74"/>
    <mergeCell ref="A78:C78"/>
    <mergeCell ref="A86:C86"/>
    <mergeCell ref="A89:C89"/>
    <mergeCell ref="A79:C79"/>
    <mergeCell ref="A80:C80"/>
    <mergeCell ref="A81:C81"/>
    <mergeCell ref="A82:C82"/>
    <mergeCell ref="A83:C83"/>
    <mergeCell ref="A84:C84"/>
  </mergeCells>
  <printOptions/>
  <pageMargins left="0.21" right="0.15748031496062992" top="0.41" bottom="0.1968503937007874" header="0.15748031496062992" footer="0.196850393700787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2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4.00390625" style="56" customWidth="1"/>
    <col min="2" max="2" width="18.140625" style="56" customWidth="1"/>
    <col min="3" max="3" width="18.57421875" style="56" customWidth="1"/>
    <col min="4" max="4" width="17.140625" style="56" customWidth="1"/>
    <col min="5" max="5" width="17.57421875" style="56" customWidth="1"/>
    <col min="6" max="16384" width="9.140625" style="56" customWidth="1"/>
  </cols>
  <sheetData>
    <row r="1" spans="1:5" ht="58.5" customHeight="1" thickBot="1">
      <c r="A1" s="530" t="s">
        <v>400</v>
      </c>
      <c r="B1" s="531"/>
      <c r="C1" s="531"/>
      <c r="D1" s="531"/>
      <c r="E1" s="532"/>
    </row>
    <row r="2" spans="1:5" ht="16.5" thickBot="1">
      <c r="A2" s="57" t="s">
        <v>16</v>
      </c>
      <c r="B2" s="58">
        <v>2018</v>
      </c>
      <c r="C2" s="59">
        <v>2019</v>
      </c>
      <c r="D2" s="60">
        <v>2020</v>
      </c>
      <c r="E2" s="60">
        <v>2021</v>
      </c>
    </row>
    <row r="3" spans="1:5" ht="31.5">
      <c r="A3" s="61" t="s">
        <v>94</v>
      </c>
      <c r="B3" s="62">
        <v>176070103</v>
      </c>
      <c r="C3" s="62">
        <f>105042223*1.00001</f>
        <v>105043273.42223</v>
      </c>
      <c r="D3" s="63">
        <f>105042223*1.00011</f>
        <v>105053777.64453</v>
      </c>
      <c r="E3" s="64">
        <f>105042223*1.000122</f>
        <v>105055038.151206</v>
      </c>
    </row>
    <row r="4" spans="1:5" ht="15.75">
      <c r="A4" s="65" t="s">
        <v>96</v>
      </c>
      <c r="B4" s="66">
        <v>77260000</v>
      </c>
      <c r="C4" s="62">
        <f aca="true" t="shared" si="0" ref="C4:C25">B4*1.00001</f>
        <v>77260772.60000001</v>
      </c>
      <c r="D4" s="63">
        <f aca="true" t="shared" si="1" ref="D4:D25">B4*1.00011</f>
        <v>77268498.60000001</v>
      </c>
      <c r="E4" s="64">
        <f aca="true" t="shared" si="2" ref="E4:E25">B4*1.000122</f>
        <v>77269425.72</v>
      </c>
    </row>
    <row r="5" spans="1:5" ht="15.75">
      <c r="A5" s="65" t="s">
        <v>176</v>
      </c>
      <c r="B5" s="66">
        <v>19380000</v>
      </c>
      <c r="C5" s="62">
        <f t="shared" si="0"/>
        <v>19380193.8</v>
      </c>
      <c r="D5" s="63">
        <f t="shared" si="1"/>
        <v>19382131.8</v>
      </c>
      <c r="E5" s="64">
        <f t="shared" si="2"/>
        <v>19382364.36</v>
      </c>
    </row>
    <row r="6" spans="1:5" ht="15.75">
      <c r="A6" s="65" t="s">
        <v>177</v>
      </c>
      <c r="B6" s="66">
        <v>6532960</v>
      </c>
      <c r="C6" s="62">
        <f t="shared" si="0"/>
        <v>6533025.329600001</v>
      </c>
      <c r="D6" s="63">
        <f t="shared" si="1"/>
        <v>6533678.6256</v>
      </c>
      <c r="E6" s="64">
        <f t="shared" si="2"/>
        <v>6533757.02112</v>
      </c>
    </row>
    <row r="7" spans="1:5" ht="16.5" thickBot="1">
      <c r="A7" s="72" t="s">
        <v>197</v>
      </c>
      <c r="B7" s="73">
        <v>0</v>
      </c>
      <c r="C7" s="67">
        <f t="shared" si="0"/>
        <v>0</v>
      </c>
      <c r="D7" s="68">
        <f t="shared" si="1"/>
        <v>0</v>
      </c>
      <c r="E7" s="69">
        <f t="shared" si="2"/>
        <v>0</v>
      </c>
    </row>
    <row r="8" spans="1:5" ht="16.5" thickBot="1">
      <c r="A8" s="74" t="s">
        <v>176</v>
      </c>
      <c r="B8" s="70">
        <f>SUM(B3:B7)</f>
        <v>279243063</v>
      </c>
      <c r="C8" s="130">
        <f t="shared" si="0"/>
        <v>279245855.43063</v>
      </c>
      <c r="D8" s="131">
        <f t="shared" si="1"/>
        <v>279273779.73693</v>
      </c>
      <c r="E8" s="132">
        <f t="shared" si="2"/>
        <v>279277130.653686</v>
      </c>
    </row>
    <row r="9" spans="1:5" ht="15.75">
      <c r="A9" s="61" t="s">
        <v>85</v>
      </c>
      <c r="B9" s="71">
        <v>32956258</v>
      </c>
      <c r="C9" s="62">
        <f t="shared" si="0"/>
        <v>32956587.56258</v>
      </c>
      <c r="D9" s="63">
        <f t="shared" si="1"/>
        <v>32959883.188380003</v>
      </c>
      <c r="E9" s="64">
        <f t="shared" si="2"/>
        <v>32960278.663475998</v>
      </c>
    </row>
    <row r="10" spans="1:5" ht="31.5">
      <c r="A10" s="65" t="s">
        <v>178</v>
      </c>
      <c r="B10" s="66">
        <v>6410721</v>
      </c>
      <c r="C10" s="62">
        <f t="shared" si="0"/>
        <v>6410785.10721</v>
      </c>
      <c r="D10" s="63">
        <f t="shared" si="1"/>
        <v>6411426.1793100005</v>
      </c>
      <c r="E10" s="64">
        <f t="shared" si="2"/>
        <v>6411503.107961999</v>
      </c>
    </row>
    <row r="11" spans="1:5" ht="15.75">
      <c r="A11" s="65" t="s">
        <v>89</v>
      </c>
      <c r="B11" s="66">
        <v>94197250</v>
      </c>
      <c r="C11" s="62">
        <f t="shared" si="0"/>
        <v>94198191.97250001</v>
      </c>
      <c r="D11" s="63">
        <f t="shared" si="1"/>
        <v>94207611.6975</v>
      </c>
      <c r="E11" s="64">
        <f t="shared" si="2"/>
        <v>94208742.06449999</v>
      </c>
    </row>
    <row r="12" spans="1:5" ht="15.75">
      <c r="A12" s="65" t="s">
        <v>90</v>
      </c>
      <c r="B12" s="66">
        <v>3091000</v>
      </c>
      <c r="C12" s="62">
        <f t="shared" si="0"/>
        <v>3091030.91</v>
      </c>
      <c r="D12" s="63">
        <f t="shared" si="1"/>
        <v>3091340.0100000002</v>
      </c>
      <c r="E12" s="64">
        <f t="shared" si="2"/>
        <v>3091377.102</v>
      </c>
    </row>
    <row r="13" spans="1:5" ht="15.75">
      <c r="A13" s="65" t="s">
        <v>91</v>
      </c>
      <c r="B13" s="66">
        <v>52273360</v>
      </c>
      <c r="C13" s="62">
        <f t="shared" si="0"/>
        <v>52273882.733600006</v>
      </c>
      <c r="D13" s="63">
        <f t="shared" si="1"/>
        <v>52279110.0696</v>
      </c>
      <c r="E13" s="64">
        <f t="shared" si="2"/>
        <v>52279737.34992</v>
      </c>
    </row>
    <row r="14" spans="1:5" ht="31.5">
      <c r="A14" s="72" t="s">
        <v>244</v>
      </c>
      <c r="B14" s="73">
        <v>3997885</v>
      </c>
      <c r="C14" s="62">
        <f t="shared" si="0"/>
        <v>3997924.97885</v>
      </c>
      <c r="D14" s="63">
        <f t="shared" si="1"/>
        <v>3998324.7673500003</v>
      </c>
      <c r="E14" s="64">
        <f t="shared" si="2"/>
        <v>3998372.74197</v>
      </c>
    </row>
    <row r="15" spans="1:5" ht="16.5" thickBot="1">
      <c r="A15" s="72" t="s">
        <v>180</v>
      </c>
      <c r="B15" s="73">
        <v>86316589</v>
      </c>
      <c r="C15" s="67">
        <f t="shared" si="0"/>
        <v>86317452.16589001</v>
      </c>
      <c r="D15" s="68">
        <f t="shared" si="1"/>
        <v>86326083.82479</v>
      </c>
      <c r="E15" s="69">
        <f t="shared" si="2"/>
        <v>86327119.62385799</v>
      </c>
    </row>
    <row r="16" spans="1:5" ht="16.5" thickBot="1">
      <c r="A16" s="74" t="s">
        <v>155</v>
      </c>
      <c r="B16" s="70">
        <f>SUM(B9:B15)</f>
        <v>279243063</v>
      </c>
      <c r="C16" s="130">
        <f t="shared" si="0"/>
        <v>279245855.43063</v>
      </c>
      <c r="D16" s="131">
        <f t="shared" si="1"/>
        <v>279273779.73693</v>
      </c>
      <c r="E16" s="132">
        <f t="shared" si="2"/>
        <v>279277130.653686</v>
      </c>
    </row>
    <row r="17" spans="1:5" ht="15.75">
      <c r="A17" s="61" t="s">
        <v>229</v>
      </c>
      <c r="B17" s="71">
        <v>49670933</v>
      </c>
      <c r="C17" s="62">
        <f t="shared" si="0"/>
        <v>49671429.70933</v>
      </c>
      <c r="D17" s="63">
        <f t="shared" si="1"/>
        <v>49676396.80263</v>
      </c>
      <c r="E17" s="64">
        <f t="shared" si="2"/>
        <v>49676992.853826</v>
      </c>
    </row>
    <row r="18" spans="1:5" ht="24.75" customHeight="1" thickBot="1">
      <c r="A18" s="72" t="s">
        <v>210</v>
      </c>
      <c r="B18" s="73">
        <v>54275170</v>
      </c>
      <c r="C18" s="67">
        <f t="shared" si="0"/>
        <v>54275712.75170001</v>
      </c>
      <c r="D18" s="68">
        <f t="shared" si="1"/>
        <v>54281140.2687</v>
      </c>
      <c r="E18" s="69">
        <f t="shared" si="2"/>
        <v>54281791.57074</v>
      </c>
    </row>
    <row r="19" spans="1:5" ht="16.5" customHeight="1" thickBot="1">
      <c r="A19" s="74" t="s">
        <v>156</v>
      </c>
      <c r="B19" s="70">
        <f>SUM(B17:B18)</f>
        <v>103946103</v>
      </c>
      <c r="C19" s="130">
        <f t="shared" si="0"/>
        <v>103947142.46103</v>
      </c>
      <c r="D19" s="131">
        <f t="shared" si="1"/>
        <v>103957537.07133001</v>
      </c>
      <c r="E19" s="132">
        <f t="shared" si="2"/>
        <v>103958784.424566</v>
      </c>
    </row>
    <row r="20" spans="1:5" ht="15.75">
      <c r="A20" s="61" t="s">
        <v>179</v>
      </c>
      <c r="B20" s="71">
        <v>21855115</v>
      </c>
      <c r="C20" s="62">
        <f t="shared" si="0"/>
        <v>21855333.55115</v>
      </c>
      <c r="D20" s="63">
        <f t="shared" si="1"/>
        <v>21857519.062650003</v>
      </c>
      <c r="E20" s="64">
        <f t="shared" si="2"/>
        <v>21857781.32403</v>
      </c>
    </row>
    <row r="21" spans="1:5" ht="15.75">
      <c r="A21" s="61" t="s">
        <v>92</v>
      </c>
      <c r="B21" s="71">
        <v>82090988</v>
      </c>
      <c r="C21" s="62">
        <f t="shared" si="0"/>
        <v>82091808.90988001</v>
      </c>
      <c r="D21" s="63">
        <f t="shared" si="1"/>
        <v>82100018.00868</v>
      </c>
      <c r="E21" s="64">
        <f t="shared" si="2"/>
        <v>82101003.100536</v>
      </c>
    </row>
    <row r="22" spans="1:5" ht="16.5" thickBot="1">
      <c r="A22" s="61" t="s">
        <v>150</v>
      </c>
      <c r="B22" s="71">
        <v>0</v>
      </c>
      <c r="C22" s="62">
        <f t="shared" si="0"/>
        <v>0</v>
      </c>
      <c r="D22" s="63">
        <f t="shared" si="1"/>
        <v>0</v>
      </c>
      <c r="E22" s="64">
        <f t="shared" si="2"/>
        <v>0</v>
      </c>
    </row>
    <row r="23" spans="1:5" ht="18.75" customHeight="1" thickBot="1">
      <c r="A23" s="74" t="s">
        <v>157</v>
      </c>
      <c r="B23" s="70">
        <f>SUM(B20:B22)</f>
        <v>103946103</v>
      </c>
      <c r="C23" s="130">
        <f t="shared" si="0"/>
        <v>103947142.46103</v>
      </c>
      <c r="D23" s="131">
        <f t="shared" si="1"/>
        <v>103957537.07133001</v>
      </c>
      <c r="E23" s="132">
        <f t="shared" si="2"/>
        <v>103958784.424566</v>
      </c>
    </row>
    <row r="24" spans="1:5" ht="24.75" customHeight="1" thickBot="1">
      <c r="A24" s="76" t="s">
        <v>158</v>
      </c>
      <c r="B24" s="70">
        <f>B8+B19</f>
        <v>383189166</v>
      </c>
      <c r="C24" s="130">
        <f t="shared" si="0"/>
        <v>383192997.89166003</v>
      </c>
      <c r="D24" s="131">
        <f t="shared" si="1"/>
        <v>383231316.80826</v>
      </c>
      <c r="E24" s="132">
        <f t="shared" si="2"/>
        <v>383235915.07825196</v>
      </c>
    </row>
    <row r="25" spans="1:5" ht="23.25" customHeight="1" thickBot="1">
      <c r="A25" s="76" t="s">
        <v>159</v>
      </c>
      <c r="B25" s="70">
        <f>B16+B23</f>
        <v>383189166</v>
      </c>
      <c r="C25" s="130">
        <f t="shared" si="0"/>
        <v>383192997.89166003</v>
      </c>
      <c r="D25" s="131">
        <f t="shared" si="1"/>
        <v>383231316.80826</v>
      </c>
      <c r="E25" s="132">
        <f t="shared" si="2"/>
        <v>383235915.07825196</v>
      </c>
    </row>
    <row r="26" ht="15">
      <c r="A26" s="75"/>
    </row>
  </sheetData>
  <sheetProtection/>
  <mergeCells count="1">
    <mergeCell ref="A1:E1"/>
  </mergeCells>
  <printOptions/>
  <pageMargins left="0.2755905511811024" right="0.1968503937007874" top="0.4724409448818898" bottom="0.7480314960629921" header="0.31496062992125984" footer="0.31496062992125984"/>
  <pageSetup fitToHeight="1" fitToWidth="1" horizontalDpi="200" verticalDpi="2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37"/>
  <sheetViews>
    <sheetView view="pageBreakPreview" zoomScaleNormal="90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9.140625" style="12" customWidth="1"/>
    <col min="2" max="2" width="10.140625" style="2" customWidth="1"/>
    <col min="3" max="3" width="9.140625" style="2" customWidth="1"/>
    <col min="4" max="4" width="7.57421875" style="2" customWidth="1"/>
    <col min="5" max="5" width="9.140625" style="2" customWidth="1"/>
    <col min="6" max="6" width="3.421875" style="2" customWidth="1"/>
    <col min="7" max="7" width="10.140625" style="2" bestFit="1" customWidth="1"/>
    <col min="8" max="8" width="3.28125" style="2" customWidth="1"/>
    <col min="9" max="9" width="9.140625" style="2" customWidth="1"/>
    <col min="10" max="10" width="4.00390625" style="2" customWidth="1"/>
    <col min="11" max="11" width="9.140625" style="2" customWidth="1"/>
    <col min="12" max="12" width="4.57421875" style="2" customWidth="1"/>
    <col min="13" max="13" width="9.140625" style="2" customWidth="1"/>
    <col min="14" max="14" width="5.140625" style="2" customWidth="1"/>
    <col min="15" max="15" width="9.140625" style="2" customWidth="1"/>
    <col min="16" max="16" width="5.00390625" style="2" customWidth="1"/>
    <col min="17" max="17" width="9.140625" style="2" customWidth="1"/>
    <col min="18" max="18" width="4.8515625" style="2" customWidth="1"/>
    <col min="19" max="19" width="9.140625" style="2" customWidth="1"/>
    <col min="20" max="20" width="5.57421875" style="2" customWidth="1"/>
    <col min="21" max="21" width="9.140625" style="2" customWidth="1"/>
    <col min="22" max="22" width="6.8515625" style="2" customWidth="1"/>
    <col min="23" max="23" width="9.140625" style="2" customWidth="1"/>
    <col min="24" max="24" width="4.421875" style="2" customWidth="1"/>
    <col min="25" max="25" width="9.140625" style="2" customWidth="1"/>
    <col min="26" max="26" width="6.00390625" style="2" customWidth="1"/>
    <col min="27" max="27" width="9.140625" style="2" customWidth="1"/>
    <col min="28" max="28" width="6.421875" style="2" customWidth="1"/>
    <col min="29" max="29" width="9.140625" style="2" customWidth="1"/>
    <col min="30" max="30" width="6.28125" style="2" customWidth="1"/>
    <col min="31" max="16384" width="9.140625" style="2" customWidth="1"/>
  </cols>
  <sheetData>
    <row r="1" spans="1:17" s="11" customFormat="1" ht="16.5" thickBot="1">
      <c r="A1" s="284"/>
      <c r="N1" s="162"/>
      <c r="O1" s="286"/>
      <c r="P1" s="86"/>
      <c r="Q1" s="86"/>
    </row>
    <row r="2" spans="1:30" ht="16.5" thickBot="1">
      <c r="A2" s="287"/>
      <c r="B2" s="288"/>
      <c r="C2" s="288"/>
      <c r="D2" s="288"/>
      <c r="E2" s="288"/>
      <c r="F2" s="288"/>
      <c r="G2" s="288"/>
      <c r="H2" s="426" t="s">
        <v>417</v>
      </c>
      <c r="I2" s="426"/>
      <c r="J2" s="426"/>
      <c r="K2" s="426"/>
      <c r="L2" s="426"/>
      <c r="M2" s="426"/>
      <c r="N2" s="426"/>
      <c r="O2" s="426"/>
      <c r="P2" s="426"/>
      <c r="Q2" s="285"/>
      <c r="R2" s="551" t="s">
        <v>221</v>
      </c>
      <c r="S2" s="551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90"/>
    </row>
    <row r="3" spans="1:34" s="295" customFormat="1" ht="15.75" thickBot="1">
      <c r="A3" s="294" t="s">
        <v>181</v>
      </c>
      <c r="B3" s="552" t="s">
        <v>16</v>
      </c>
      <c r="C3" s="553"/>
      <c r="D3" s="554"/>
      <c r="E3" s="555" t="s">
        <v>401</v>
      </c>
      <c r="F3" s="556"/>
      <c r="G3" s="555" t="s">
        <v>402</v>
      </c>
      <c r="H3" s="556"/>
      <c r="I3" s="555" t="s">
        <v>403</v>
      </c>
      <c r="J3" s="556"/>
      <c r="K3" s="555" t="s">
        <v>404</v>
      </c>
      <c r="L3" s="556"/>
      <c r="M3" s="555" t="s">
        <v>405</v>
      </c>
      <c r="N3" s="556"/>
      <c r="O3" s="555" t="s">
        <v>406</v>
      </c>
      <c r="P3" s="556"/>
      <c r="Q3" s="555" t="s">
        <v>407</v>
      </c>
      <c r="R3" s="556"/>
      <c r="S3" s="555" t="s">
        <v>408</v>
      </c>
      <c r="T3" s="556"/>
      <c r="U3" s="555" t="s">
        <v>409</v>
      </c>
      <c r="V3" s="556"/>
      <c r="W3" s="555" t="s">
        <v>410</v>
      </c>
      <c r="X3" s="556"/>
      <c r="Y3" s="555" t="s">
        <v>411</v>
      </c>
      <c r="Z3" s="556"/>
      <c r="AA3" s="555" t="s">
        <v>412</v>
      </c>
      <c r="AB3" s="556"/>
      <c r="AC3" s="555" t="s">
        <v>82</v>
      </c>
      <c r="AD3" s="556"/>
      <c r="AE3" s="589"/>
      <c r="AF3" s="589"/>
      <c r="AG3" s="589"/>
      <c r="AH3" s="589"/>
    </row>
    <row r="4" spans="1:34" ht="15">
      <c r="A4" s="547" t="s">
        <v>145</v>
      </c>
      <c r="B4" s="548"/>
      <c r="C4" s="548"/>
      <c r="D4" s="548"/>
      <c r="E4" s="549"/>
      <c r="F4" s="549"/>
      <c r="G4" s="549"/>
      <c r="H4" s="549"/>
      <c r="I4" s="549"/>
      <c r="J4" s="549"/>
      <c r="K4" s="540"/>
      <c r="L4" s="540"/>
      <c r="M4" s="541"/>
      <c r="N4" s="541"/>
      <c r="O4" s="549"/>
      <c r="P4" s="549"/>
      <c r="Q4" s="549"/>
      <c r="R4" s="549"/>
      <c r="S4" s="549"/>
      <c r="T4" s="549"/>
      <c r="U4" s="540"/>
      <c r="V4" s="540"/>
      <c r="W4" s="541"/>
      <c r="X4" s="541"/>
      <c r="Y4" s="549"/>
      <c r="Z4" s="549"/>
      <c r="AA4" s="549"/>
      <c r="AB4" s="590"/>
      <c r="AC4" s="591"/>
      <c r="AD4" s="590"/>
      <c r="AE4" s="540"/>
      <c r="AF4" s="540"/>
      <c r="AG4" s="540"/>
      <c r="AH4" s="540"/>
    </row>
    <row r="5" spans="1:34" ht="28.5" customHeight="1">
      <c r="A5" s="78" t="s">
        <v>34</v>
      </c>
      <c r="B5" s="544" t="s">
        <v>94</v>
      </c>
      <c r="C5" s="545"/>
      <c r="D5" s="546"/>
      <c r="E5" s="542">
        <v>14672509</v>
      </c>
      <c r="F5" s="543"/>
      <c r="G5" s="542">
        <v>14672509</v>
      </c>
      <c r="H5" s="543"/>
      <c r="I5" s="542">
        <v>14672509</v>
      </c>
      <c r="J5" s="543"/>
      <c r="K5" s="542">
        <v>14672509</v>
      </c>
      <c r="L5" s="543"/>
      <c r="M5" s="542">
        <v>14672509</v>
      </c>
      <c r="N5" s="543"/>
      <c r="O5" s="542">
        <v>14672509</v>
      </c>
      <c r="P5" s="543"/>
      <c r="Q5" s="542">
        <v>14672509</v>
      </c>
      <c r="R5" s="543"/>
      <c r="S5" s="542">
        <v>14672508</v>
      </c>
      <c r="T5" s="543"/>
      <c r="U5" s="542">
        <v>14672508</v>
      </c>
      <c r="V5" s="543"/>
      <c r="W5" s="542">
        <v>14672508</v>
      </c>
      <c r="X5" s="543"/>
      <c r="Y5" s="542">
        <v>14672508</v>
      </c>
      <c r="Z5" s="543"/>
      <c r="AA5" s="542">
        <v>14672508</v>
      </c>
      <c r="AB5" s="543"/>
      <c r="AC5" s="542">
        <f>SUM(C5:AB5)</f>
        <v>176070103</v>
      </c>
      <c r="AD5" s="543"/>
      <c r="AE5" s="592"/>
      <c r="AF5" s="540"/>
      <c r="AG5" s="592"/>
      <c r="AH5" s="540"/>
    </row>
    <row r="6" spans="1:34" ht="28.5" customHeight="1">
      <c r="A6" s="78" t="s">
        <v>369</v>
      </c>
      <c r="B6" s="544" t="s">
        <v>368</v>
      </c>
      <c r="C6" s="545"/>
      <c r="D6" s="546"/>
      <c r="E6" s="535">
        <v>4139245</v>
      </c>
      <c r="F6" s="536"/>
      <c r="G6" s="535">
        <v>4139245</v>
      </c>
      <c r="H6" s="536"/>
      <c r="I6" s="535">
        <v>4139245</v>
      </c>
      <c r="J6" s="536"/>
      <c r="K6" s="535">
        <v>4139245</v>
      </c>
      <c r="L6" s="536"/>
      <c r="M6" s="535">
        <v>4139245</v>
      </c>
      <c r="N6" s="536"/>
      <c r="O6" s="535">
        <v>4139244</v>
      </c>
      <c r="P6" s="536"/>
      <c r="Q6" s="535">
        <v>4139244</v>
      </c>
      <c r="R6" s="536"/>
      <c r="S6" s="535">
        <v>4139244</v>
      </c>
      <c r="T6" s="536"/>
      <c r="U6" s="535">
        <v>4139244</v>
      </c>
      <c r="V6" s="536"/>
      <c r="W6" s="535">
        <v>4139244</v>
      </c>
      <c r="X6" s="536"/>
      <c r="Y6" s="535">
        <v>4139244</v>
      </c>
      <c r="Z6" s="536"/>
      <c r="AA6" s="535">
        <v>4139244</v>
      </c>
      <c r="AB6" s="536"/>
      <c r="AC6" s="535">
        <f>SUM(E6:AB6)</f>
        <v>49670933</v>
      </c>
      <c r="AD6" s="536"/>
      <c r="AE6" s="351"/>
      <c r="AF6" s="352"/>
      <c r="AG6" s="351"/>
      <c r="AH6" s="352"/>
    </row>
    <row r="7" spans="1:34" ht="15">
      <c r="A7" s="78" t="s">
        <v>41</v>
      </c>
      <c r="B7" s="550" t="s">
        <v>96</v>
      </c>
      <c r="C7" s="550"/>
      <c r="D7" s="550"/>
      <c r="E7" s="542"/>
      <c r="F7" s="543"/>
      <c r="G7" s="542"/>
      <c r="H7" s="543"/>
      <c r="I7" s="535">
        <v>38630000</v>
      </c>
      <c r="J7" s="538"/>
      <c r="K7" s="537"/>
      <c r="L7" s="538"/>
      <c r="M7" s="535"/>
      <c r="N7" s="539"/>
      <c r="O7" s="542"/>
      <c r="P7" s="543"/>
      <c r="Q7" s="542"/>
      <c r="R7" s="543"/>
      <c r="S7" s="535"/>
      <c r="T7" s="538"/>
      <c r="U7" s="537">
        <v>38630000</v>
      </c>
      <c r="V7" s="538"/>
      <c r="W7" s="535"/>
      <c r="X7" s="539"/>
      <c r="Y7" s="542"/>
      <c r="Z7" s="543"/>
      <c r="AA7" s="542"/>
      <c r="AB7" s="543"/>
      <c r="AC7" s="542">
        <f>SUM(E7:AB7)</f>
        <v>77260000</v>
      </c>
      <c r="AD7" s="543"/>
      <c r="AE7" s="592"/>
      <c r="AF7" s="540"/>
      <c r="AG7" s="592"/>
      <c r="AH7" s="540"/>
    </row>
    <row r="8" spans="1:34" ht="15">
      <c r="A8" s="78" t="s">
        <v>44</v>
      </c>
      <c r="B8" s="550" t="s">
        <v>176</v>
      </c>
      <c r="C8" s="550"/>
      <c r="D8" s="550"/>
      <c r="E8" s="542">
        <v>1615000</v>
      </c>
      <c r="F8" s="543"/>
      <c r="G8" s="542">
        <v>1615000</v>
      </c>
      <c r="H8" s="543"/>
      <c r="I8" s="535">
        <v>1615000</v>
      </c>
      <c r="J8" s="538"/>
      <c r="K8" s="537">
        <v>1615000</v>
      </c>
      <c r="L8" s="538"/>
      <c r="M8" s="535">
        <v>1615000</v>
      </c>
      <c r="N8" s="539"/>
      <c r="O8" s="542">
        <v>1615000</v>
      </c>
      <c r="P8" s="543"/>
      <c r="Q8" s="542">
        <v>1615000</v>
      </c>
      <c r="R8" s="543"/>
      <c r="S8" s="535">
        <v>1615000</v>
      </c>
      <c r="T8" s="538"/>
      <c r="U8" s="537">
        <v>1615000</v>
      </c>
      <c r="V8" s="538"/>
      <c r="W8" s="535">
        <v>1615000</v>
      </c>
      <c r="X8" s="539"/>
      <c r="Y8" s="542">
        <v>1615000</v>
      </c>
      <c r="Z8" s="543"/>
      <c r="AA8" s="542">
        <v>1615000</v>
      </c>
      <c r="AB8" s="543"/>
      <c r="AC8" s="542">
        <f>SUM(E8:AB8)</f>
        <v>19380000</v>
      </c>
      <c r="AD8" s="543"/>
      <c r="AE8" s="592"/>
      <c r="AF8" s="540"/>
      <c r="AG8" s="592"/>
      <c r="AH8" s="540"/>
    </row>
    <row r="9" spans="1:34" ht="15.75" thickBot="1">
      <c r="A9" s="88" t="s">
        <v>46</v>
      </c>
      <c r="B9" s="562" t="s">
        <v>182</v>
      </c>
      <c r="C9" s="562"/>
      <c r="D9" s="562"/>
      <c r="E9" s="557">
        <v>5067345</v>
      </c>
      <c r="F9" s="558"/>
      <c r="G9" s="557">
        <v>5067345</v>
      </c>
      <c r="H9" s="558"/>
      <c r="I9" s="557">
        <v>5067344</v>
      </c>
      <c r="J9" s="558"/>
      <c r="K9" s="557">
        <v>5067344</v>
      </c>
      <c r="L9" s="558"/>
      <c r="M9" s="557">
        <v>5067344</v>
      </c>
      <c r="N9" s="558"/>
      <c r="O9" s="557">
        <v>5067344</v>
      </c>
      <c r="P9" s="558"/>
      <c r="Q9" s="557">
        <v>5067344</v>
      </c>
      <c r="R9" s="558"/>
      <c r="S9" s="557">
        <v>5067344</v>
      </c>
      <c r="T9" s="558"/>
      <c r="U9" s="557">
        <v>5067344</v>
      </c>
      <c r="V9" s="558"/>
      <c r="W9" s="557">
        <v>5067344</v>
      </c>
      <c r="X9" s="558"/>
      <c r="Y9" s="557">
        <v>5067344</v>
      </c>
      <c r="Z9" s="558"/>
      <c r="AA9" s="557">
        <v>5067344</v>
      </c>
      <c r="AB9" s="558"/>
      <c r="AC9" s="557">
        <f>SUM(E9:AB9)</f>
        <v>60808130</v>
      </c>
      <c r="AD9" s="558"/>
      <c r="AE9" s="592"/>
      <c r="AF9" s="540"/>
      <c r="AG9" s="592"/>
      <c r="AH9" s="540"/>
    </row>
    <row r="10" spans="1:34" ht="15.75" thickBot="1">
      <c r="A10" s="566" t="s">
        <v>183</v>
      </c>
      <c r="B10" s="567"/>
      <c r="C10" s="567"/>
      <c r="D10" s="567"/>
      <c r="E10" s="568">
        <f>SUM(E5:F9)</f>
        <v>25494099</v>
      </c>
      <c r="F10" s="569"/>
      <c r="G10" s="568">
        <f>SUM(G5:H9)</f>
        <v>25494099</v>
      </c>
      <c r="H10" s="569"/>
      <c r="I10" s="568">
        <f>SUM(I5:J9)</f>
        <v>64124098</v>
      </c>
      <c r="J10" s="569"/>
      <c r="K10" s="568">
        <f>SUM(K5:L9)</f>
        <v>25494098</v>
      </c>
      <c r="L10" s="569"/>
      <c r="M10" s="568">
        <f>SUM(M5:N9)</f>
        <v>25494098</v>
      </c>
      <c r="N10" s="569"/>
      <c r="O10" s="568">
        <f>SUM(O5:P9)</f>
        <v>25494097</v>
      </c>
      <c r="P10" s="569"/>
      <c r="Q10" s="568">
        <f>SUM(Q5:R9)</f>
        <v>25494097</v>
      </c>
      <c r="R10" s="569"/>
      <c r="S10" s="568">
        <f>SUM(S5:T9)</f>
        <v>25494096</v>
      </c>
      <c r="T10" s="569"/>
      <c r="U10" s="568">
        <f>SUM(U5:V9)</f>
        <v>64124096</v>
      </c>
      <c r="V10" s="569"/>
      <c r="W10" s="568">
        <f>SUM(W5:X9)</f>
        <v>25494096</v>
      </c>
      <c r="X10" s="569"/>
      <c r="Y10" s="568">
        <f>SUM(Y5:Z9)</f>
        <v>25494096</v>
      </c>
      <c r="Z10" s="569"/>
      <c r="AA10" s="568">
        <f>SUM(AA5:AB9)</f>
        <v>25494096</v>
      </c>
      <c r="AB10" s="555"/>
      <c r="AC10" s="593">
        <f>SUM(AC5:AD9)</f>
        <v>383189166</v>
      </c>
      <c r="AD10" s="594"/>
      <c r="AE10" s="592"/>
      <c r="AF10" s="540"/>
      <c r="AG10" s="595"/>
      <c r="AH10" s="589"/>
    </row>
    <row r="11" spans="1:34" ht="15">
      <c r="A11" s="563" t="s">
        <v>146</v>
      </c>
      <c r="B11" s="564"/>
      <c r="C11" s="564"/>
      <c r="D11" s="565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0"/>
      <c r="AD11" s="540"/>
      <c r="AE11" s="540"/>
      <c r="AF11" s="540"/>
      <c r="AG11" s="540"/>
      <c r="AH11" s="540"/>
    </row>
    <row r="12" spans="1:34" ht="15">
      <c r="A12" s="78" t="s">
        <v>52</v>
      </c>
      <c r="B12" s="559" t="s">
        <v>85</v>
      </c>
      <c r="C12" s="560"/>
      <c r="D12" s="561"/>
      <c r="E12" s="542">
        <v>2746355</v>
      </c>
      <c r="F12" s="543"/>
      <c r="G12" s="542">
        <v>2746355</v>
      </c>
      <c r="H12" s="543"/>
      <c r="I12" s="542">
        <v>2746355</v>
      </c>
      <c r="J12" s="543"/>
      <c r="K12" s="542">
        <v>2746355</v>
      </c>
      <c r="L12" s="543"/>
      <c r="M12" s="535">
        <v>2746355</v>
      </c>
      <c r="N12" s="539"/>
      <c r="O12" s="542">
        <v>2746355</v>
      </c>
      <c r="P12" s="543"/>
      <c r="Q12" s="542">
        <v>2746355</v>
      </c>
      <c r="R12" s="543"/>
      <c r="S12" s="542">
        <v>2746355</v>
      </c>
      <c r="T12" s="543"/>
      <c r="U12" s="542">
        <v>2746355</v>
      </c>
      <c r="V12" s="543"/>
      <c r="W12" s="535">
        <v>2746355</v>
      </c>
      <c r="X12" s="539"/>
      <c r="Y12" s="542">
        <v>2746354</v>
      </c>
      <c r="Z12" s="543"/>
      <c r="AA12" s="542">
        <v>2746354</v>
      </c>
      <c r="AB12" s="543"/>
      <c r="AC12" s="542">
        <f aca="true" t="shared" si="0" ref="AC12:AC18">SUM(E12:AB12)</f>
        <v>32956258</v>
      </c>
      <c r="AD12" s="543"/>
      <c r="AE12" s="592"/>
      <c r="AF12" s="540"/>
      <c r="AG12" s="592"/>
      <c r="AH12" s="540"/>
    </row>
    <row r="13" spans="1:34" ht="27" customHeight="1">
      <c r="A13" s="78" t="s">
        <v>54</v>
      </c>
      <c r="B13" s="544" t="s">
        <v>53</v>
      </c>
      <c r="C13" s="545"/>
      <c r="D13" s="546"/>
      <c r="E13" s="542">
        <v>534227</v>
      </c>
      <c r="F13" s="542"/>
      <c r="G13" s="542">
        <v>534227</v>
      </c>
      <c r="H13" s="543"/>
      <c r="I13" s="535">
        <v>534227</v>
      </c>
      <c r="J13" s="536"/>
      <c r="K13" s="537">
        <v>534227</v>
      </c>
      <c r="L13" s="538"/>
      <c r="M13" s="535">
        <v>534227</v>
      </c>
      <c r="N13" s="539"/>
      <c r="O13" s="542">
        <v>534227</v>
      </c>
      <c r="P13" s="542"/>
      <c r="Q13" s="542">
        <v>534227</v>
      </c>
      <c r="R13" s="543"/>
      <c r="S13" s="535">
        <v>534227</v>
      </c>
      <c r="T13" s="536"/>
      <c r="U13" s="537">
        <v>534227</v>
      </c>
      <c r="V13" s="538"/>
      <c r="W13" s="535">
        <v>534226</v>
      </c>
      <c r="X13" s="539"/>
      <c r="Y13" s="535">
        <v>534226</v>
      </c>
      <c r="Z13" s="536"/>
      <c r="AA13" s="542">
        <v>534226</v>
      </c>
      <c r="AB13" s="543"/>
      <c r="AC13" s="542">
        <f t="shared" si="0"/>
        <v>6410721</v>
      </c>
      <c r="AD13" s="543"/>
      <c r="AE13" s="592"/>
      <c r="AF13" s="540"/>
      <c r="AG13" s="592"/>
      <c r="AH13" s="540"/>
    </row>
    <row r="14" spans="1:34" ht="15">
      <c r="A14" s="78" t="s">
        <v>60</v>
      </c>
      <c r="B14" s="559" t="s">
        <v>89</v>
      </c>
      <c r="C14" s="560"/>
      <c r="D14" s="561"/>
      <c r="E14" s="542">
        <v>7849771</v>
      </c>
      <c r="F14" s="543"/>
      <c r="G14" s="542">
        <v>7849771</v>
      </c>
      <c r="H14" s="543"/>
      <c r="I14" s="542">
        <v>7849771</v>
      </c>
      <c r="J14" s="543"/>
      <c r="K14" s="542">
        <v>7849771</v>
      </c>
      <c r="L14" s="543"/>
      <c r="M14" s="542">
        <v>7849771</v>
      </c>
      <c r="N14" s="543"/>
      <c r="O14" s="542">
        <v>7849771</v>
      </c>
      <c r="P14" s="543"/>
      <c r="Q14" s="542">
        <v>7849771</v>
      </c>
      <c r="R14" s="543"/>
      <c r="S14" s="542">
        <v>7849771</v>
      </c>
      <c r="T14" s="543"/>
      <c r="U14" s="542">
        <v>7849771</v>
      </c>
      <c r="V14" s="543"/>
      <c r="W14" s="542">
        <v>7849771</v>
      </c>
      <c r="X14" s="543"/>
      <c r="Y14" s="542">
        <v>7849770</v>
      </c>
      <c r="Z14" s="543"/>
      <c r="AA14" s="542">
        <v>7849770</v>
      </c>
      <c r="AB14" s="543"/>
      <c r="AC14" s="542">
        <f t="shared" si="0"/>
        <v>94197250</v>
      </c>
      <c r="AD14" s="543"/>
      <c r="AE14" s="592"/>
      <c r="AF14" s="540"/>
      <c r="AG14" s="592"/>
      <c r="AH14" s="540"/>
    </row>
    <row r="15" spans="1:34" ht="15">
      <c r="A15" s="78" t="s">
        <v>61</v>
      </c>
      <c r="B15" s="559" t="s">
        <v>90</v>
      </c>
      <c r="C15" s="560"/>
      <c r="D15" s="561"/>
      <c r="E15" s="543">
        <v>257584</v>
      </c>
      <c r="F15" s="543"/>
      <c r="G15" s="543">
        <v>257584</v>
      </c>
      <c r="H15" s="543"/>
      <c r="I15" s="570">
        <v>257584</v>
      </c>
      <c r="J15" s="538"/>
      <c r="K15" s="539">
        <v>257584</v>
      </c>
      <c r="L15" s="538"/>
      <c r="M15" s="535">
        <v>257583</v>
      </c>
      <c r="N15" s="539"/>
      <c r="O15" s="542">
        <v>257583</v>
      </c>
      <c r="P15" s="543"/>
      <c r="Q15" s="543">
        <v>257583</v>
      </c>
      <c r="R15" s="543"/>
      <c r="S15" s="570">
        <v>257583</v>
      </c>
      <c r="T15" s="538"/>
      <c r="U15" s="539">
        <v>257583</v>
      </c>
      <c r="V15" s="538"/>
      <c r="W15" s="535">
        <v>257583</v>
      </c>
      <c r="X15" s="539"/>
      <c r="Y15" s="543">
        <v>257583</v>
      </c>
      <c r="Z15" s="543"/>
      <c r="AA15" s="543">
        <v>257583</v>
      </c>
      <c r="AB15" s="543"/>
      <c r="AC15" s="596">
        <f t="shared" si="0"/>
        <v>3091000</v>
      </c>
      <c r="AD15" s="596"/>
      <c r="AE15" s="540"/>
      <c r="AF15" s="540"/>
      <c r="AG15" s="592"/>
      <c r="AH15" s="540"/>
    </row>
    <row r="16" spans="1:34" ht="15" customHeight="1">
      <c r="A16" s="78" t="s">
        <v>72</v>
      </c>
      <c r="B16" s="544" t="s">
        <v>245</v>
      </c>
      <c r="C16" s="545"/>
      <c r="D16" s="546"/>
      <c r="E16" s="542">
        <v>6177373</v>
      </c>
      <c r="F16" s="543"/>
      <c r="G16" s="542">
        <v>6177373</v>
      </c>
      <c r="H16" s="543"/>
      <c r="I16" s="542">
        <v>6177373</v>
      </c>
      <c r="J16" s="543"/>
      <c r="K16" s="542">
        <v>6177373</v>
      </c>
      <c r="L16" s="543"/>
      <c r="M16" s="542">
        <v>6177373</v>
      </c>
      <c r="N16" s="543"/>
      <c r="O16" s="542">
        <v>6177373</v>
      </c>
      <c r="P16" s="543"/>
      <c r="Q16" s="542">
        <v>6177373</v>
      </c>
      <c r="R16" s="543"/>
      <c r="S16" s="542">
        <v>6177373</v>
      </c>
      <c r="T16" s="543"/>
      <c r="U16" s="542">
        <v>6177373</v>
      </c>
      <c r="V16" s="543"/>
      <c r="W16" s="542">
        <v>6177373</v>
      </c>
      <c r="X16" s="543"/>
      <c r="Y16" s="542">
        <v>6177373</v>
      </c>
      <c r="Z16" s="543"/>
      <c r="AA16" s="542">
        <v>6177372</v>
      </c>
      <c r="AB16" s="543"/>
      <c r="AC16" s="542">
        <f t="shared" si="0"/>
        <v>74128475</v>
      </c>
      <c r="AD16" s="543"/>
      <c r="AE16" s="592"/>
      <c r="AF16" s="540"/>
      <c r="AG16" s="592"/>
      <c r="AH16" s="540"/>
    </row>
    <row r="17" spans="1:34" ht="15">
      <c r="A17" s="78" t="s">
        <v>74</v>
      </c>
      <c r="B17" s="559" t="s">
        <v>92</v>
      </c>
      <c r="C17" s="560"/>
      <c r="D17" s="561"/>
      <c r="E17" s="542">
        <v>0</v>
      </c>
      <c r="F17" s="543"/>
      <c r="G17" s="542">
        <v>0</v>
      </c>
      <c r="H17" s="543"/>
      <c r="I17" s="535">
        <v>0</v>
      </c>
      <c r="J17" s="538"/>
      <c r="K17" s="537">
        <v>0</v>
      </c>
      <c r="L17" s="538"/>
      <c r="M17" s="535">
        <v>20522747</v>
      </c>
      <c r="N17" s="539"/>
      <c r="O17" s="542">
        <v>20522747</v>
      </c>
      <c r="P17" s="543"/>
      <c r="Q17" s="542">
        <v>20522747</v>
      </c>
      <c r="R17" s="543"/>
      <c r="S17" s="535">
        <v>20522747</v>
      </c>
      <c r="T17" s="538"/>
      <c r="U17" s="537">
        <v>0</v>
      </c>
      <c r="V17" s="538"/>
      <c r="W17" s="535">
        <v>0</v>
      </c>
      <c r="X17" s="539"/>
      <c r="Y17" s="542">
        <v>0</v>
      </c>
      <c r="Z17" s="543"/>
      <c r="AA17" s="542">
        <v>0</v>
      </c>
      <c r="AB17" s="543"/>
      <c r="AC17" s="542">
        <f t="shared" si="0"/>
        <v>82090988</v>
      </c>
      <c r="AD17" s="543"/>
      <c r="AE17" s="592"/>
      <c r="AF17" s="540"/>
      <c r="AG17" s="592"/>
      <c r="AH17" s="540"/>
    </row>
    <row r="18" spans="1:34" ht="15.75" thickBot="1">
      <c r="A18" s="88" t="s">
        <v>77</v>
      </c>
      <c r="B18" s="574" t="s">
        <v>184</v>
      </c>
      <c r="C18" s="575"/>
      <c r="D18" s="576"/>
      <c r="E18" s="577">
        <v>7526207</v>
      </c>
      <c r="F18" s="578"/>
      <c r="G18" s="577">
        <v>7526207</v>
      </c>
      <c r="H18" s="578"/>
      <c r="I18" s="533">
        <v>7526206</v>
      </c>
      <c r="J18" s="534"/>
      <c r="K18" s="533">
        <v>7526206</v>
      </c>
      <c r="L18" s="534"/>
      <c r="M18" s="533">
        <v>7526206</v>
      </c>
      <c r="N18" s="579"/>
      <c r="O18" s="577">
        <v>7526206</v>
      </c>
      <c r="P18" s="578"/>
      <c r="Q18" s="577">
        <v>7526206</v>
      </c>
      <c r="R18" s="578"/>
      <c r="S18" s="533">
        <v>7526206</v>
      </c>
      <c r="T18" s="534"/>
      <c r="U18" s="533">
        <v>7526206</v>
      </c>
      <c r="V18" s="534"/>
      <c r="W18" s="533">
        <v>7526206</v>
      </c>
      <c r="X18" s="534"/>
      <c r="Y18" s="533">
        <v>7526206</v>
      </c>
      <c r="Z18" s="534"/>
      <c r="AA18" s="557">
        <v>7526206</v>
      </c>
      <c r="AB18" s="558"/>
      <c r="AC18" s="557">
        <f t="shared" si="0"/>
        <v>90314474</v>
      </c>
      <c r="AD18" s="558"/>
      <c r="AE18" s="592"/>
      <c r="AF18" s="540"/>
      <c r="AG18" s="592"/>
      <c r="AH18" s="540"/>
    </row>
    <row r="19" spans="1:34" ht="15.75" thickBot="1">
      <c r="A19" s="580" t="s">
        <v>185</v>
      </c>
      <c r="B19" s="581"/>
      <c r="C19" s="581"/>
      <c r="D19" s="582"/>
      <c r="E19" s="568">
        <f>SUM(E12:F18)</f>
        <v>25091517</v>
      </c>
      <c r="F19" s="569"/>
      <c r="G19" s="568">
        <f>SUM(G12:H18)</f>
        <v>25091517</v>
      </c>
      <c r="H19" s="569"/>
      <c r="I19" s="568">
        <f>SUM(I12:J18)</f>
        <v>25091516</v>
      </c>
      <c r="J19" s="569"/>
      <c r="K19" s="568">
        <f>SUM(K12:L18)</f>
        <v>25091516</v>
      </c>
      <c r="L19" s="569"/>
      <c r="M19" s="568">
        <f>SUM(M12:N18)</f>
        <v>45614262</v>
      </c>
      <c r="N19" s="569"/>
      <c r="O19" s="568">
        <f>SUM(O12:P18)</f>
        <v>45614262</v>
      </c>
      <c r="P19" s="569"/>
      <c r="Q19" s="568">
        <f>SUM(Q12:R18)</f>
        <v>45614262</v>
      </c>
      <c r="R19" s="569"/>
      <c r="S19" s="568">
        <f>SUM(S12:T18)</f>
        <v>45614262</v>
      </c>
      <c r="T19" s="569"/>
      <c r="U19" s="568">
        <f>SUM(U12:V18)</f>
        <v>25091515</v>
      </c>
      <c r="V19" s="569"/>
      <c r="W19" s="568">
        <f>SUM(W12:X18)</f>
        <v>25091514</v>
      </c>
      <c r="X19" s="569"/>
      <c r="Y19" s="568">
        <f>SUM(Y12:Z18)</f>
        <v>25091512</v>
      </c>
      <c r="Z19" s="569"/>
      <c r="AA19" s="568">
        <f>SUM(AA12:AB18)</f>
        <v>25091511</v>
      </c>
      <c r="AB19" s="569"/>
      <c r="AC19" s="568">
        <f>SUM(AC12:AD18)</f>
        <v>383189166</v>
      </c>
      <c r="AD19" s="568"/>
      <c r="AE19" s="595"/>
      <c r="AF19" s="595"/>
      <c r="AG19" s="595"/>
      <c r="AH19" s="589"/>
    </row>
    <row r="20" spans="1:17" ht="12.75">
      <c r="A20" s="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87"/>
      <c r="L21" s="87"/>
      <c r="M21" s="87"/>
      <c r="N21" s="87"/>
      <c r="O21" s="87"/>
      <c r="P21" s="87"/>
      <c r="Q21" s="87"/>
    </row>
    <row r="22" spans="1:17" ht="17.25" customHeight="1">
      <c r="A22" s="543" t="s">
        <v>186</v>
      </c>
      <c r="B22" s="543" t="s">
        <v>187</v>
      </c>
      <c r="C22" s="543" t="s">
        <v>188</v>
      </c>
      <c r="D22" s="543"/>
      <c r="E22" s="543"/>
      <c r="F22" s="543"/>
      <c r="G22" s="543" t="s">
        <v>26</v>
      </c>
      <c r="H22" s="92"/>
      <c r="I22" s="92"/>
      <c r="J22" s="92"/>
      <c r="K22" s="93"/>
      <c r="L22" s="87"/>
      <c r="M22" s="87"/>
      <c r="N22" s="87"/>
      <c r="O22" s="87"/>
      <c r="P22" s="87"/>
      <c r="Q22" s="87"/>
    </row>
    <row r="23" spans="1:17" ht="28.5" customHeight="1">
      <c r="A23" s="543"/>
      <c r="B23" s="543"/>
      <c r="C23" s="571" t="s">
        <v>143</v>
      </c>
      <c r="D23" s="572"/>
      <c r="E23" s="572"/>
      <c r="F23" s="573"/>
      <c r="G23" s="543"/>
      <c r="H23" s="92"/>
      <c r="I23" s="92"/>
      <c r="J23" s="92"/>
      <c r="K23" s="93"/>
      <c r="L23" s="87"/>
      <c r="M23" s="87"/>
      <c r="N23" s="87"/>
      <c r="O23" s="87"/>
      <c r="P23" s="87"/>
      <c r="Q23" s="87"/>
    </row>
    <row r="24" spans="1:10" ht="15">
      <c r="A24" s="77" t="s">
        <v>0</v>
      </c>
      <c r="B24" s="82">
        <v>43115</v>
      </c>
      <c r="C24" s="586">
        <v>7193050</v>
      </c>
      <c r="D24" s="587"/>
      <c r="E24" s="587"/>
      <c r="F24" s="587"/>
      <c r="G24" s="83">
        <f>C24</f>
        <v>7193050</v>
      </c>
      <c r="H24" s="80"/>
      <c r="I24" s="80"/>
      <c r="J24" s="80"/>
    </row>
    <row r="25" spans="1:10" ht="15">
      <c r="A25" s="77" t="s">
        <v>1</v>
      </c>
      <c r="B25" s="82">
        <v>43146</v>
      </c>
      <c r="C25" s="586">
        <v>7193049</v>
      </c>
      <c r="D25" s="587"/>
      <c r="E25" s="587"/>
      <c r="F25" s="587"/>
      <c r="G25" s="84">
        <f aca="true" t="shared" si="1" ref="G25:G35">G24+C25</f>
        <v>14386099</v>
      </c>
      <c r="H25" s="81"/>
      <c r="I25" s="81"/>
      <c r="J25" s="80"/>
    </row>
    <row r="26" spans="1:10" ht="15">
      <c r="A26" s="77" t="s">
        <v>2</v>
      </c>
      <c r="B26" s="82">
        <v>43174</v>
      </c>
      <c r="C26" s="586">
        <v>7193049</v>
      </c>
      <c r="D26" s="587"/>
      <c r="E26" s="587"/>
      <c r="F26" s="587"/>
      <c r="G26" s="84">
        <f t="shared" si="1"/>
        <v>21579148</v>
      </c>
      <c r="H26" s="81"/>
      <c r="I26" s="81"/>
      <c r="J26" s="80"/>
    </row>
    <row r="27" spans="1:10" ht="15">
      <c r="A27" s="77" t="s">
        <v>3</v>
      </c>
      <c r="B27" s="82">
        <v>43205</v>
      </c>
      <c r="C27" s="586">
        <v>7193049</v>
      </c>
      <c r="D27" s="587"/>
      <c r="E27" s="587"/>
      <c r="F27" s="587"/>
      <c r="G27" s="84">
        <f t="shared" si="1"/>
        <v>28772197</v>
      </c>
      <c r="H27" s="81"/>
      <c r="I27" s="81"/>
      <c r="J27" s="80"/>
    </row>
    <row r="28" spans="1:10" ht="15">
      <c r="A28" s="77" t="s">
        <v>4</v>
      </c>
      <c r="B28" s="82">
        <v>43235</v>
      </c>
      <c r="C28" s="586">
        <v>7193049</v>
      </c>
      <c r="D28" s="587"/>
      <c r="E28" s="587"/>
      <c r="F28" s="587"/>
      <c r="G28" s="84">
        <f t="shared" si="1"/>
        <v>35965246</v>
      </c>
      <c r="H28" s="80"/>
      <c r="I28" s="80"/>
      <c r="J28" s="80"/>
    </row>
    <row r="29" spans="1:10" ht="15">
      <c r="A29" s="77" t="s">
        <v>189</v>
      </c>
      <c r="B29" s="82">
        <v>43266</v>
      </c>
      <c r="C29" s="586">
        <v>7193049</v>
      </c>
      <c r="D29" s="587"/>
      <c r="E29" s="587"/>
      <c r="F29" s="587"/>
      <c r="G29" s="84">
        <f t="shared" si="1"/>
        <v>43158295</v>
      </c>
      <c r="H29" s="80"/>
      <c r="I29" s="80"/>
      <c r="J29" s="80"/>
    </row>
    <row r="30" spans="1:10" ht="15">
      <c r="A30" s="77" t="s">
        <v>5</v>
      </c>
      <c r="B30" s="82">
        <v>43296</v>
      </c>
      <c r="C30" s="586">
        <v>7193049</v>
      </c>
      <c r="D30" s="587"/>
      <c r="E30" s="587"/>
      <c r="F30" s="587"/>
      <c r="G30" s="84">
        <f t="shared" si="1"/>
        <v>50351344</v>
      </c>
      <c r="H30" s="80"/>
      <c r="I30" s="80"/>
      <c r="J30" s="80"/>
    </row>
    <row r="31" spans="1:10" ht="15">
      <c r="A31" s="77" t="s">
        <v>6</v>
      </c>
      <c r="B31" s="82">
        <v>43327</v>
      </c>
      <c r="C31" s="586">
        <v>7193049</v>
      </c>
      <c r="D31" s="587"/>
      <c r="E31" s="587"/>
      <c r="F31" s="587"/>
      <c r="G31" s="84">
        <f t="shared" si="1"/>
        <v>57544393</v>
      </c>
      <c r="H31" s="80"/>
      <c r="I31" s="80"/>
      <c r="J31" s="80"/>
    </row>
    <row r="32" spans="1:10" ht="15">
      <c r="A32" s="77" t="s">
        <v>190</v>
      </c>
      <c r="B32" s="82">
        <v>43358</v>
      </c>
      <c r="C32" s="586">
        <v>7193049</v>
      </c>
      <c r="D32" s="587"/>
      <c r="E32" s="587"/>
      <c r="F32" s="587"/>
      <c r="G32" s="84">
        <f t="shared" si="1"/>
        <v>64737442</v>
      </c>
      <c r="H32" s="80"/>
      <c r="I32" s="80"/>
      <c r="J32" s="80"/>
    </row>
    <row r="33" spans="1:10" ht="15">
      <c r="A33" s="77" t="s">
        <v>191</v>
      </c>
      <c r="B33" s="82">
        <v>43388</v>
      </c>
      <c r="C33" s="586">
        <v>7193049</v>
      </c>
      <c r="D33" s="587"/>
      <c r="E33" s="587"/>
      <c r="F33" s="587"/>
      <c r="G33" s="84">
        <f t="shared" si="1"/>
        <v>71930491</v>
      </c>
      <c r="H33" s="80"/>
      <c r="I33" s="80"/>
      <c r="J33" s="80"/>
    </row>
    <row r="34" spans="1:10" ht="15">
      <c r="A34" s="77" t="s">
        <v>192</v>
      </c>
      <c r="B34" s="82">
        <v>43419</v>
      </c>
      <c r="C34" s="586">
        <v>7193049</v>
      </c>
      <c r="D34" s="587"/>
      <c r="E34" s="587"/>
      <c r="F34" s="587"/>
      <c r="G34" s="84">
        <f t="shared" si="1"/>
        <v>79123540</v>
      </c>
      <c r="H34" s="80"/>
      <c r="I34" s="80"/>
      <c r="J34" s="80"/>
    </row>
    <row r="35" spans="1:10" ht="15">
      <c r="A35" s="77" t="s">
        <v>193</v>
      </c>
      <c r="B35" s="82">
        <v>43449</v>
      </c>
      <c r="C35" s="583">
        <v>7193049</v>
      </c>
      <c r="D35" s="584"/>
      <c r="E35" s="584"/>
      <c r="F35" s="585"/>
      <c r="G35" s="84">
        <f t="shared" si="1"/>
        <v>86316589</v>
      </c>
      <c r="H35" s="80"/>
      <c r="I35" s="80"/>
      <c r="J35" s="80"/>
    </row>
    <row r="36" spans="1:10" ht="15">
      <c r="A36" s="588" t="s">
        <v>26</v>
      </c>
      <c r="B36" s="588"/>
      <c r="C36" s="587"/>
      <c r="D36" s="587"/>
      <c r="E36" s="587"/>
      <c r="F36" s="587"/>
      <c r="G36" s="85">
        <f>G35</f>
        <v>86316589</v>
      </c>
      <c r="H36" s="80"/>
      <c r="I36" s="80"/>
      <c r="J36" s="80"/>
    </row>
    <row r="37" spans="1:10" ht="15">
      <c r="A37" s="79"/>
      <c r="B37" s="80"/>
      <c r="C37" s="80"/>
      <c r="D37" s="80"/>
      <c r="E37" s="80"/>
      <c r="F37" s="80"/>
      <c r="G37" s="80"/>
      <c r="H37" s="80"/>
      <c r="I37" s="80"/>
      <c r="J37" s="80"/>
    </row>
  </sheetData>
  <sheetProtection/>
  <mergeCells count="279">
    <mergeCell ref="AE19:AF19"/>
    <mergeCell ref="AG19:AH19"/>
    <mergeCell ref="O19:P19"/>
    <mergeCell ref="Q19:R19"/>
    <mergeCell ref="S19:T19"/>
    <mergeCell ref="U19:V19"/>
    <mergeCell ref="AA18:AB18"/>
    <mergeCell ref="AC18:AD18"/>
    <mergeCell ref="W19:X19"/>
    <mergeCell ref="Y19:Z19"/>
    <mergeCell ref="AA19:AB19"/>
    <mergeCell ref="AC19:AD19"/>
    <mergeCell ref="AA17:AB17"/>
    <mergeCell ref="AC17:AD17"/>
    <mergeCell ref="AE17:AF17"/>
    <mergeCell ref="AG17:AH17"/>
    <mergeCell ref="O18:P18"/>
    <mergeCell ref="Q18:R18"/>
    <mergeCell ref="AE18:AF18"/>
    <mergeCell ref="AG18:AH18"/>
    <mergeCell ref="Y18:Z18"/>
    <mergeCell ref="W18:X18"/>
    <mergeCell ref="AA16:AB16"/>
    <mergeCell ref="AC16:AD16"/>
    <mergeCell ref="AE16:AF16"/>
    <mergeCell ref="AG16:AH16"/>
    <mergeCell ref="O17:P17"/>
    <mergeCell ref="Q17:R17"/>
    <mergeCell ref="S17:T17"/>
    <mergeCell ref="U17:V17"/>
    <mergeCell ref="W17:X17"/>
    <mergeCell ref="Y17:Z17"/>
    <mergeCell ref="AA15:AB15"/>
    <mergeCell ref="AC15:AD15"/>
    <mergeCell ref="AE15:AF15"/>
    <mergeCell ref="AG15:AH15"/>
    <mergeCell ref="O16:P16"/>
    <mergeCell ref="Q16:R16"/>
    <mergeCell ref="S16:T16"/>
    <mergeCell ref="U16:V16"/>
    <mergeCell ref="W16:X16"/>
    <mergeCell ref="Y16:Z16"/>
    <mergeCell ref="AA14:AB14"/>
    <mergeCell ref="AC14:AD14"/>
    <mergeCell ref="AE14:AF14"/>
    <mergeCell ref="AG14:AH14"/>
    <mergeCell ref="O15:P15"/>
    <mergeCell ref="Q15:R15"/>
    <mergeCell ref="S15:T15"/>
    <mergeCell ref="U15:V15"/>
    <mergeCell ref="W15:X15"/>
    <mergeCell ref="Y15:Z15"/>
    <mergeCell ref="AA13:AB13"/>
    <mergeCell ref="AC13:AD13"/>
    <mergeCell ref="AE13:AF13"/>
    <mergeCell ref="AG13:AH13"/>
    <mergeCell ref="O14:P14"/>
    <mergeCell ref="Q14:R14"/>
    <mergeCell ref="S14:T14"/>
    <mergeCell ref="U14:V14"/>
    <mergeCell ref="W14:X14"/>
    <mergeCell ref="Y14:Z14"/>
    <mergeCell ref="AA12:AB12"/>
    <mergeCell ref="AC12:AD12"/>
    <mergeCell ref="AE12:AF12"/>
    <mergeCell ref="AG12:AH12"/>
    <mergeCell ref="O13:P13"/>
    <mergeCell ref="Q13:R13"/>
    <mergeCell ref="S13:T13"/>
    <mergeCell ref="U13:V13"/>
    <mergeCell ref="W13:X13"/>
    <mergeCell ref="Y13:Z13"/>
    <mergeCell ref="O12:P12"/>
    <mergeCell ref="Q12:R12"/>
    <mergeCell ref="S12:T12"/>
    <mergeCell ref="U12:V12"/>
    <mergeCell ref="W12:X12"/>
    <mergeCell ref="Y12:Z12"/>
    <mergeCell ref="AE10:AF10"/>
    <mergeCell ref="AG10:AH10"/>
    <mergeCell ref="O11:X11"/>
    <mergeCell ref="Y11:AH11"/>
    <mergeCell ref="O10:P10"/>
    <mergeCell ref="Q10:R10"/>
    <mergeCell ref="S10:T10"/>
    <mergeCell ref="U10:V10"/>
    <mergeCell ref="O9:P9"/>
    <mergeCell ref="Q9:R9"/>
    <mergeCell ref="S9:T9"/>
    <mergeCell ref="U9:V9"/>
    <mergeCell ref="AA10:AB10"/>
    <mergeCell ref="AC10:AD10"/>
    <mergeCell ref="W9:X9"/>
    <mergeCell ref="Y9:Z9"/>
    <mergeCell ref="AE8:AF8"/>
    <mergeCell ref="AG8:AH8"/>
    <mergeCell ref="U18:V18"/>
    <mergeCell ref="S18:T18"/>
    <mergeCell ref="AA9:AB9"/>
    <mergeCell ref="AC9:AD9"/>
    <mergeCell ref="AE9:AF9"/>
    <mergeCell ref="AG9:AH9"/>
    <mergeCell ref="W10:X10"/>
    <mergeCell ref="Y10:Z10"/>
    <mergeCell ref="AE7:AF7"/>
    <mergeCell ref="AG7:AH7"/>
    <mergeCell ref="O8:P8"/>
    <mergeCell ref="Q8:R8"/>
    <mergeCell ref="S8:T8"/>
    <mergeCell ref="U8:V8"/>
    <mergeCell ref="W8:X8"/>
    <mergeCell ref="Y8:Z8"/>
    <mergeCell ref="AA8:AB8"/>
    <mergeCell ref="AC8:AD8"/>
    <mergeCell ref="AE5:AF5"/>
    <mergeCell ref="AG5:AH5"/>
    <mergeCell ref="O7:P7"/>
    <mergeCell ref="Q7:R7"/>
    <mergeCell ref="S7:T7"/>
    <mergeCell ref="U7:V7"/>
    <mergeCell ref="W7:X7"/>
    <mergeCell ref="Y7:Z7"/>
    <mergeCell ref="AA7:AB7"/>
    <mergeCell ref="AC7:AD7"/>
    <mergeCell ref="AE4:AF4"/>
    <mergeCell ref="AG4:AH4"/>
    <mergeCell ref="O5:P5"/>
    <mergeCell ref="Q5:R5"/>
    <mergeCell ref="S5:T5"/>
    <mergeCell ref="U5:V5"/>
    <mergeCell ref="W5:X5"/>
    <mergeCell ref="Y5:Z5"/>
    <mergeCell ref="AA5:AB5"/>
    <mergeCell ref="AC5:AD5"/>
    <mergeCell ref="AE3:AF3"/>
    <mergeCell ref="AG3:AH3"/>
    <mergeCell ref="O4:P4"/>
    <mergeCell ref="Q4:R4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3:AB3"/>
    <mergeCell ref="AC3:AD3"/>
    <mergeCell ref="A36:B36"/>
    <mergeCell ref="C36:F36"/>
    <mergeCell ref="C25:F25"/>
    <mergeCell ref="C26:F26"/>
    <mergeCell ref="C27:F27"/>
    <mergeCell ref="C28:F28"/>
    <mergeCell ref="C29:F29"/>
    <mergeCell ref="C30:F30"/>
    <mergeCell ref="C31:F31"/>
    <mergeCell ref="A22:A23"/>
    <mergeCell ref="B22:B23"/>
    <mergeCell ref="C22:F22"/>
    <mergeCell ref="C35:F35"/>
    <mergeCell ref="C32:F32"/>
    <mergeCell ref="C33:F33"/>
    <mergeCell ref="C34:F34"/>
    <mergeCell ref="C24:F24"/>
    <mergeCell ref="M19:N19"/>
    <mergeCell ref="B18:D18"/>
    <mergeCell ref="E18:F18"/>
    <mergeCell ref="G18:H18"/>
    <mergeCell ref="M18:N18"/>
    <mergeCell ref="A19:D19"/>
    <mergeCell ref="E19:F19"/>
    <mergeCell ref="G19:H19"/>
    <mergeCell ref="I19:J19"/>
    <mergeCell ref="K19:L19"/>
    <mergeCell ref="G22:G23"/>
    <mergeCell ref="C23:F23"/>
    <mergeCell ref="B17:D17"/>
    <mergeCell ref="E17:F17"/>
    <mergeCell ref="G17:H17"/>
    <mergeCell ref="I17:J17"/>
    <mergeCell ref="I18:J18"/>
    <mergeCell ref="K17:L17"/>
    <mergeCell ref="M17:N17"/>
    <mergeCell ref="M16:N16"/>
    <mergeCell ref="B16:D16"/>
    <mergeCell ref="E16:F16"/>
    <mergeCell ref="G16:H16"/>
    <mergeCell ref="I16:J16"/>
    <mergeCell ref="K16:L16"/>
    <mergeCell ref="K13:L13"/>
    <mergeCell ref="M13:N13"/>
    <mergeCell ref="B15:D15"/>
    <mergeCell ref="E15:F15"/>
    <mergeCell ref="G15:H15"/>
    <mergeCell ref="I15:J15"/>
    <mergeCell ref="G13:H13"/>
    <mergeCell ref="I13:J13"/>
    <mergeCell ref="B14:D14"/>
    <mergeCell ref="E14:F14"/>
    <mergeCell ref="G14:H14"/>
    <mergeCell ref="I14:J14"/>
    <mergeCell ref="K15:L15"/>
    <mergeCell ref="M15:N15"/>
    <mergeCell ref="K14:L14"/>
    <mergeCell ref="M14:N14"/>
    <mergeCell ref="K10:L10"/>
    <mergeCell ref="M10:N10"/>
    <mergeCell ref="G12:H12"/>
    <mergeCell ref="I12:J12"/>
    <mergeCell ref="K12:L12"/>
    <mergeCell ref="M12:N12"/>
    <mergeCell ref="A10:D10"/>
    <mergeCell ref="E10:F10"/>
    <mergeCell ref="G9:H9"/>
    <mergeCell ref="I9:J9"/>
    <mergeCell ref="G10:H10"/>
    <mergeCell ref="I10:J10"/>
    <mergeCell ref="K9:L9"/>
    <mergeCell ref="M9:N9"/>
    <mergeCell ref="B13:D13"/>
    <mergeCell ref="E13:F13"/>
    <mergeCell ref="B12:D12"/>
    <mergeCell ref="E12:F12"/>
    <mergeCell ref="B9:D9"/>
    <mergeCell ref="E9:F9"/>
    <mergeCell ref="A11:D11"/>
    <mergeCell ref="E11:N11"/>
    <mergeCell ref="K8:L8"/>
    <mergeCell ref="M8:N8"/>
    <mergeCell ref="B8:D8"/>
    <mergeCell ref="E8:F8"/>
    <mergeCell ref="G8:H8"/>
    <mergeCell ref="I8:J8"/>
    <mergeCell ref="H2:P2"/>
    <mergeCell ref="R2:S2"/>
    <mergeCell ref="B3:D3"/>
    <mergeCell ref="E3:F3"/>
    <mergeCell ref="G3:H3"/>
    <mergeCell ref="I3:J3"/>
    <mergeCell ref="K3:L3"/>
    <mergeCell ref="M3:N3"/>
    <mergeCell ref="O3:P3"/>
    <mergeCell ref="Q3:R3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A4:D4"/>
    <mergeCell ref="E4:F4"/>
    <mergeCell ref="G4:H4"/>
    <mergeCell ref="I4:J4"/>
    <mergeCell ref="AA6:AB6"/>
    <mergeCell ref="AC6:AD6"/>
    <mergeCell ref="Y6:Z6"/>
    <mergeCell ref="K4:L4"/>
    <mergeCell ref="M4:N4"/>
    <mergeCell ref="K5:L5"/>
    <mergeCell ref="M5:N5"/>
    <mergeCell ref="K18:L18"/>
    <mergeCell ref="O6:P6"/>
    <mergeCell ref="Q6:R6"/>
    <mergeCell ref="S6:T6"/>
    <mergeCell ref="U6:V6"/>
    <mergeCell ref="W6:X6"/>
    <mergeCell ref="K6:L6"/>
    <mergeCell ref="M6:N6"/>
    <mergeCell ref="K7:L7"/>
    <mergeCell ref="M7:N7"/>
  </mergeCells>
  <printOptions/>
  <pageMargins left="0.3937007874015748" right="0.2755905511811024" top="0.31496062992125984" bottom="0.15748031496062992" header="0.7086614173228347" footer="0.15748031496062992"/>
  <pageSetup horizontalDpi="600" verticalDpi="600" orientation="landscape" paperSize="9" scale="63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2015-02-24T12:53:01Z</cp:lastPrinted>
  <dcterms:created xsi:type="dcterms:W3CDTF">2006-10-17T13:40:18Z</dcterms:created>
  <dcterms:modified xsi:type="dcterms:W3CDTF">2018-03-13T14:55:55Z</dcterms:modified>
  <cp:category/>
  <cp:version/>
  <cp:contentType/>
  <cp:contentStatus/>
</cp:coreProperties>
</file>